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43" i="1"/>
  <c r="R243"/>
  <c r="F242"/>
  <c r="R242"/>
  <c r="Q243"/>
  <c r="V166"/>
  <c r="P243"/>
  <c r="S166"/>
  <c r="Q242"/>
  <c r="V163"/>
  <c r="F237"/>
  <c r="R237"/>
  <c r="F236"/>
  <c r="R236"/>
  <c r="Q237"/>
  <c r="U165"/>
  <c r="P237"/>
  <c r="S165"/>
  <c r="Q236"/>
  <c r="U163"/>
  <c r="F231"/>
  <c r="R231"/>
  <c r="F230"/>
  <c r="R230"/>
  <c r="Q231"/>
  <c r="T164"/>
  <c r="P231"/>
  <c r="S164"/>
  <c r="Q230"/>
  <c r="T163"/>
  <c r="P242"/>
  <c r="P236"/>
  <c r="P230"/>
  <c r="S163"/>
  <c r="E243"/>
  <c r="N243"/>
  <c r="E242"/>
  <c r="N242"/>
  <c r="M243"/>
  <c r="N166"/>
  <c r="L243"/>
  <c r="K166"/>
  <c r="M242"/>
  <c r="N163"/>
  <c r="E237"/>
  <c r="N237"/>
  <c r="E236"/>
  <c r="N236"/>
  <c r="M237"/>
  <c r="M165"/>
  <c r="L237"/>
  <c r="K165"/>
  <c r="M236"/>
  <c r="M163"/>
  <c r="E231"/>
  <c r="N231"/>
  <c r="E230"/>
  <c r="E232" s="1"/>
  <c r="N230"/>
  <c r="M231"/>
  <c r="L164"/>
  <c r="L231"/>
  <c r="K164"/>
  <c r="M230"/>
  <c r="L163"/>
  <c r="L242"/>
  <c r="L236"/>
  <c r="L230"/>
  <c r="K163"/>
  <c r="D243"/>
  <c r="J243"/>
  <c r="D242"/>
  <c r="J242"/>
  <c r="I243"/>
  <c r="F166"/>
  <c r="H243"/>
  <c r="C166"/>
  <c r="I242"/>
  <c r="F163"/>
  <c r="D237"/>
  <c r="J237"/>
  <c r="D236"/>
  <c r="J236"/>
  <c r="I237"/>
  <c r="E165"/>
  <c r="H237"/>
  <c r="C165"/>
  <c r="I236"/>
  <c r="E163"/>
  <c r="C243"/>
  <c r="N201"/>
  <c r="C237"/>
  <c r="N200"/>
  <c r="C242"/>
  <c r="C236"/>
  <c r="C230"/>
  <c r="C231"/>
  <c r="N199"/>
  <c r="N198"/>
  <c r="D231"/>
  <c r="J231"/>
  <c r="D230"/>
  <c r="J230"/>
  <c r="I231"/>
  <c r="D164"/>
  <c r="H231"/>
  <c r="C164"/>
  <c r="I230"/>
  <c r="D163"/>
  <c r="G163"/>
  <c r="G164"/>
  <c r="G165"/>
  <c r="H242"/>
  <c r="H236"/>
  <c r="H230"/>
  <c r="C163"/>
  <c r="S201"/>
  <c r="G114"/>
  <c r="S200"/>
  <c r="G113"/>
  <c r="S199"/>
  <c r="G111"/>
  <c r="S198"/>
  <c r="G109"/>
  <c r="R201"/>
  <c r="F114"/>
  <c r="R200"/>
  <c r="F113"/>
  <c r="R199"/>
  <c r="F111"/>
  <c r="R198"/>
  <c r="F109"/>
  <c r="P199"/>
  <c r="D111"/>
  <c r="Q201"/>
  <c r="E114"/>
  <c r="Q200"/>
  <c r="E113"/>
  <c r="Q199"/>
  <c r="E111"/>
  <c r="Q198"/>
  <c r="E109"/>
  <c r="P201"/>
  <c r="D114"/>
  <c r="P200"/>
  <c r="D113"/>
  <c r="D100"/>
  <c r="P198"/>
  <c r="D109"/>
  <c r="O201"/>
  <c r="C114"/>
  <c r="O200"/>
  <c r="C113"/>
  <c r="O199"/>
  <c r="C111"/>
  <c r="O198"/>
  <c r="C109"/>
  <c r="F9"/>
  <c r="F8"/>
  <c r="F6"/>
  <c r="F2"/>
  <c r="Y70"/>
  <c r="Y69"/>
  <c r="Y68"/>
  <c r="Y67"/>
  <c r="Y66"/>
  <c r="Y65"/>
  <c r="Y64"/>
  <c r="Y63"/>
  <c r="X70"/>
  <c r="X69"/>
  <c r="X68"/>
  <c r="X67"/>
  <c r="X66"/>
  <c r="X65"/>
  <c r="X64"/>
  <c r="X63"/>
  <c r="W70"/>
  <c r="W69"/>
  <c r="W68"/>
  <c r="W67"/>
  <c r="W66"/>
  <c r="W65"/>
  <c r="W64"/>
  <c r="W63"/>
  <c r="V70"/>
  <c r="V69"/>
  <c r="V68"/>
  <c r="V67"/>
  <c r="V66"/>
  <c r="V65"/>
  <c r="V64"/>
  <c r="V63"/>
  <c r="U70"/>
  <c r="U69"/>
  <c r="U68"/>
  <c r="U67"/>
  <c r="U66"/>
  <c r="U65"/>
  <c r="U64"/>
  <c r="U63"/>
  <c r="T70"/>
  <c r="T69"/>
  <c r="T68"/>
  <c r="T67"/>
  <c r="T66"/>
  <c r="T65"/>
  <c r="T64"/>
  <c r="T63"/>
  <c r="S70"/>
  <c r="S69"/>
  <c r="S68"/>
  <c r="S67"/>
  <c r="S66"/>
  <c r="S65"/>
  <c r="S64"/>
  <c r="S63"/>
  <c r="Q9"/>
  <c r="Q8"/>
  <c r="Q7"/>
  <c r="Q6"/>
  <c r="Q5"/>
  <c r="Q4"/>
  <c r="Q3"/>
  <c r="Q2"/>
  <c r="Y58"/>
  <c r="Y57"/>
  <c r="Y56"/>
  <c r="Y55"/>
  <c r="Y54"/>
  <c r="Y53"/>
  <c r="Y52"/>
  <c r="Y51"/>
  <c r="X58"/>
  <c r="X57"/>
  <c r="X56"/>
  <c r="X55"/>
  <c r="X54"/>
  <c r="X53"/>
  <c r="X52"/>
  <c r="X51"/>
  <c r="W58"/>
  <c r="W57"/>
  <c r="W56"/>
  <c r="W55"/>
  <c r="W54"/>
  <c r="W53"/>
  <c r="W52"/>
  <c r="W51"/>
  <c r="V58"/>
  <c r="V57"/>
  <c r="V56"/>
  <c r="V55"/>
  <c r="V54"/>
  <c r="V53"/>
  <c r="V52"/>
  <c r="V51"/>
  <c r="U58"/>
  <c r="U57"/>
  <c r="U56"/>
  <c r="U55"/>
  <c r="U54"/>
  <c r="U53"/>
  <c r="U52"/>
  <c r="U51"/>
  <c r="T58"/>
  <c r="T57"/>
  <c r="T56"/>
  <c r="T55"/>
  <c r="T54"/>
  <c r="T53"/>
  <c r="T52"/>
  <c r="T51"/>
  <c r="S58"/>
  <c r="S57"/>
  <c r="S56"/>
  <c r="S55"/>
  <c r="S54"/>
  <c r="S53"/>
  <c r="S52"/>
  <c r="S51"/>
  <c r="P9"/>
  <c r="P8"/>
  <c r="P7"/>
  <c r="P6"/>
  <c r="P5"/>
  <c r="P4"/>
  <c r="P3"/>
  <c r="P2"/>
  <c r="Y46"/>
  <c r="Y45"/>
  <c r="Y44"/>
  <c r="Y43"/>
  <c r="Y42"/>
  <c r="Y41"/>
  <c r="Y40"/>
  <c r="Y39"/>
  <c r="X46"/>
  <c r="X45"/>
  <c r="X44"/>
  <c r="X43"/>
  <c r="X42"/>
  <c r="X41"/>
  <c r="X40"/>
  <c r="X39"/>
  <c r="W46"/>
  <c r="W45"/>
  <c r="W44"/>
  <c r="W43"/>
  <c r="W42"/>
  <c r="W41"/>
  <c r="W40"/>
  <c r="W39"/>
  <c r="V46"/>
  <c r="V45"/>
  <c r="V44"/>
  <c r="V43"/>
  <c r="V42"/>
  <c r="V41"/>
  <c r="V40"/>
  <c r="V39"/>
  <c r="U46"/>
  <c r="U45"/>
  <c r="U44"/>
  <c r="U43"/>
  <c r="U42"/>
  <c r="U41"/>
  <c r="U40"/>
  <c r="U39"/>
  <c r="T46"/>
  <c r="T45"/>
  <c r="T44"/>
  <c r="T43"/>
  <c r="T42"/>
  <c r="T41"/>
  <c r="T40"/>
  <c r="T39"/>
  <c r="S46"/>
  <c r="S45"/>
  <c r="S44"/>
  <c r="S43"/>
  <c r="S42"/>
  <c r="S41"/>
  <c r="S40"/>
  <c r="S39"/>
  <c r="O9"/>
  <c r="O8"/>
  <c r="O7"/>
  <c r="O6"/>
  <c r="O5"/>
  <c r="O4"/>
  <c r="O3"/>
  <c r="O2"/>
  <c r="Y34"/>
  <c r="Y33"/>
  <c r="Y32"/>
  <c r="Y31"/>
  <c r="Y30"/>
  <c r="Y29"/>
  <c r="Y28"/>
  <c r="Y27"/>
  <c r="X34"/>
  <c r="X33"/>
  <c r="X32"/>
  <c r="X31"/>
  <c r="X30"/>
  <c r="X29"/>
  <c r="X28"/>
  <c r="X27"/>
  <c r="W34"/>
  <c r="W33"/>
  <c r="W32"/>
  <c r="W31"/>
  <c r="W30"/>
  <c r="W29"/>
  <c r="W28"/>
  <c r="W27"/>
  <c r="V34"/>
  <c r="V33"/>
  <c r="V32"/>
  <c r="V31"/>
  <c r="V30"/>
  <c r="V29"/>
  <c r="V28"/>
  <c r="V27"/>
  <c r="U34"/>
  <c r="U33"/>
  <c r="U32"/>
  <c r="U31"/>
  <c r="U30"/>
  <c r="U29"/>
  <c r="U28"/>
  <c r="U27"/>
  <c r="T34"/>
  <c r="T33"/>
  <c r="T32"/>
  <c r="T31"/>
  <c r="T30"/>
  <c r="T29"/>
  <c r="T28"/>
  <c r="T27"/>
  <c r="S34"/>
  <c r="S33"/>
  <c r="S32"/>
  <c r="S31"/>
  <c r="S30"/>
  <c r="S29"/>
  <c r="S28"/>
  <c r="S27"/>
  <c r="N9"/>
  <c r="N8"/>
  <c r="N7"/>
  <c r="N6"/>
  <c r="N5"/>
  <c r="N4"/>
  <c r="N3"/>
  <c r="N2"/>
  <c r="Y22"/>
  <c r="Y21"/>
  <c r="Y20"/>
  <c r="Y19"/>
  <c r="Y18"/>
  <c r="Y17"/>
  <c r="Y16"/>
  <c r="Y15"/>
  <c r="X22"/>
  <c r="X21"/>
  <c r="X20"/>
  <c r="X19"/>
  <c r="X18"/>
  <c r="X17"/>
  <c r="X16"/>
  <c r="X15"/>
  <c r="W22"/>
  <c r="W21"/>
  <c r="W20"/>
  <c r="W19"/>
  <c r="W18"/>
  <c r="W17"/>
  <c r="W16"/>
  <c r="W15"/>
  <c r="V22"/>
  <c r="V21"/>
  <c r="V20"/>
  <c r="V19"/>
  <c r="V18"/>
  <c r="V17"/>
  <c r="V16"/>
  <c r="V15"/>
  <c r="U22"/>
  <c r="U21"/>
  <c r="U20"/>
  <c r="U19"/>
  <c r="U18"/>
  <c r="U17"/>
  <c r="U16"/>
  <c r="U15"/>
  <c r="T22"/>
  <c r="T21"/>
  <c r="T20"/>
  <c r="T19"/>
  <c r="T18"/>
  <c r="T17"/>
  <c r="T16"/>
  <c r="T15"/>
  <c r="S22"/>
  <c r="S21"/>
  <c r="S20"/>
  <c r="S19"/>
  <c r="S18"/>
  <c r="S17"/>
  <c r="S16"/>
  <c r="S15"/>
  <c r="M9"/>
  <c r="M8"/>
  <c r="M7"/>
  <c r="M6"/>
  <c r="M5"/>
  <c r="M4"/>
  <c r="M3"/>
  <c r="M2"/>
  <c r="Q70"/>
  <c r="Q69"/>
  <c r="Q68"/>
  <c r="Q67"/>
  <c r="Q66"/>
  <c r="Q65"/>
  <c r="Q64"/>
  <c r="Q63"/>
  <c r="P70"/>
  <c r="P69"/>
  <c r="P68"/>
  <c r="P67"/>
  <c r="P66"/>
  <c r="P65"/>
  <c r="P64"/>
  <c r="P63"/>
  <c r="O70"/>
  <c r="O69"/>
  <c r="O68"/>
  <c r="O67"/>
  <c r="O66"/>
  <c r="O65"/>
  <c r="O64"/>
  <c r="O63"/>
  <c r="N70"/>
  <c r="N69"/>
  <c r="N68"/>
  <c r="N67"/>
  <c r="N66"/>
  <c r="N65"/>
  <c r="N64"/>
  <c r="N63"/>
  <c r="M70"/>
  <c r="M69"/>
  <c r="M68"/>
  <c r="M67"/>
  <c r="M66"/>
  <c r="M65"/>
  <c r="M64"/>
  <c r="M63"/>
  <c r="L70"/>
  <c r="L69"/>
  <c r="L68"/>
  <c r="L67"/>
  <c r="L66"/>
  <c r="L65"/>
  <c r="L64"/>
  <c r="L63"/>
  <c r="K70"/>
  <c r="K69"/>
  <c r="K68"/>
  <c r="K67"/>
  <c r="K66"/>
  <c r="K65"/>
  <c r="K64"/>
  <c r="K63"/>
  <c r="L9"/>
  <c r="L8"/>
  <c r="L7"/>
  <c r="L6"/>
  <c r="L5"/>
  <c r="L4"/>
  <c r="L3"/>
  <c r="L2"/>
  <c r="Q58"/>
  <c r="Q57"/>
  <c r="Q56"/>
  <c r="Q55"/>
  <c r="Q54"/>
  <c r="Q53"/>
  <c r="Q52"/>
  <c r="Q51"/>
  <c r="P58"/>
  <c r="P57"/>
  <c r="P56"/>
  <c r="P55"/>
  <c r="P54"/>
  <c r="P53"/>
  <c r="P52"/>
  <c r="P51"/>
  <c r="O58"/>
  <c r="O57"/>
  <c r="O56"/>
  <c r="O55"/>
  <c r="O54"/>
  <c r="O53"/>
  <c r="O52"/>
  <c r="O51"/>
  <c r="N58"/>
  <c r="N57"/>
  <c r="N56"/>
  <c r="N55"/>
  <c r="N54"/>
  <c r="N53"/>
  <c r="N52"/>
  <c r="N51"/>
  <c r="M58"/>
  <c r="M57"/>
  <c r="M56"/>
  <c r="M55"/>
  <c r="M54"/>
  <c r="M53"/>
  <c r="M52"/>
  <c r="M51"/>
  <c r="L58"/>
  <c r="L57"/>
  <c r="L56"/>
  <c r="L55"/>
  <c r="L54"/>
  <c r="L53"/>
  <c r="L52"/>
  <c r="L51"/>
  <c r="K58"/>
  <c r="K57"/>
  <c r="K56"/>
  <c r="K55"/>
  <c r="K54"/>
  <c r="K53"/>
  <c r="K52"/>
  <c r="K51"/>
  <c r="K9"/>
  <c r="K8"/>
  <c r="K7"/>
  <c r="K6"/>
  <c r="K5"/>
  <c r="K4"/>
  <c r="K3"/>
  <c r="K2"/>
  <c r="Q46"/>
  <c r="Q45"/>
  <c r="Q44"/>
  <c r="Q43"/>
  <c r="Q42"/>
  <c r="Q41"/>
  <c r="Q40"/>
  <c r="Q39"/>
  <c r="P46"/>
  <c r="P45"/>
  <c r="P44"/>
  <c r="P43"/>
  <c r="P42"/>
  <c r="P41"/>
  <c r="P40"/>
  <c r="P39"/>
  <c r="O46"/>
  <c r="O45"/>
  <c r="O44"/>
  <c r="O43"/>
  <c r="O42"/>
  <c r="O41"/>
  <c r="O40"/>
  <c r="G28" s="1"/>
  <c r="O39"/>
  <c r="N46"/>
  <c r="N45"/>
  <c r="N44"/>
  <c r="N43"/>
  <c r="N42"/>
  <c r="N41"/>
  <c r="N40"/>
  <c r="N39"/>
  <c r="M46"/>
  <c r="M45"/>
  <c r="M44"/>
  <c r="M43"/>
  <c r="M42"/>
  <c r="M41"/>
  <c r="M40"/>
  <c r="M39"/>
  <c r="L46"/>
  <c r="L45"/>
  <c r="L44"/>
  <c r="L43"/>
  <c r="L42"/>
  <c r="L41"/>
  <c r="L40"/>
  <c r="L39"/>
  <c r="K46"/>
  <c r="C58" s="1"/>
  <c r="K45"/>
  <c r="K44"/>
  <c r="K43"/>
  <c r="K42"/>
  <c r="K41"/>
  <c r="K40"/>
  <c r="K39"/>
  <c r="J9"/>
  <c r="J8"/>
  <c r="J7"/>
  <c r="J6"/>
  <c r="J5"/>
  <c r="J4"/>
  <c r="J3"/>
  <c r="J2"/>
  <c r="Q34"/>
  <c r="Q33"/>
  <c r="Q32"/>
  <c r="Q31"/>
  <c r="Q30"/>
  <c r="Q29"/>
  <c r="Q28"/>
  <c r="Q27"/>
  <c r="I27" s="1"/>
  <c r="P34"/>
  <c r="P33"/>
  <c r="P32"/>
  <c r="H56" s="1"/>
  <c r="P31"/>
  <c r="P30"/>
  <c r="H30" s="1"/>
  <c r="P29"/>
  <c r="H29" s="1"/>
  <c r="P28"/>
  <c r="P27"/>
  <c r="O34"/>
  <c r="O33"/>
  <c r="O32"/>
  <c r="O31"/>
  <c r="O30"/>
  <c r="G54" s="1"/>
  <c r="O29"/>
  <c r="O28"/>
  <c r="O27"/>
  <c r="N34"/>
  <c r="N33"/>
  <c r="N32"/>
  <c r="F32" s="1"/>
  <c r="N31"/>
  <c r="N30"/>
  <c r="N29"/>
  <c r="N28"/>
  <c r="F52" s="1"/>
  <c r="N27"/>
  <c r="M34"/>
  <c r="E58" s="1"/>
  <c r="M33"/>
  <c r="M32"/>
  <c r="M31"/>
  <c r="M30"/>
  <c r="M29"/>
  <c r="M28"/>
  <c r="E52" s="1"/>
  <c r="M27"/>
  <c r="E51" s="1"/>
  <c r="L34"/>
  <c r="L33"/>
  <c r="L32"/>
  <c r="L31"/>
  <c r="L30"/>
  <c r="L29"/>
  <c r="L28"/>
  <c r="L27"/>
  <c r="K34"/>
  <c r="K33"/>
  <c r="K32"/>
  <c r="K31"/>
  <c r="K30"/>
  <c r="C30" s="1"/>
  <c r="K29"/>
  <c r="K28"/>
  <c r="K27"/>
  <c r="I9"/>
  <c r="I8"/>
  <c r="I7"/>
  <c r="I6"/>
  <c r="I5"/>
  <c r="I4"/>
  <c r="F4" s="1"/>
  <c r="I3"/>
  <c r="I2"/>
  <c r="Q22"/>
  <c r="I58" s="1"/>
  <c r="Q21"/>
  <c r="I33" s="1"/>
  <c r="Q20"/>
  <c r="I32" s="1"/>
  <c r="Q19"/>
  <c r="I55" s="1"/>
  <c r="Q18"/>
  <c r="I54" s="1"/>
  <c r="Q17"/>
  <c r="I29" s="1"/>
  <c r="Q16"/>
  <c r="I28" s="1"/>
  <c r="Q15"/>
  <c r="I51" s="1"/>
  <c r="P22"/>
  <c r="H58" s="1"/>
  <c r="P21"/>
  <c r="H33" s="1"/>
  <c r="P20"/>
  <c r="H32" s="1"/>
  <c r="P19"/>
  <c r="H31" s="1"/>
  <c r="P17"/>
  <c r="P16"/>
  <c r="P15"/>
  <c r="O22"/>
  <c r="O21"/>
  <c r="O20"/>
  <c r="O19"/>
  <c r="O18"/>
  <c r="O17"/>
  <c r="O16"/>
  <c r="O15"/>
  <c r="N22"/>
  <c r="N21"/>
  <c r="N20"/>
  <c r="N19"/>
  <c r="N18"/>
  <c r="N17"/>
  <c r="N16"/>
  <c r="N15"/>
  <c r="M22"/>
  <c r="M21"/>
  <c r="M20"/>
  <c r="M19"/>
  <c r="M18"/>
  <c r="M17"/>
  <c r="M16"/>
  <c r="M15"/>
  <c r="L22"/>
  <c r="L21"/>
  <c r="L20"/>
  <c r="L19"/>
  <c r="L18"/>
  <c r="L17"/>
  <c r="L16"/>
  <c r="L15"/>
  <c r="K22"/>
  <c r="K21"/>
  <c r="K20"/>
  <c r="K19"/>
  <c r="K18"/>
  <c r="K17"/>
  <c r="K16"/>
  <c r="K15"/>
  <c r="H9"/>
  <c r="H8"/>
  <c r="H7"/>
  <c r="H6"/>
  <c r="H5"/>
  <c r="H4"/>
  <c r="H3"/>
  <c r="H2"/>
  <c r="D245"/>
  <c r="E245"/>
  <c r="F245"/>
  <c r="C245"/>
  <c r="D239"/>
  <c r="E239"/>
  <c r="F239"/>
  <c r="C239"/>
  <c r="D233"/>
  <c r="E233"/>
  <c r="F233"/>
  <c r="C233"/>
  <c r="D226"/>
  <c r="E226"/>
  <c r="F226"/>
  <c r="C226"/>
  <c r="D220"/>
  <c r="E220"/>
  <c r="F220"/>
  <c r="C220"/>
  <c r="D214"/>
  <c r="E214"/>
  <c r="F214"/>
  <c r="C214"/>
  <c r="C201"/>
  <c r="C200"/>
  <c r="C203" s="1"/>
  <c r="C199"/>
  <c r="C198"/>
  <c r="I22"/>
  <c r="I21"/>
  <c r="I20"/>
  <c r="I19"/>
  <c r="I18"/>
  <c r="I17"/>
  <c r="I16"/>
  <c r="I15"/>
  <c r="H22"/>
  <c r="H21"/>
  <c r="H20"/>
  <c r="H19"/>
  <c r="H18"/>
  <c r="H17"/>
  <c r="H16"/>
  <c r="H15"/>
  <c r="G22"/>
  <c r="G21"/>
  <c r="G20"/>
  <c r="G19"/>
  <c r="G18"/>
  <c r="G17"/>
  <c r="G16"/>
  <c r="G15"/>
  <c r="F22"/>
  <c r="F21"/>
  <c r="F20"/>
  <c r="F19"/>
  <c r="F18"/>
  <c r="F17"/>
  <c r="F16"/>
  <c r="F15"/>
  <c r="E22"/>
  <c r="E21"/>
  <c r="E20"/>
  <c r="E19"/>
  <c r="E18"/>
  <c r="E17"/>
  <c r="E16"/>
  <c r="E15"/>
  <c r="D22"/>
  <c r="D21"/>
  <c r="D20"/>
  <c r="D19"/>
  <c r="D18"/>
  <c r="D17"/>
  <c r="D16"/>
  <c r="D15"/>
  <c r="C22"/>
  <c r="C21"/>
  <c r="C20"/>
  <c r="C19"/>
  <c r="C18"/>
  <c r="C17"/>
  <c r="C16"/>
  <c r="C15"/>
  <c r="B9"/>
  <c r="B8"/>
  <c r="B7"/>
  <c r="B6"/>
  <c r="B5"/>
  <c r="B4"/>
  <c r="B3"/>
  <c r="B2"/>
  <c r="T166"/>
  <c r="U166"/>
  <c r="T165"/>
  <c r="V165"/>
  <c r="U164"/>
  <c r="V164"/>
  <c r="S153"/>
  <c r="L166"/>
  <c r="M166"/>
  <c r="L165"/>
  <c r="N165"/>
  <c r="M164"/>
  <c r="N164"/>
  <c r="K153"/>
  <c r="D166"/>
  <c r="E166"/>
  <c r="D165"/>
  <c r="F165"/>
  <c r="E164"/>
  <c r="F164"/>
  <c r="C153"/>
  <c r="T156"/>
  <c r="U156"/>
  <c r="V156"/>
  <c r="T155"/>
  <c r="U155"/>
  <c r="V155"/>
  <c r="T154"/>
  <c r="U154"/>
  <c r="V154"/>
  <c r="T153"/>
  <c r="U153"/>
  <c r="V153"/>
  <c r="S154"/>
  <c r="S155"/>
  <c r="S156"/>
  <c r="S143"/>
  <c r="L156"/>
  <c r="M156"/>
  <c r="N156"/>
  <c r="L155"/>
  <c r="M155"/>
  <c r="N155"/>
  <c r="L154"/>
  <c r="M154"/>
  <c r="N154"/>
  <c r="L153"/>
  <c r="M153"/>
  <c r="N153"/>
  <c r="K154"/>
  <c r="K155"/>
  <c r="K156"/>
  <c r="K143"/>
  <c r="D156"/>
  <c r="E156"/>
  <c r="F156"/>
  <c r="D155"/>
  <c r="E155"/>
  <c r="F155"/>
  <c r="D154"/>
  <c r="E154"/>
  <c r="F154"/>
  <c r="D153"/>
  <c r="E153"/>
  <c r="F153"/>
  <c r="C154"/>
  <c r="C155"/>
  <c r="C156"/>
  <c r="C143"/>
  <c r="T146"/>
  <c r="U146"/>
  <c r="V146"/>
  <c r="T145"/>
  <c r="U145"/>
  <c r="V145"/>
  <c r="T144"/>
  <c r="U144"/>
  <c r="V144"/>
  <c r="T143"/>
  <c r="U143"/>
  <c r="V143"/>
  <c r="S144"/>
  <c r="S145"/>
  <c r="S146"/>
  <c r="L146"/>
  <c r="M146"/>
  <c r="N146"/>
  <c r="L145"/>
  <c r="M145"/>
  <c r="N145"/>
  <c r="L144"/>
  <c r="M144"/>
  <c r="N144"/>
  <c r="K144"/>
  <c r="K145"/>
  <c r="K146"/>
  <c r="L143"/>
  <c r="M143"/>
  <c r="N143"/>
  <c r="D146"/>
  <c r="E146"/>
  <c r="F146"/>
  <c r="D145"/>
  <c r="E145"/>
  <c r="F145"/>
  <c r="D143"/>
  <c r="E143"/>
  <c r="F143"/>
  <c r="D144"/>
  <c r="E144"/>
  <c r="F144"/>
  <c r="C144"/>
  <c r="C145"/>
  <c r="C146"/>
  <c r="W134"/>
  <c r="W135"/>
  <c r="W136"/>
  <c r="W133"/>
  <c r="O134"/>
  <c r="O135"/>
  <c r="O136"/>
  <c r="O133"/>
  <c r="G134"/>
  <c r="G135"/>
  <c r="G136"/>
  <c r="G133"/>
  <c r="D244"/>
  <c r="E244"/>
  <c r="F244"/>
  <c r="C244"/>
  <c r="D238"/>
  <c r="E238"/>
  <c r="F238"/>
  <c r="C238"/>
  <c r="D232"/>
  <c r="F232"/>
  <c r="C232"/>
  <c r="D225"/>
  <c r="E225"/>
  <c r="F225"/>
  <c r="C225"/>
  <c r="R224"/>
  <c r="R223"/>
  <c r="N224"/>
  <c r="N223"/>
  <c r="J224"/>
  <c r="J223"/>
  <c r="D219"/>
  <c r="E219"/>
  <c r="F219"/>
  <c r="C219"/>
  <c r="R218"/>
  <c r="R217"/>
  <c r="N218"/>
  <c r="N217"/>
  <c r="J218"/>
  <c r="J217"/>
  <c r="D213"/>
  <c r="E213"/>
  <c r="F213"/>
  <c r="C213"/>
  <c r="R212"/>
  <c r="R211"/>
  <c r="N212"/>
  <c r="N211"/>
  <c r="J212"/>
  <c r="J211"/>
  <c r="O207"/>
  <c r="P207"/>
  <c r="Q207"/>
  <c r="R207"/>
  <c r="S207"/>
  <c r="N207"/>
  <c r="O206"/>
  <c r="P206"/>
  <c r="Q206"/>
  <c r="R206"/>
  <c r="S206"/>
  <c r="N206"/>
  <c r="O205"/>
  <c r="P205"/>
  <c r="Q205"/>
  <c r="R205"/>
  <c r="S205"/>
  <c r="N205"/>
  <c r="O204"/>
  <c r="P204"/>
  <c r="Q204"/>
  <c r="R204"/>
  <c r="S204"/>
  <c r="N204"/>
  <c r="O203"/>
  <c r="P203"/>
  <c r="Q203"/>
  <c r="R203"/>
  <c r="S203"/>
  <c r="N203"/>
  <c r="O202"/>
  <c r="P202"/>
  <c r="Q202"/>
  <c r="R202"/>
  <c r="S202"/>
  <c r="N202"/>
  <c r="D207"/>
  <c r="E207"/>
  <c r="F207"/>
  <c r="G207"/>
  <c r="H207"/>
  <c r="D206"/>
  <c r="E206"/>
  <c r="F206"/>
  <c r="G206"/>
  <c r="H206"/>
  <c r="D205"/>
  <c r="E205"/>
  <c r="F205"/>
  <c r="G205"/>
  <c r="H205"/>
  <c r="C205"/>
  <c r="D204"/>
  <c r="E204"/>
  <c r="F204"/>
  <c r="G204"/>
  <c r="H204"/>
  <c r="D203"/>
  <c r="E203"/>
  <c r="F203"/>
  <c r="G203"/>
  <c r="H203"/>
  <c r="D202"/>
  <c r="E202"/>
  <c r="F202"/>
  <c r="G202"/>
  <c r="H202"/>
  <c r="C207"/>
  <c r="C202"/>
  <c r="D112"/>
  <c r="E112"/>
  <c r="F112"/>
  <c r="G112"/>
  <c r="D110"/>
  <c r="E110"/>
  <c r="F110"/>
  <c r="G110"/>
  <c r="C110"/>
  <c r="C112"/>
  <c r="D103"/>
  <c r="E103"/>
  <c r="F103"/>
  <c r="G103"/>
  <c r="D102"/>
  <c r="E102"/>
  <c r="F102"/>
  <c r="G102"/>
  <c r="D101"/>
  <c r="E101"/>
  <c r="F101"/>
  <c r="G101"/>
  <c r="E100"/>
  <c r="F100"/>
  <c r="G100"/>
  <c r="D99"/>
  <c r="E99"/>
  <c r="F99"/>
  <c r="G99"/>
  <c r="C99"/>
  <c r="C100"/>
  <c r="C101"/>
  <c r="C102"/>
  <c r="C103"/>
  <c r="D98"/>
  <c r="E98"/>
  <c r="F98"/>
  <c r="G98"/>
  <c r="C98"/>
  <c r="D92"/>
  <c r="E92"/>
  <c r="F92"/>
  <c r="G92"/>
  <c r="D91"/>
  <c r="E91"/>
  <c r="F91"/>
  <c r="G91"/>
  <c r="D90"/>
  <c r="E90"/>
  <c r="F90"/>
  <c r="G90"/>
  <c r="D89"/>
  <c r="E89"/>
  <c r="F89"/>
  <c r="G89"/>
  <c r="D88"/>
  <c r="E88"/>
  <c r="F88"/>
  <c r="G88"/>
  <c r="C88"/>
  <c r="C89"/>
  <c r="C90"/>
  <c r="C91"/>
  <c r="C92"/>
  <c r="D87"/>
  <c r="E87"/>
  <c r="F87"/>
  <c r="G87"/>
  <c r="C87"/>
  <c r="D28" l="1"/>
  <c r="W166"/>
  <c r="O166"/>
  <c r="G154"/>
  <c r="H54"/>
  <c r="H53"/>
  <c r="H28"/>
  <c r="H27"/>
  <c r="G58"/>
  <c r="G57"/>
  <c r="G32"/>
  <c r="G55"/>
  <c r="G30"/>
  <c r="G29"/>
  <c r="G52"/>
  <c r="G27"/>
  <c r="F58"/>
  <c r="F33"/>
  <c r="F56"/>
  <c r="F55"/>
  <c r="F30"/>
  <c r="F53"/>
  <c r="F28"/>
  <c r="F27"/>
  <c r="E34"/>
  <c r="E33"/>
  <c r="E56"/>
  <c r="E31"/>
  <c r="E54"/>
  <c r="E53"/>
  <c r="E28"/>
  <c r="E27"/>
  <c r="D34"/>
  <c r="D33"/>
  <c r="D32"/>
  <c r="D55"/>
  <c r="D30"/>
  <c r="D53"/>
  <c r="D52"/>
  <c r="D51"/>
  <c r="C34"/>
  <c r="C33"/>
  <c r="C32"/>
  <c r="C55"/>
  <c r="C54"/>
  <c r="C29"/>
  <c r="C28"/>
  <c r="C51"/>
  <c r="E9"/>
  <c r="D7"/>
  <c r="D6"/>
  <c r="E5"/>
  <c r="D4"/>
  <c r="F3"/>
  <c r="W156"/>
  <c r="W144"/>
  <c r="W145"/>
  <c r="W165"/>
  <c r="W154"/>
  <c r="O154"/>
  <c r="O146"/>
  <c r="O164"/>
  <c r="G146"/>
  <c r="G143"/>
  <c r="G156"/>
  <c r="G145"/>
  <c r="G155"/>
  <c r="G144"/>
  <c r="I34"/>
  <c r="I56"/>
  <c r="I31"/>
  <c r="I30"/>
  <c r="I53"/>
  <c r="I52"/>
  <c r="H34"/>
  <c r="H55"/>
  <c r="H52"/>
  <c r="H51"/>
  <c r="G34"/>
  <c r="G33"/>
  <c r="G56"/>
  <c r="G31"/>
  <c r="G53"/>
  <c r="G51"/>
  <c r="F34"/>
  <c r="F57"/>
  <c r="F31"/>
  <c r="F54"/>
  <c r="F29"/>
  <c r="F51"/>
  <c r="E57"/>
  <c r="E32"/>
  <c r="E55"/>
  <c r="E30"/>
  <c r="E29"/>
  <c r="D58"/>
  <c r="D57"/>
  <c r="D56"/>
  <c r="D31"/>
  <c r="D54"/>
  <c r="D29"/>
  <c r="D27"/>
  <c r="C57"/>
  <c r="C56"/>
  <c r="C31"/>
  <c r="C53"/>
  <c r="C52"/>
  <c r="F7"/>
  <c r="E7"/>
  <c r="F5"/>
  <c r="E4"/>
  <c r="E3"/>
  <c r="D3"/>
  <c r="D2"/>
  <c r="W164"/>
  <c r="W163"/>
  <c r="O165"/>
  <c r="O163"/>
  <c r="G166"/>
  <c r="W155"/>
  <c r="W153"/>
  <c r="O156"/>
  <c r="O155"/>
  <c r="O153"/>
  <c r="G153"/>
  <c r="W146"/>
  <c r="W143"/>
  <c r="O145"/>
  <c r="O144"/>
  <c r="O143"/>
  <c r="H57"/>
  <c r="I57"/>
  <c r="E8"/>
  <c r="D8"/>
  <c r="D9"/>
  <c r="E2"/>
  <c r="H39"/>
  <c r="C43"/>
  <c r="E40"/>
  <c r="I42"/>
  <c r="G43"/>
  <c r="E44"/>
  <c r="I46"/>
  <c r="C204"/>
  <c r="I39"/>
  <c r="C44"/>
  <c r="F40"/>
  <c r="D41"/>
  <c r="H43"/>
  <c r="F44"/>
  <c r="D45"/>
  <c r="C27"/>
  <c r="C39"/>
  <c r="C45"/>
  <c r="G40"/>
  <c r="E41"/>
  <c r="I43"/>
  <c r="G44"/>
  <c r="E45"/>
  <c r="C46"/>
  <c r="H40"/>
  <c r="F41"/>
  <c r="D42"/>
  <c r="H44"/>
  <c r="F45"/>
  <c r="D46"/>
  <c r="D5"/>
  <c r="E6"/>
  <c r="D39"/>
  <c r="I40"/>
  <c r="G41"/>
  <c r="E42"/>
  <c r="I44"/>
  <c r="G45"/>
  <c r="E46"/>
  <c r="C206"/>
  <c r="E39"/>
  <c r="C40"/>
  <c r="H41"/>
  <c r="F42"/>
  <c r="D43"/>
  <c r="H45"/>
  <c r="F46"/>
  <c r="F39"/>
  <c r="C41"/>
  <c r="I41"/>
  <c r="G42"/>
  <c r="E43"/>
  <c r="I45"/>
  <c r="G46"/>
  <c r="G39"/>
  <c r="C42"/>
  <c r="D40"/>
  <c r="H42"/>
  <c r="F43"/>
  <c r="D44"/>
  <c r="H46"/>
</calcChain>
</file>

<file path=xl/sharedStrings.xml><?xml version="1.0" encoding="utf-8"?>
<sst xmlns="http://schemas.openxmlformats.org/spreadsheetml/2006/main" count="784" uniqueCount="55">
  <si>
    <t>nor</t>
  </si>
  <si>
    <t>neg</t>
  </si>
  <si>
    <t>h_nor</t>
  </si>
  <si>
    <t>h_neg</t>
  </si>
  <si>
    <t>s_nor</t>
  </si>
  <si>
    <t>s_neg</t>
  </si>
  <si>
    <t>s_all</t>
  </si>
  <si>
    <t>det</t>
  </si>
  <si>
    <t>min rnd</t>
  </si>
  <si>
    <t>max rnd</t>
  </si>
  <si>
    <t>avg rnd</t>
  </si>
  <si>
    <t>rnd1</t>
  </si>
  <si>
    <t>rnd2</t>
  </si>
  <si>
    <t>rnd3</t>
  </si>
  <si>
    <t>rnd4</t>
  </si>
  <si>
    <t>rnd5</t>
  </si>
  <si>
    <t>rnd6</t>
  </si>
  <si>
    <t>rnd7</t>
  </si>
  <si>
    <t>rnd8</t>
  </si>
  <si>
    <t>rnd9</t>
  </si>
  <si>
    <t>rnd10</t>
  </si>
  <si>
    <t>C1</t>
  </si>
  <si>
    <t>C2</t>
  </si>
  <si>
    <t>C3</t>
  </si>
  <si>
    <t>SSK</t>
  </si>
  <si>
    <t>SSKR</t>
  </si>
  <si>
    <t>MSK</t>
  </si>
  <si>
    <t>MSKR</t>
  </si>
  <si>
    <t>eps</t>
  </si>
  <si>
    <t>eps=0.01</t>
  </si>
  <si>
    <t>att</t>
  </si>
  <si>
    <t>model</t>
  </si>
  <si>
    <t>eps=0.03</t>
  </si>
  <si>
    <t>eps=0.05</t>
  </si>
  <si>
    <t>avg</t>
  </si>
  <si>
    <t>diff</t>
  </si>
  <si>
    <t>ratio</t>
  </si>
  <si>
    <t>diff 2-1</t>
  </si>
  <si>
    <t>diff 3-1</t>
  </si>
  <si>
    <t>diff 4-1</t>
  </si>
  <si>
    <t>ratio 2/1</t>
  </si>
  <si>
    <t>ratio 3/1</t>
  </si>
  <si>
    <t>ratio 4/1</t>
  </si>
  <si>
    <t>avg nor</t>
  </si>
  <si>
    <t>avg s_all</t>
  </si>
  <si>
    <t>FGSM</t>
  </si>
  <si>
    <t>PGD</t>
  </si>
  <si>
    <t>t_s_all</t>
  </si>
  <si>
    <t>avg s_nor</t>
  </si>
  <si>
    <t>avg t_s_all</t>
  </si>
  <si>
    <t>Original data set</t>
  </si>
  <si>
    <t>Damaged data sets</t>
  </si>
  <si>
    <t>Adversarial attacks</t>
  </si>
  <si>
    <t>FGSM-Analysis</t>
  </si>
  <si>
    <t>PGD-Analysis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</si>
</sst>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56"/>
  <sheetViews>
    <sheetView tabSelected="1" topLeftCell="A50" workbookViewId="0">
      <selection activeCell="J209" sqref="J209"/>
    </sheetView>
  </sheetViews>
  <sheetFormatPr defaultRowHeight="15"/>
  <cols>
    <col min="1" max="1" width="17.5703125" customWidth="1"/>
    <col min="2" max="2" width="14.28515625" customWidth="1"/>
  </cols>
  <sheetData>
    <row r="1" spans="1:25">
      <c r="A1" t="s">
        <v>50</v>
      </c>
      <c r="B1" t="s">
        <v>7</v>
      </c>
      <c r="D1" t="s">
        <v>8</v>
      </c>
      <c r="E1" t="s">
        <v>9</v>
      </c>
      <c r="F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25">
      <c r="A2" t="s">
        <v>0</v>
      </c>
      <c r="B2">
        <f>6185/10000</f>
        <v>0.61850000000000005</v>
      </c>
      <c r="D2">
        <f>MIN(H2:Q2)</f>
        <v>0.61699999999999999</v>
      </c>
      <c r="E2">
        <f>MAX(H2:Q2)</f>
        <v>0.63800000000000001</v>
      </c>
      <c r="F2">
        <f>AVERAGE(H2:Q2)</f>
        <v>0.62750000000000006</v>
      </c>
      <c r="H2">
        <f>6281/10000</f>
        <v>0.62809999999999999</v>
      </c>
      <c r="I2">
        <f>6170/10000</f>
        <v>0.61699999999999999</v>
      </c>
      <c r="J2">
        <f>6221/10000</f>
        <v>0.62209999999999999</v>
      </c>
      <c r="K2">
        <f>6355/10000</f>
        <v>0.63549999999999995</v>
      </c>
      <c r="L2">
        <f>6286/10000</f>
        <v>0.62860000000000005</v>
      </c>
      <c r="M2">
        <f>6212/10000</f>
        <v>0.62119999999999997</v>
      </c>
      <c r="N2">
        <f>6246/10000</f>
        <v>0.62460000000000004</v>
      </c>
      <c r="O2">
        <f>6380/10000</f>
        <v>0.63800000000000001</v>
      </c>
      <c r="P2">
        <f>6315/10000</f>
        <v>0.63149999999999995</v>
      </c>
      <c r="Q2">
        <f>6284/10000</f>
        <v>0.62839999999999996</v>
      </c>
    </row>
    <row r="3" spans="1:25">
      <c r="A3" t="s">
        <v>1</v>
      </c>
      <c r="B3">
        <f>6187/10000</f>
        <v>0.61870000000000003</v>
      </c>
      <c r="D3">
        <f t="shared" ref="D3:D8" si="0">MIN(H3:Q3)</f>
        <v>0.61580000000000001</v>
      </c>
      <c r="E3">
        <f t="shared" ref="E3:E8" si="1">MAX(H3:Q3)</f>
        <v>0.64400000000000002</v>
      </c>
      <c r="F3">
        <f t="shared" ref="F3:F7" si="2">AVERAGE(H3:Q3)</f>
        <v>0.62728000000000006</v>
      </c>
      <c r="H3">
        <f>6241/10000</f>
        <v>0.62409999999999999</v>
      </c>
      <c r="I3">
        <f>6440/10000</f>
        <v>0.64400000000000002</v>
      </c>
      <c r="J3">
        <f>6242/10000</f>
        <v>0.62419999999999998</v>
      </c>
      <c r="K3">
        <f>6158/10000</f>
        <v>0.61580000000000001</v>
      </c>
      <c r="L3">
        <f>6174/10000</f>
        <v>0.61739999999999995</v>
      </c>
      <c r="M3">
        <f>6398/10000</f>
        <v>0.63980000000000004</v>
      </c>
      <c r="N3">
        <f>6373/10000</f>
        <v>0.63729999999999998</v>
      </c>
      <c r="O3">
        <f>6189/10000</f>
        <v>0.61890000000000001</v>
      </c>
      <c r="P3">
        <f>6187/10000</f>
        <v>0.61870000000000003</v>
      </c>
      <c r="Q3">
        <f>6326/10000</f>
        <v>0.63260000000000005</v>
      </c>
    </row>
    <row r="4" spans="1:25">
      <c r="A4" t="s">
        <v>2</v>
      </c>
      <c r="B4">
        <f>6184/10000</f>
        <v>0.61839999999999995</v>
      </c>
      <c r="D4">
        <f t="shared" si="0"/>
        <v>0.6109</v>
      </c>
      <c r="E4">
        <f t="shared" si="1"/>
        <v>0.63990000000000002</v>
      </c>
      <c r="F4">
        <f t="shared" si="2"/>
        <v>0.62116000000000005</v>
      </c>
      <c r="H4">
        <f>6299/10000</f>
        <v>0.62990000000000002</v>
      </c>
      <c r="I4">
        <f>6109/10000</f>
        <v>0.6109</v>
      </c>
      <c r="J4">
        <f>6130/10000</f>
        <v>0.61299999999999999</v>
      </c>
      <c r="K4">
        <f>6191/10000</f>
        <v>0.61909999999999998</v>
      </c>
      <c r="L4">
        <f>6248/10000</f>
        <v>0.62480000000000002</v>
      </c>
      <c r="M4">
        <f>6138/10000</f>
        <v>0.61380000000000001</v>
      </c>
      <c r="N4">
        <f xml:space="preserve"> 6184/10000</f>
        <v>0.61839999999999995</v>
      </c>
      <c r="O4">
        <f>6399/10000</f>
        <v>0.63990000000000002</v>
      </c>
      <c r="P4">
        <f>6214/10000</f>
        <v>0.62139999999999995</v>
      </c>
      <c r="Q4">
        <f>6204/10000</f>
        <v>0.62039999999999995</v>
      </c>
    </row>
    <row r="5" spans="1:25">
      <c r="A5" t="s">
        <v>3</v>
      </c>
      <c r="B5">
        <f>6305/10000</f>
        <v>0.63049999999999995</v>
      </c>
      <c r="D5">
        <f t="shared" si="0"/>
        <v>0.61619999999999997</v>
      </c>
      <c r="E5">
        <f t="shared" si="1"/>
        <v>0.64370000000000005</v>
      </c>
      <c r="F5">
        <f t="shared" si="2"/>
        <v>0.62953999999999999</v>
      </c>
      <c r="H5">
        <f>6257/10000</f>
        <v>0.62570000000000003</v>
      </c>
      <c r="I5">
        <f>6363/10000</f>
        <v>0.63629999999999998</v>
      </c>
      <c r="J5">
        <f>6248/10000</f>
        <v>0.62480000000000002</v>
      </c>
      <c r="K5">
        <f>6362/10000</f>
        <v>0.63619999999999999</v>
      </c>
      <c r="L5">
        <f>6162/10000</f>
        <v>0.61619999999999997</v>
      </c>
      <c r="M5">
        <f>6373/10000</f>
        <v>0.63729999999999998</v>
      </c>
      <c r="N5">
        <f>6437/10000</f>
        <v>0.64370000000000005</v>
      </c>
      <c r="O5">
        <f>6187/10000</f>
        <v>0.61870000000000003</v>
      </c>
      <c r="P5">
        <f>6273/10000</f>
        <v>0.62729999999999997</v>
      </c>
      <c r="Q5">
        <f>6292/10000</f>
        <v>0.62919999999999998</v>
      </c>
    </row>
    <row r="6" spans="1:25">
      <c r="A6" t="s">
        <v>4</v>
      </c>
      <c r="B6">
        <f>6496/10000</f>
        <v>0.64959999999999996</v>
      </c>
      <c r="D6">
        <f t="shared" si="0"/>
        <v>0.64470000000000005</v>
      </c>
      <c r="E6">
        <f t="shared" si="1"/>
        <v>0.67100000000000004</v>
      </c>
      <c r="F6">
        <f>AVERAGE(H6:Q6)</f>
        <v>0.65544999999999998</v>
      </c>
      <c r="H6">
        <f>6541/10000</f>
        <v>0.65410000000000001</v>
      </c>
      <c r="I6">
        <f>6447/10000</f>
        <v>0.64470000000000005</v>
      </c>
      <c r="J6">
        <f>6464/10000</f>
        <v>0.64639999999999997</v>
      </c>
      <c r="K6">
        <f>6617/10000</f>
        <v>0.66169999999999995</v>
      </c>
      <c r="L6">
        <f>6581/10000</f>
        <v>0.65810000000000002</v>
      </c>
      <c r="M6">
        <f>6512/10000</f>
        <v>0.6512</v>
      </c>
      <c r="N6">
        <f>6563/10000</f>
        <v>0.65629999999999999</v>
      </c>
      <c r="O6">
        <f>6710/10000</f>
        <v>0.67100000000000004</v>
      </c>
      <c r="P6">
        <f>6531/10000</f>
        <v>0.65310000000000001</v>
      </c>
      <c r="Q6">
        <f>6579/10000</f>
        <v>0.65790000000000004</v>
      </c>
    </row>
    <row r="7" spans="1:25">
      <c r="A7" t="s">
        <v>5</v>
      </c>
      <c r="B7">
        <f>6651/10000</f>
        <v>0.66510000000000002</v>
      </c>
      <c r="D7">
        <f t="shared" si="0"/>
        <v>0.65249999999999997</v>
      </c>
      <c r="E7">
        <f t="shared" si="1"/>
        <v>0.67379999999999995</v>
      </c>
      <c r="F7">
        <f t="shared" si="2"/>
        <v>0.66317000000000004</v>
      </c>
      <c r="H7">
        <f>6641/10000</f>
        <v>0.66410000000000002</v>
      </c>
      <c r="I7">
        <f>6738/10000</f>
        <v>0.67379999999999995</v>
      </c>
      <c r="J7">
        <f>6587/10000</f>
        <v>0.65869999999999995</v>
      </c>
      <c r="K7">
        <f>6621/10000</f>
        <v>0.66210000000000002</v>
      </c>
      <c r="L7">
        <f>6525/10000</f>
        <v>0.65249999999999997</v>
      </c>
      <c r="M7">
        <f>6699/10000</f>
        <v>0.66990000000000005</v>
      </c>
      <c r="N7">
        <f>6728/10000</f>
        <v>0.67279999999999995</v>
      </c>
      <c r="O7">
        <f>6627/10000</f>
        <v>0.66269999999999996</v>
      </c>
      <c r="P7">
        <f>6551/10000</f>
        <v>0.65510000000000002</v>
      </c>
      <c r="Q7">
        <f>6600/10000</f>
        <v>0.66</v>
      </c>
    </row>
    <row r="8" spans="1:25">
      <c r="A8" t="s">
        <v>6</v>
      </c>
      <c r="B8">
        <f>7011/10000</f>
        <v>0.70109999999999995</v>
      </c>
      <c r="D8">
        <f t="shared" si="0"/>
        <v>0.69420000000000004</v>
      </c>
      <c r="E8">
        <f t="shared" si="1"/>
        <v>0.71089999999999998</v>
      </c>
      <c r="F8">
        <f>AVERAGE(H8:Q8)</f>
        <v>0.70217999999999992</v>
      </c>
      <c r="H8">
        <f>6996/10000</f>
        <v>0.6996</v>
      </c>
      <c r="I8">
        <f>7017/10000</f>
        <v>0.70169999999999999</v>
      </c>
      <c r="J8">
        <f>6942/10000</f>
        <v>0.69420000000000004</v>
      </c>
      <c r="K8">
        <f>7030/10000</f>
        <v>0.70299999999999996</v>
      </c>
      <c r="L8">
        <f>6984/10000</f>
        <v>0.69840000000000002</v>
      </c>
      <c r="M8">
        <f>7068/10000</f>
        <v>0.70679999999999998</v>
      </c>
      <c r="N8">
        <f>7107/10000</f>
        <v>0.7107</v>
      </c>
      <c r="O8">
        <f>7109/10000</f>
        <v>0.71089999999999998</v>
      </c>
      <c r="P8">
        <f>6987/10000</f>
        <v>0.69869999999999999</v>
      </c>
      <c r="Q8">
        <f xml:space="preserve"> 6978/10000</f>
        <v>0.69779999999999998</v>
      </c>
    </row>
    <row r="9" spans="1:25">
      <c r="A9" t="s">
        <v>47</v>
      </c>
      <c r="B9">
        <f>6682/10000</f>
        <v>0.66820000000000002</v>
      </c>
      <c r="D9">
        <f>MIN(H9:Q9)</f>
        <v>0.65490000000000004</v>
      </c>
      <c r="E9">
        <f>MAX(H9:Q9)</f>
        <v>0.6704</v>
      </c>
      <c r="F9">
        <f>AVERAGE(H9:Q9)</f>
        <v>0.66250999999999993</v>
      </c>
      <c r="H9">
        <f>6606/10000</f>
        <v>0.66059999999999997</v>
      </c>
      <c r="I9">
        <f>6624/10000</f>
        <v>0.66239999999999999</v>
      </c>
      <c r="J9">
        <f>6613/10000</f>
        <v>0.6613</v>
      </c>
      <c r="K9">
        <f>6615/10000</f>
        <v>0.66149999999999998</v>
      </c>
      <c r="L9">
        <f>6549/10000</f>
        <v>0.65490000000000004</v>
      </c>
      <c r="M9">
        <f>6704/10000</f>
        <v>0.6704</v>
      </c>
      <c r="N9">
        <f>6636/10000</f>
        <v>0.66359999999999997</v>
      </c>
      <c r="O9">
        <f>6684/10000</f>
        <v>0.66839999999999999</v>
      </c>
      <c r="P9">
        <f>6628/10000</f>
        <v>0.66279999999999994</v>
      </c>
      <c r="Q9">
        <f>6592/10000</f>
        <v>0.65920000000000001</v>
      </c>
    </row>
    <row r="13" spans="1:25">
      <c r="A13" t="s">
        <v>51</v>
      </c>
    </row>
    <row r="14" spans="1:25"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K14" t="s">
        <v>21</v>
      </c>
      <c r="L14" t="s">
        <v>22</v>
      </c>
      <c r="M14" t="s">
        <v>23</v>
      </c>
      <c r="N14" t="s">
        <v>24</v>
      </c>
      <c r="O14" t="s">
        <v>25</v>
      </c>
      <c r="P14" t="s">
        <v>26</v>
      </c>
      <c r="Q14" t="s">
        <v>27</v>
      </c>
      <c r="S14" t="s">
        <v>21</v>
      </c>
      <c r="T14" t="s">
        <v>22</v>
      </c>
      <c r="U14" t="s">
        <v>23</v>
      </c>
      <c r="V14" t="s">
        <v>24</v>
      </c>
      <c r="W14" t="s">
        <v>25</v>
      </c>
      <c r="X14" t="s">
        <v>26</v>
      </c>
      <c r="Y14" t="s">
        <v>27</v>
      </c>
    </row>
    <row r="15" spans="1:25">
      <c r="B15" t="s">
        <v>0</v>
      </c>
      <c r="C15">
        <f>6176/10000</f>
        <v>0.61760000000000004</v>
      </c>
      <c r="D15">
        <f>5985/10000</f>
        <v>0.59850000000000003</v>
      </c>
      <c r="E15">
        <f>5692/10000</f>
        <v>0.56920000000000004</v>
      </c>
      <c r="F15">
        <f>5127/10000</f>
        <v>0.51270000000000004</v>
      </c>
      <c r="G15">
        <f>5006/10000</f>
        <v>0.50060000000000004</v>
      </c>
      <c r="H15">
        <f>5938/10000</f>
        <v>0.59379999999999999</v>
      </c>
      <c r="I15">
        <f>4367/10000</f>
        <v>0.43669999999999998</v>
      </c>
      <c r="K15">
        <f>6270/10000</f>
        <v>0.627</v>
      </c>
      <c r="L15">
        <f>6228/10000</f>
        <v>0.62280000000000002</v>
      </c>
      <c r="M15">
        <f>5781/10000</f>
        <v>0.57809999999999995</v>
      </c>
      <c r="N15">
        <f>5315/10000</f>
        <v>0.53149999999999997</v>
      </c>
      <c r="O15">
        <f>4968/10000</f>
        <v>0.49680000000000002</v>
      </c>
      <c r="P15">
        <f>5993/10000</f>
        <v>0.59930000000000005</v>
      </c>
      <c r="Q15">
        <f>4439/10000</f>
        <v>0.44390000000000002</v>
      </c>
      <c r="S15">
        <f>6208/10000</f>
        <v>0.62080000000000002</v>
      </c>
      <c r="T15">
        <f>6120/10000</f>
        <v>0.61199999999999999</v>
      </c>
      <c r="U15">
        <f>5781/10000</f>
        <v>0.57809999999999995</v>
      </c>
      <c r="V15">
        <f>5326/10000</f>
        <v>0.53259999999999996</v>
      </c>
      <c r="W15">
        <f>4992/10000</f>
        <v>0.49919999999999998</v>
      </c>
      <c r="X15">
        <f>5938/10000</f>
        <v>0.59379999999999999</v>
      </c>
      <c r="Y15">
        <f>4615/10000</f>
        <v>0.46150000000000002</v>
      </c>
    </row>
    <row r="16" spans="1:25">
      <c r="B16" t="s">
        <v>1</v>
      </c>
      <c r="C16">
        <f xml:space="preserve"> 6157/10000</f>
        <v>0.61570000000000003</v>
      </c>
      <c r="D16">
        <f>6024/10000</f>
        <v>0.60240000000000005</v>
      </c>
      <c r="E16">
        <f>5665/10000</f>
        <v>0.5665</v>
      </c>
      <c r="F16">
        <f>5331/10000</f>
        <v>0.53310000000000002</v>
      </c>
      <c r="G16">
        <f>4990/10000</f>
        <v>0.499</v>
      </c>
      <c r="H16">
        <f>5957/10000</f>
        <v>0.59570000000000001</v>
      </c>
      <c r="I16">
        <f>4722/10000</f>
        <v>0.47220000000000001</v>
      </c>
      <c r="K16">
        <f>6252/10000</f>
        <v>0.62519999999999998</v>
      </c>
      <c r="L16">
        <f>6175/10000</f>
        <v>0.61750000000000005</v>
      </c>
      <c r="M16">
        <f>5738/10000</f>
        <v>0.57379999999999998</v>
      </c>
      <c r="N16">
        <f xml:space="preserve"> 5357/10000</f>
        <v>0.53569999999999995</v>
      </c>
      <c r="O16">
        <f>5224/10000</f>
        <v>0.52239999999999998</v>
      </c>
      <c r="P16">
        <f>6020/10000</f>
        <v>0.60199999999999998</v>
      </c>
      <c r="Q16">
        <f>4872/10000</f>
        <v>0.48720000000000002</v>
      </c>
      <c r="S16">
        <f>6367/10000</f>
        <v>0.63670000000000004</v>
      </c>
      <c r="T16">
        <f>6221/10000</f>
        <v>0.62209999999999999</v>
      </c>
      <c r="U16">
        <f>5831/10000</f>
        <v>0.58309999999999995</v>
      </c>
      <c r="V16">
        <f>5500/10000</f>
        <v>0.55000000000000004</v>
      </c>
      <c r="W16">
        <f>5182/10000</f>
        <v>0.51819999999999999</v>
      </c>
      <c r="X16">
        <f>6143/10000</f>
        <v>0.61429999999999996</v>
      </c>
      <c r="Y16">
        <f>4770/10000</f>
        <v>0.47699999999999998</v>
      </c>
    </row>
    <row r="17" spans="1:25">
      <c r="B17" t="s">
        <v>2</v>
      </c>
      <c r="C17">
        <f>6154/10000</f>
        <v>0.61539999999999995</v>
      </c>
      <c r="D17">
        <f>5950/10000</f>
        <v>0.59499999999999997</v>
      </c>
      <c r="E17">
        <f>5538/10000</f>
        <v>0.55379999999999996</v>
      </c>
      <c r="F17">
        <f>5253/10000</f>
        <v>0.52529999999999999</v>
      </c>
      <c r="G17">
        <f>5002/10000</f>
        <v>0.50019999999999998</v>
      </c>
      <c r="H17">
        <f>5856/10000</f>
        <v>0.58560000000000001</v>
      </c>
      <c r="I17">
        <f>4344/10000</f>
        <v>0.43440000000000001</v>
      </c>
      <c r="K17">
        <f>6291/10000</f>
        <v>0.62909999999999999</v>
      </c>
      <c r="L17">
        <f>6216/10000</f>
        <v>0.62160000000000004</v>
      </c>
      <c r="M17">
        <f>5767/10000</f>
        <v>0.57669999999999999</v>
      </c>
      <c r="N17">
        <f xml:space="preserve"> 5308/10000</f>
        <v>0.53080000000000005</v>
      </c>
      <c r="O17">
        <f>4916/10000</f>
        <v>0.49159999999999998</v>
      </c>
      <c r="P17">
        <f>6013/10000</f>
        <v>0.60129999999999995</v>
      </c>
      <c r="Q17">
        <f>4435/10000</f>
        <v>0.44350000000000001</v>
      </c>
      <c r="S17">
        <f>6132/10000</f>
        <v>0.61319999999999997</v>
      </c>
      <c r="T17">
        <f>6033/10000</f>
        <v>0.60329999999999995</v>
      </c>
      <c r="U17">
        <f>5629/10000</f>
        <v>0.56289999999999996</v>
      </c>
      <c r="V17">
        <f>5148/10000</f>
        <v>0.51480000000000004</v>
      </c>
      <c r="W17">
        <f>4973/10000</f>
        <v>0.49730000000000002</v>
      </c>
      <c r="X17">
        <f>5888/10000</f>
        <v>0.58879999999999999</v>
      </c>
      <c r="Y17">
        <f>4650/10000</f>
        <v>0.46500000000000002</v>
      </c>
    </row>
    <row r="18" spans="1:25">
      <c r="B18" t="s">
        <v>3</v>
      </c>
      <c r="C18">
        <f>6262/10000</f>
        <v>0.62619999999999998</v>
      </c>
      <c r="D18">
        <f>6021/10000</f>
        <v>0.60209999999999997</v>
      </c>
      <c r="E18">
        <f xml:space="preserve"> 5612/10000</f>
        <v>0.56120000000000003</v>
      </c>
      <c r="F18">
        <f>5303/10000</f>
        <v>0.53029999999999999</v>
      </c>
      <c r="G18">
        <f>4837/10000</f>
        <v>0.48370000000000002</v>
      </c>
      <c r="H18">
        <f>5858/10000</f>
        <v>0.58579999999999999</v>
      </c>
      <c r="I18">
        <f>4630/10000</f>
        <v>0.46300000000000002</v>
      </c>
      <c r="K18">
        <f>6253/10000</f>
        <v>0.62529999999999997</v>
      </c>
      <c r="L18">
        <f>6142/10000</f>
        <v>0.61419999999999997</v>
      </c>
      <c r="M18">
        <f>5765/10000</f>
        <v>0.57650000000000001</v>
      </c>
      <c r="N18">
        <f>5284/10000</f>
        <v>0.52839999999999998</v>
      </c>
      <c r="O18">
        <f>5116/10000</f>
        <v>0.51160000000000005</v>
      </c>
      <c r="P18" s="1">
        <v>0.5978</v>
      </c>
      <c r="Q18">
        <f>4615/10000</f>
        <v>0.46150000000000002</v>
      </c>
      <c r="S18">
        <f>6356/10000</f>
        <v>0.63560000000000005</v>
      </c>
      <c r="T18">
        <f>6270/10000</f>
        <v>0.627</v>
      </c>
      <c r="U18">
        <f>5827/10000</f>
        <v>0.5827</v>
      </c>
      <c r="V18">
        <f>5491/10000</f>
        <v>0.54910000000000003</v>
      </c>
      <c r="W18">
        <f>5063/10000</f>
        <v>0.50629999999999997</v>
      </c>
      <c r="X18">
        <f>6054/10000</f>
        <v>0.60540000000000005</v>
      </c>
      <c r="Y18">
        <f>4649/10000</f>
        <v>0.46489999999999998</v>
      </c>
    </row>
    <row r="19" spans="1:25">
      <c r="A19" t="s">
        <v>7</v>
      </c>
      <c r="B19" t="s">
        <v>4</v>
      </c>
      <c r="C19">
        <f>6471/10000</f>
        <v>0.64710000000000001</v>
      </c>
      <c r="D19">
        <f>6266/10000</f>
        <v>0.62660000000000005</v>
      </c>
      <c r="E19">
        <f>5976/10000</f>
        <v>0.59760000000000002</v>
      </c>
      <c r="F19">
        <f xml:space="preserve"> 5483/10000</f>
        <v>0.54830000000000001</v>
      </c>
      <c r="G19">
        <f>5293/10000</f>
        <v>0.52929999999999999</v>
      </c>
      <c r="H19">
        <f xml:space="preserve"> 6242/10000</f>
        <v>0.62419999999999998</v>
      </c>
      <c r="I19">
        <f>4698/10000</f>
        <v>0.4698</v>
      </c>
      <c r="J19" t="s">
        <v>11</v>
      </c>
      <c r="K19">
        <f>6528/10000</f>
        <v>0.65280000000000005</v>
      </c>
      <c r="L19">
        <f>6488/10000</f>
        <v>0.64880000000000004</v>
      </c>
      <c r="M19">
        <f>6124/10000</f>
        <v>0.61240000000000006</v>
      </c>
      <c r="N19">
        <f>5625/10000</f>
        <v>0.5625</v>
      </c>
      <c r="O19">
        <f>5226/10000</f>
        <v>0.52259999999999995</v>
      </c>
      <c r="P19">
        <f>6299/10000</f>
        <v>0.62990000000000002</v>
      </c>
      <c r="Q19">
        <f>4717/10000</f>
        <v>0.47170000000000001</v>
      </c>
      <c r="R19" t="s">
        <v>16</v>
      </c>
      <c r="S19">
        <f>6514/10000</f>
        <v>0.65139999999999998</v>
      </c>
      <c r="T19">
        <f>6395/10000</f>
        <v>0.63949999999999996</v>
      </c>
      <c r="U19">
        <f>6005/10000</f>
        <v>0.60050000000000003</v>
      </c>
      <c r="V19">
        <f>5513/10000</f>
        <v>0.55130000000000001</v>
      </c>
      <c r="W19">
        <f>5326/10000</f>
        <v>0.53259999999999996</v>
      </c>
      <c r="X19">
        <f>6218/10000</f>
        <v>0.62180000000000002</v>
      </c>
      <c r="Y19">
        <f>4972/10000</f>
        <v>0.49719999999999998</v>
      </c>
    </row>
    <row r="20" spans="1:25">
      <c r="B20" t="s">
        <v>5</v>
      </c>
      <c r="C20">
        <f>6613/10000</f>
        <v>0.6613</v>
      </c>
      <c r="D20">
        <f>6377/10000</f>
        <v>0.63770000000000004</v>
      </c>
      <c r="E20">
        <f>6052/10000</f>
        <v>0.60519999999999996</v>
      </c>
      <c r="F20">
        <f>5658/10000</f>
        <v>0.56579999999999997</v>
      </c>
      <c r="G20">
        <f>5267/10000</f>
        <v>0.52669999999999995</v>
      </c>
      <c r="H20">
        <f>6318/10000</f>
        <v>0.63180000000000003</v>
      </c>
      <c r="I20">
        <f>5114/10000</f>
        <v>0.51139999999999997</v>
      </c>
      <c r="K20">
        <f>6643/10000</f>
        <v>0.6643</v>
      </c>
      <c r="L20">
        <f>6504/10000</f>
        <v>0.65039999999999998</v>
      </c>
      <c r="M20">
        <f>6095/10000</f>
        <v>0.60950000000000004</v>
      </c>
      <c r="N20">
        <f>5694/10000</f>
        <v>0.56940000000000002</v>
      </c>
      <c r="O20">
        <f>5499/10000</f>
        <v>0.54990000000000006</v>
      </c>
      <c r="P20">
        <f>6323/10000</f>
        <v>0.63229999999999997</v>
      </c>
      <c r="Q20">
        <f>5123/10000</f>
        <v>0.51229999999999998</v>
      </c>
      <c r="S20">
        <f>6698/10000</f>
        <v>0.66979999999999995</v>
      </c>
      <c r="T20">
        <f>6618/10000</f>
        <v>0.66180000000000005</v>
      </c>
      <c r="U20">
        <f>6217/10000</f>
        <v>0.62170000000000003</v>
      </c>
      <c r="V20">
        <f>5830/10000</f>
        <v>0.58299999999999996</v>
      </c>
      <c r="W20">
        <f>5406/10000</f>
        <v>0.54059999999999997</v>
      </c>
      <c r="X20">
        <f>6412/10000</f>
        <v>0.64119999999999999</v>
      </c>
      <c r="Y20">
        <f>5118/10000</f>
        <v>0.51180000000000003</v>
      </c>
    </row>
    <row r="21" spans="1:25">
      <c r="B21" t="s">
        <v>6</v>
      </c>
      <c r="C21">
        <f>6969/10000</f>
        <v>0.69689999999999996</v>
      </c>
      <c r="D21">
        <f>6728/10000</f>
        <v>0.67279999999999995</v>
      </c>
      <c r="E21">
        <f>6459/10000</f>
        <v>0.64590000000000003</v>
      </c>
      <c r="F21">
        <f>6046/10000</f>
        <v>0.60460000000000003</v>
      </c>
      <c r="G21">
        <f>5797/10000</f>
        <v>0.57969999999999999</v>
      </c>
      <c r="H21">
        <f>6702/10000</f>
        <v>0.67020000000000002</v>
      </c>
      <c r="I21">
        <f>5411/10000</f>
        <v>0.54110000000000003</v>
      </c>
      <c r="K21">
        <f>6990/10000</f>
        <v>0.69899999999999995</v>
      </c>
      <c r="L21">
        <f>6902/10000</f>
        <v>0.69020000000000004</v>
      </c>
      <c r="M21">
        <f xml:space="preserve"> 6555/10000</f>
        <v>0.65549999999999997</v>
      </c>
      <c r="N21">
        <f>5998/10000</f>
        <v>0.5998</v>
      </c>
      <c r="O21">
        <f>5781/10000</f>
        <v>0.57809999999999995</v>
      </c>
      <c r="P21">
        <f>6752/10000</f>
        <v>0.67520000000000002</v>
      </c>
      <c r="Q21">
        <f>5360/10000</f>
        <v>0.53600000000000003</v>
      </c>
      <c r="S21">
        <f>7050/10000</f>
        <v>0.70499999999999996</v>
      </c>
      <c r="T21">
        <f>6950/10000</f>
        <v>0.69499999999999995</v>
      </c>
      <c r="U21">
        <f>6612/10000</f>
        <v>0.66120000000000001</v>
      </c>
      <c r="V21">
        <f>6167/10000</f>
        <v>0.61670000000000003</v>
      </c>
      <c r="W21">
        <f>5849/10000</f>
        <v>0.58489999999999998</v>
      </c>
      <c r="X21">
        <f>6802/10000</f>
        <v>0.68020000000000003</v>
      </c>
      <c r="Y21">
        <f>5477/10000</f>
        <v>0.54769999999999996</v>
      </c>
    </row>
    <row r="22" spans="1:25">
      <c r="B22" t="s">
        <v>47</v>
      </c>
      <c r="C22">
        <f xml:space="preserve"> 6669/10000</f>
        <v>0.66690000000000005</v>
      </c>
      <c r="D22">
        <f>6510/10000</f>
        <v>0.65100000000000002</v>
      </c>
      <c r="E22">
        <f>6081/10000</f>
        <v>0.60809999999999997</v>
      </c>
      <c r="F22">
        <f>5733/10000</f>
        <v>0.57330000000000003</v>
      </c>
      <c r="G22">
        <f>5421/10000</f>
        <v>0.54210000000000003</v>
      </c>
      <c r="H22">
        <f>6363/10000</f>
        <v>0.63629999999999998</v>
      </c>
      <c r="I22">
        <f>4945/10000</f>
        <v>0.4945</v>
      </c>
      <c r="K22">
        <f>6607/10000</f>
        <v>0.66069999999999995</v>
      </c>
      <c r="L22">
        <f>6498/10000</f>
        <v>0.64980000000000004</v>
      </c>
      <c r="M22">
        <f>6043/10000</f>
        <v>0.60429999999999995</v>
      </c>
      <c r="N22">
        <f>5555/10000</f>
        <v>0.55549999999999999</v>
      </c>
      <c r="O22">
        <f>5370/10000</f>
        <v>0.53700000000000003</v>
      </c>
      <c r="P22">
        <f>6337/10000</f>
        <v>0.63370000000000004</v>
      </c>
      <c r="Q22">
        <f>4949/10000</f>
        <v>0.49490000000000001</v>
      </c>
      <c r="S22">
        <f>6691/10000</f>
        <v>0.66910000000000003</v>
      </c>
      <c r="T22">
        <f>6543/10000</f>
        <v>0.65429999999999999</v>
      </c>
      <c r="U22">
        <f>6073/10000</f>
        <v>0.60729999999999995</v>
      </c>
      <c r="V22">
        <f>5809/10000</f>
        <v>0.58089999999999997</v>
      </c>
      <c r="W22">
        <f>5351/10000</f>
        <v>0.53510000000000002</v>
      </c>
      <c r="X22">
        <f>6396/10000</f>
        <v>0.63959999999999995</v>
      </c>
      <c r="Y22">
        <f>4855/10000</f>
        <v>0.48549999999999999</v>
      </c>
    </row>
    <row r="27" spans="1:25">
      <c r="B27" t="s">
        <v>0</v>
      </c>
      <c r="C27">
        <f>MIN(K15,K27,K39,K51,K63,S15,S27,S39,S51,S63)</f>
        <v>0.61539999999999995</v>
      </c>
      <c r="D27">
        <f t="shared" ref="D27:I34" si="3">MIN(L15,L27,L39,L51,L63,T15,T27,T39,T51,T63)</f>
        <v>0.58650000000000002</v>
      </c>
      <c r="E27">
        <f t="shared" si="3"/>
        <v>0.53069999999999995</v>
      </c>
      <c r="F27">
        <f t="shared" si="3"/>
        <v>0.52700000000000002</v>
      </c>
      <c r="G27">
        <f t="shared" si="3"/>
        <v>0.49530000000000002</v>
      </c>
      <c r="H27">
        <f t="shared" si="3"/>
        <v>0.59240000000000004</v>
      </c>
      <c r="I27">
        <f t="shared" si="3"/>
        <v>0.44390000000000002</v>
      </c>
      <c r="K27">
        <f>6154/10000</f>
        <v>0.61539999999999995</v>
      </c>
      <c r="L27">
        <f>5865/10000</f>
        <v>0.58650000000000002</v>
      </c>
      <c r="M27">
        <f>5307/10000</f>
        <v>0.53069999999999995</v>
      </c>
      <c r="N27">
        <f>5512/10000</f>
        <v>0.55120000000000002</v>
      </c>
      <c r="O27">
        <f>4971/10000</f>
        <v>0.49709999999999999</v>
      </c>
      <c r="P27">
        <f>5970/10000</f>
        <v>0.59699999999999998</v>
      </c>
      <c r="Q27">
        <f>4852/10000</f>
        <v>0.48520000000000002</v>
      </c>
      <c r="S27">
        <f>6238/10000</f>
        <v>0.62380000000000002</v>
      </c>
      <c r="T27">
        <f>6240/10000</f>
        <v>0.624</v>
      </c>
      <c r="U27">
        <f>5934/10000</f>
        <v>0.59340000000000004</v>
      </c>
      <c r="V27">
        <f>5270/10000</f>
        <v>0.52700000000000002</v>
      </c>
      <c r="W27">
        <f>5117/10000</f>
        <v>0.51170000000000004</v>
      </c>
      <c r="X27">
        <f>6007/10000</f>
        <v>0.60070000000000001</v>
      </c>
      <c r="Y27">
        <f>4696/10000</f>
        <v>0.46960000000000002</v>
      </c>
    </row>
    <row r="28" spans="1:25">
      <c r="B28" t="s">
        <v>1</v>
      </c>
      <c r="C28">
        <f t="shared" ref="C28:C34" si="4">MIN(K16,K28,K40,K52,K64,S16,S28,S40,S52,S64)</f>
        <v>0.61650000000000005</v>
      </c>
      <c r="D28">
        <f t="shared" si="3"/>
        <v>0.60350000000000004</v>
      </c>
      <c r="E28">
        <f t="shared" si="3"/>
        <v>0.56169999999999998</v>
      </c>
      <c r="F28">
        <f t="shared" si="3"/>
        <v>0.52159999999999995</v>
      </c>
      <c r="G28">
        <f t="shared" si="3"/>
        <v>0.46300000000000002</v>
      </c>
      <c r="H28">
        <f t="shared" si="3"/>
        <v>0.57499999999999996</v>
      </c>
      <c r="I28">
        <f t="shared" si="3"/>
        <v>0.45700000000000002</v>
      </c>
      <c r="K28">
        <f>6390/10000</f>
        <v>0.63900000000000001</v>
      </c>
      <c r="L28">
        <f>6259/10000</f>
        <v>0.62590000000000001</v>
      </c>
      <c r="M28">
        <f>5727/10000</f>
        <v>0.57269999999999999</v>
      </c>
      <c r="N28">
        <f>5599/10000</f>
        <v>0.55989999999999995</v>
      </c>
      <c r="O28">
        <f>5380/10000</f>
        <v>0.53800000000000003</v>
      </c>
      <c r="P28">
        <f>6183/10000</f>
        <v>0.61829999999999996</v>
      </c>
      <c r="Q28">
        <f>5023/10000</f>
        <v>0.50229999999999997</v>
      </c>
      <c r="S28">
        <f>6388/10000</f>
        <v>0.63880000000000003</v>
      </c>
      <c r="T28">
        <f>6275/10000</f>
        <v>0.62749999999999995</v>
      </c>
      <c r="U28">
        <f>5978/10000</f>
        <v>0.5978</v>
      </c>
      <c r="V28">
        <f xml:space="preserve"> 5552/10000</f>
        <v>0.55520000000000003</v>
      </c>
      <c r="W28">
        <f>5097/10000</f>
        <v>0.50970000000000004</v>
      </c>
      <c r="X28">
        <f>6034/10000</f>
        <v>0.60340000000000005</v>
      </c>
      <c r="Y28">
        <f>4725/10000</f>
        <v>0.47249999999999998</v>
      </c>
    </row>
    <row r="29" spans="1:25">
      <c r="B29" t="s">
        <v>2</v>
      </c>
      <c r="C29">
        <f t="shared" si="4"/>
        <v>0.60770000000000002</v>
      </c>
      <c r="D29">
        <f t="shared" si="3"/>
        <v>0.58809999999999996</v>
      </c>
      <c r="E29">
        <f t="shared" si="3"/>
        <v>0.54859999999999998</v>
      </c>
      <c r="F29">
        <f t="shared" si="3"/>
        <v>0.51480000000000004</v>
      </c>
      <c r="G29">
        <f t="shared" si="3"/>
        <v>0.46500000000000002</v>
      </c>
      <c r="H29">
        <f t="shared" si="3"/>
        <v>0.58130000000000004</v>
      </c>
      <c r="I29">
        <f t="shared" si="3"/>
        <v>0.44350000000000001</v>
      </c>
      <c r="K29">
        <f>6077/10000</f>
        <v>0.60770000000000002</v>
      </c>
      <c r="L29">
        <f>5881/10000</f>
        <v>0.58809999999999996</v>
      </c>
      <c r="M29">
        <f>5486/10000</f>
        <v>0.54859999999999998</v>
      </c>
      <c r="N29">
        <f>5164/10000</f>
        <v>0.51639999999999997</v>
      </c>
      <c r="O29">
        <f>4772/10000</f>
        <v>0.47720000000000001</v>
      </c>
      <c r="P29">
        <f>5839/10000</f>
        <v>0.58389999999999997</v>
      </c>
      <c r="Q29">
        <f>4549/10000</f>
        <v>0.45490000000000003</v>
      </c>
      <c r="S29">
        <f>6177/10000</f>
        <v>0.61770000000000003</v>
      </c>
      <c r="T29">
        <f>6162/10000</f>
        <v>0.61619999999999997</v>
      </c>
      <c r="U29">
        <f>5889/10000</f>
        <v>0.58889999999999998</v>
      </c>
      <c r="V29">
        <f xml:space="preserve"> 5307/10000</f>
        <v>0.53069999999999995</v>
      </c>
      <c r="W29">
        <f>5079/10000</f>
        <v>0.50790000000000002</v>
      </c>
      <c r="X29">
        <f>5870/10000</f>
        <v>0.58699999999999997</v>
      </c>
      <c r="Y29">
        <f>4613/10000</f>
        <v>0.46129999999999999</v>
      </c>
    </row>
    <row r="30" spans="1:25">
      <c r="B30" t="s">
        <v>3</v>
      </c>
      <c r="C30">
        <f t="shared" si="4"/>
        <v>0.61629999999999996</v>
      </c>
      <c r="D30">
        <f t="shared" si="3"/>
        <v>0.60840000000000005</v>
      </c>
      <c r="E30">
        <f t="shared" si="3"/>
        <v>0.5615</v>
      </c>
      <c r="F30">
        <f t="shared" si="3"/>
        <v>0.52</v>
      </c>
      <c r="G30">
        <f t="shared" si="3"/>
        <v>0.4869</v>
      </c>
      <c r="H30">
        <f t="shared" si="3"/>
        <v>0.58399999999999996</v>
      </c>
      <c r="I30">
        <f t="shared" si="3"/>
        <v>0.44490000000000002</v>
      </c>
      <c r="K30">
        <f xml:space="preserve"> 6321/10000</f>
        <v>0.6321</v>
      </c>
      <c r="L30">
        <f>6143/10000</f>
        <v>0.61429999999999996</v>
      </c>
      <c r="M30">
        <f>5669/10000</f>
        <v>0.56689999999999996</v>
      </c>
      <c r="N30">
        <f>5660/10000</f>
        <v>0.56599999999999995</v>
      </c>
      <c r="O30">
        <f>5152/10000</f>
        <v>0.51519999999999999</v>
      </c>
      <c r="P30">
        <f>6046/10000</f>
        <v>0.60460000000000003</v>
      </c>
      <c r="Q30">
        <f>4839/10000</f>
        <v>0.4839</v>
      </c>
      <c r="S30">
        <f>6428/10000</f>
        <v>0.64280000000000004</v>
      </c>
      <c r="T30">
        <f>6355/10000</f>
        <v>0.63549999999999995</v>
      </c>
      <c r="U30">
        <f>5857/10000</f>
        <v>0.5857</v>
      </c>
      <c r="V30">
        <f>5522/10000</f>
        <v>0.55220000000000002</v>
      </c>
      <c r="W30">
        <f>5154/10000</f>
        <v>0.51539999999999997</v>
      </c>
      <c r="X30">
        <f>6095/10000</f>
        <v>0.60950000000000004</v>
      </c>
      <c r="Y30">
        <f>4717/10000</f>
        <v>0.47170000000000001</v>
      </c>
    </row>
    <row r="31" spans="1:25">
      <c r="A31" t="s">
        <v>8</v>
      </c>
      <c r="B31" t="s">
        <v>4</v>
      </c>
      <c r="C31">
        <f t="shared" si="4"/>
        <v>0.64449999999999996</v>
      </c>
      <c r="D31">
        <f t="shared" si="3"/>
        <v>0.62</v>
      </c>
      <c r="E31">
        <f t="shared" si="3"/>
        <v>0.56879999999999997</v>
      </c>
      <c r="F31">
        <f t="shared" si="3"/>
        <v>0.55130000000000001</v>
      </c>
      <c r="G31">
        <f t="shared" si="3"/>
        <v>0.50539999999999996</v>
      </c>
      <c r="H31">
        <f t="shared" si="3"/>
        <v>0.61750000000000005</v>
      </c>
      <c r="I31">
        <f t="shared" si="3"/>
        <v>0.47170000000000001</v>
      </c>
      <c r="J31" t="s">
        <v>12</v>
      </c>
      <c r="K31">
        <f>6445/10000</f>
        <v>0.64449999999999996</v>
      </c>
      <c r="L31">
        <f>6200/10000</f>
        <v>0.62</v>
      </c>
      <c r="M31">
        <f>5688/10000</f>
        <v>0.56879999999999997</v>
      </c>
      <c r="N31">
        <f>5590/10000</f>
        <v>0.55900000000000005</v>
      </c>
      <c r="O31">
        <f>5196/10000</f>
        <v>0.51959999999999995</v>
      </c>
      <c r="P31">
        <f>6238/10000</f>
        <v>0.62380000000000002</v>
      </c>
      <c r="Q31">
        <f>4901/10000</f>
        <v>0.49009999999999998</v>
      </c>
      <c r="R31" t="s">
        <v>17</v>
      </c>
      <c r="S31">
        <f>6566/10000</f>
        <v>0.65659999999999996</v>
      </c>
      <c r="T31">
        <f>6480/10000</f>
        <v>0.64800000000000002</v>
      </c>
      <c r="U31">
        <f>6186/10000</f>
        <v>0.61860000000000004</v>
      </c>
      <c r="V31">
        <f>5597/10000</f>
        <v>0.55969999999999998</v>
      </c>
      <c r="W31">
        <f>5426/10000</f>
        <v>0.54259999999999997</v>
      </c>
      <c r="X31">
        <f>6250/10000</f>
        <v>0.625</v>
      </c>
      <c r="Y31">
        <f>4953/10000</f>
        <v>0.49530000000000002</v>
      </c>
    </row>
    <row r="32" spans="1:25">
      <c r="B32" t="s">
        <v>5</v>
      </c>
      <c r="C32">
        <f t="shared" si="4"/>
        <v>0.65180000000000005</v>
      </c>
      <c r="D32">
        <f t="shared" si="3"/>
        <v>0.64080000000000004</v>
      </c>
      <c r="E32">
        <f t="shared" si="3"/>
        <v>0.59860000000000002</v>
      </c>
      <c r="F32">
        <f t="shared" si="3"/>
        <v>0.5544</v>
      </c>
      <c r="G32">
        <f t="shared" si="3"/>
        <v>0.50219999999999998</v>
      </c>
      <c r="H32">
        <f t="shared" si="3"/>
        <v>0.61350000000000005</v>
      </c>
      <c r="I32">
        <f t="shared" si="3"/>
        <v>0.48309999999999997</v>
      </c>
      <c r="K32">
        <f>6712/10000</f>
        <v>0.67120000000000002</v>
      </c>
      <c r="L32">
        <f>6540/10000</f>
        <v>0.65400000000000003</v>
      </c>
      <c r="M32">
        <f>6071/10000</f>
        <v>0.60709999999999997</v>
      </c>
      <c r="N32">
        <f>5947/10000</f>
        <v>0.59470000000000001</v>
      </c>
      <c r="O32">
        <f>5578/10000</f>
        <v>0.55779999999999996</v>
      </c>
      <c r="P32">
        <f>6440/10000</f>
        <v>0.64400000000000002</v>
      </c>
      <c r="Q32">
        <f>5263/10000</f>
        <v>0.52629999999999999</v>
      </c>
      <c r="S32">
        <f>6724/10000</f>
        <v>0.6724</v>
      </c>
      <c r="T32">
        <f>6641/10000</f>
        <v>0.66410000000000002</v>
      </c>
      <c r="U32">
        <f>6213/10000</f>
        <v>0.62129999999999996</v>
      </c>
      <c r="V32">
        <f>5864/10000</f>
        <v>0.58640000000000003</v>
      </c>
      <c r="W32">
        <f>5516/10000</f>
        <v>0.55159999999999998</v>
      </c>
      <c r="X32">
        <f>6417/10000</f>
        <v>0.64170000000000005</v>
      </c>
      <c r="Y32">
        <f>4983/10000</f>
        <v>0.49830000000000002</v>
      </c>
    </row>
    <row r="33" spans="1:25">
      <c r="B33" t="s">
        <v>6</v>
      </c>
      <c r="C33">
        <f t="shared" si="4"/>
        <v>0.69650000000000001</v>
      </c>
      <c r="D33">
        <f t="shared" si="3"/>
        <v>0.67630000000000001</v>
      </c>
      <c r="E33">
        <f t="shared" si="3"/>
        <v>0.63280000000000003</v>
      </c>
      <c r="F33">
        <f t="shared" si="3"/>
        <v>0.5998</v>
      </c>
      <c r="G33">
        <f t="shared" si="3"/>
        <v>0.56189999999999996</v>
      </c>
      <c r="H33">
        <f t="shared" si="3"/>
        <v>0.65980000000000005</v>
      </c>
      <c r="I33">
        <f t="shared" si="3"/>
        <v>0.53600000000000003</v>
      </c>
      <c r="K33">
        <f>6994/10000</f>
        <v>0.69940000000000002</v>
      </c>
      <c r="L33">
        <f>6763/10000</f>
        <v>0.67630000000000001</v>
      </c>
      <c r="M33">
        <f xml:space="preserve"> 6328/10000</f>
        <v>0.63280000000000003</v>
      </c>
      <c r="N33">
        <f>6197/10000</f>
        <v>0.61970000000000003</v>
      </c>
      <c r="O33">
        <f>5834/10000</f>
        <v>0.58340000000000003</v>
      </c>
      <c r="P33">
        <f>6798/10000</f>
        <v>0.67979999999999996</v>
      </c>
      <c r="Q33">
        <f>5532/10000</f>
        <v>0.55320000000000003</v>
      </c>
      <c r="S33">
        <f>7106/10000</f>
        <v>0.71060000000000001</v>
      </c>
      <c r="T33">
        <f>7052/10000</f>
        <v>0.70520000000000005</v>
      </c>
      <c r="U33">
        <f>6717/10000</f>
        <v>0.67169999999999996</v>
      </c>
      <c r="V33">
        <f>6221/10000</f>
        <v>0.62209999999999999</v>
      </c>
      <c r="W33">
        <f>5927/10000</f>
        <v>0.5927</v>
      </c>
      <c r="X33">
        <f>6794/10000</f>
        <v>0.6794</v>
      </c>
      <c r="Y33">
        <f>5574/10000</f>
        <v>0.55740000000000001</v>
      </c>
    </row>
    <row r="34" spans="1:25">
      <c r="B34" t="s">
        <v>47</v>
      </c>
      <c r="C34">
        <f t="shared" si="4"/>
        <v>0.65490000000000004</v>
      </c>
      <c r="D34">
        <f t="shared" si="3"/>
        <v>0.6371</v>
      </c>
      <c r="E34">
        <f t="shared" si="3"/>
        <v>0.57999999999999996</v>
      </c>
      <c r="F34">
        <f t="shared" si="3"/>
        <v>0.54190000000000005</v>
      </c>
      <c r="G34">
        <f t="shared" si="3"/>
        <v>0.51419999999999999</v>
      </c>
      <c r="H34">
        <f t="shared" si="3"/>
        <v>0.61980000000000002</v>
      </c>
      <c r="I34">
        <f t="shared" si="3"/>
        <v>0.4819</v>
      </c>
      <c r="K34">
        <f>6582/10000</f>
        <v>0.65820000000000001</v>
      </c>
      <c r="L34">
        <f>6399/10000</f>
        <v>0.63990000000000002</v>
      </c>
      <c r="M34">
        <f>5800/10000</f>
        <v>0.57999999999999996</v>
      </c>
      <c r="N34">
        <f>5651/10000</f>
        <v>0.56510000000000005</v>
      </c>
      <c r="O34">
        <f>5263/10000</f>
        <v>0.52629999999999999</v>
      </c>
      <c r="P34">
        <f>6296/10000</f>
        <v>0.62960000000000005</v>
      </c>
      <c r="Q34">
        <f>4857/10000</f>
        <v>0.48570000000000002</v>
      </c>
      <c r="S34">
        <f>6654/10000</f>
        <v>0.66539999999999999</v>
      </c>
      <c r="T34">
        <f>6567/10000</f>
        <v>0.65669999999999995</v>
      </c>
      <c r="U34">
        <f>6202/10000</f>
        <v>0.62019999999999997</v>
      </c>
      <c r="V34">
        <f>5639/10000</f>
        <v>0.56389999999999996</v>
      </c>
      <c r="W34">
        <f>5401/10000</f>
        <v>0.54010000000000002</v>
      </c>
      <c r="X34">
        <f>6279/10000</f>
        <v>0.62790000000000001</v>
      </c>
      <c r="Y34">
        <f>4875/10000</f>
        <v>0.48749999999999999</v>
      </c>
    </row>
    <row r="39" spans="1:25">
      <c r="B39" t="s">
        <v>0</v>
      </c>
      <c r="C39">
        <f t="shared" ref="C39:I46" si="5">MAX(K15,K27,K39,K51,K63,S15,S27,S39,S51,S63)</f>
        <v>0.63660000000000005</v>
      </c>
      <c r="D39">
        <f t="shared" si="5"/>
        <v>0.62570000000000003</v>
      </c>
      <c r="E39">
        <f t="shared" si="5"/>
        <v>0.59340000000000004</v>
      </c>
      <c r="F39">
        <f t="shared" si="5"/>
        <v>0.56359999999999999</v>
      </c>
      <c r="G39">
        <f t="shared" si="5"/>
        <v>0.52559999999999996</v>
      </c>
      <c r="H39">
        <f t="shared" si="5"/>
        <v>0.61380000000000001</v>
      </c>
      <c r="I39">
        <f t="shared" si="5"/>
        <v>0.48520000000000002</v>
      </c>
      <c r="K39">
        <f>6211/10000</f>
        <v>0.62109999999999999</v>
      </c>
      <c r="L39">
        <f>6147/10000</f>
        <v>0.61470000000000002</v>
      </c>
      <c r="M39">
        <f>5557/10000</f>
        <v>0.55569999999999997</v>
      </c>
      <c r="N39">
        <f>5278/10000</f>
        <v>0.52780000000000005</v>
      </c>
      <c r="O39">
        <f>4953/10000</f>
        <v>0.49530000000000002</v>
      </c>
      <c r="P39">
        <f>5924/10000</f>
        <v>0.59240000000000004</v>
      </c>
      <c r="Q39">
        <f>4599/10000</f>
        <v>0.45989999999999998</v>
      </c>
      <c r="S39">
        <f>6366/10000</f>
        <v>0.63660000000000005</v>
      </c>
      <c r="T39">
        <f>6257/10000</f>
        <v>0.62570000000000003</v>
      </c>
      <c r="U39">
        <f>5932/10000</f>
        <v>0.59319999999999995</v>
      </c>
      <c r="V39">
        <f>5636/10000</f>
        <v>0.56359999999999999</v>
      </c>
      <c r="W39">
        <f>5216/10000</f>
        <v>0.52159999999999995</v>
      </c>
      <c r="X39">
        <f>6138/10000</f>
        <v>0.61380000000000001</v>
      </c>
      <c r="Y39">
        <f>4621/10000</f>
        <v>0.46210000000000001</v>
      </c>
    </row>
    <row r="40" spans="1:25">
      <c r="B40" t="s">
        <v>1</v>
      </c>
      <c r="C40">
        <f t="shared" si="5"/>
        <v>0.63900000000000001</v>
      </c>
      <c r="D40">
        <f t="shared" si="5"/>
        <v>0.62749999999999995</v>
      </c>
      <c r="E40">
        <f t="shared" si="5"/>
        <v>0.5978</v>
      </c>
      <c r="F40">
        <f t="shared" si="5"/>
        <v>0.55989999999999995</v>
      </c>
      <c r="G40">
        <f t="shared" si="5"/>
        <v>0.53800000000000003</v>
      </c>
      <c r="H40">
        <f t="shared" si="5"/>
        <v>0.61829999999999996</v>
      </c>
      <c r="I40">
        <f t="shared" si="5"/>
        <v>0.505</v>
      </c>
      <c r="K40">
        <f>6248/10000</f>
        <v>0.62480000000000002</v>
      </c>
      <c r="L40">
        <f>6142/10000</f>
        <v>0.61419999999999997</v>
      </c>
      <c r="M40">
        <f>5617/10000</f>
        <v>0.56169999999999998</v>
      </c>
      <c r="N40">
        <f>5573/10000</f>
        <v>0.55730000000000002</v>
      </c>
      <c r="O40">
        <f>5237/10000</f>
        <v>0.52370000000000005</v>
      </c>
      <c r="P40">
        <f>6089/10000</f>
        <v>0.6089</v>
      </c>
      <c r="Q40">
        <f>4714/10000</f>
        <v>0.47139999999999999</v>
      </c>
      <c r="S40">
        <f>6177/10000</f>
        <v>0.61770000000000003</v>
      </c>
      <c r="T40">
        <f>6141/10000</f>
        <v>0.61409999999999998</v>
      </c>
      <c r="U40">
        <f>5919/10000</f>
        <v>0.59189999999999998</v>
      </c>
      <c r="V40">
        <f>5431/10000</f>
        <v>0.54310000000000003</v>
      </c>
      <c r="W40">
        <f>5115/10000</f>
        <v>0.51149999999999995</v>
      </c>
      <c r="X40">
        <f xml:space="preserve"> 5952/10000</f>
        <v>0.59519999999999995</v>
      </c>
      <c r="Y40">
        <f>5050/10000</f>
        <v>0.505</v>
      </c>
    </row>
    <row r="41" spans="1:25">
      <c r="B41" t="s">
        <v>2</v>
      </c>
      <c r="C41">
        <f t="shared" si="5"/>
        <v>0.63970000000000005</v>
      </c>
      <c r="D41">
        <f t="shared" si="5"/>
        <v>0.62570000000000003</v>
      </c>
      <c r="E41">
        <f t="shared" si="5"/>
        <v>0.58899999999999997</v>
      </c>
      <c r="F41">
        <f t="shared" si="5"/>
        <v>0.55189999999999995</v>
      </c>
      <c r="G41">
        <f t="shared" si="5"/>
        <v>0.50790000000000002</v>
      </c>
      <c r="H41">
        <f t="shared" si="5"/>
        <v>0.60589999999999999</v>
      </c>
      <c r="I41">
        <f t="shared" si="5"/>
        <v>0.46589999999999998</v>
      </c>
      <c r="K41">
        <f>6131/10000</f>
        <v>0.61309999999999998</v>
      </c>
      <c r="L41">
        <f>6014/10000</f>
        <v>0.60140000000000005</v>
      </c>
      <c r="M41">
        <f>5486/10000</f>
        <v>0.54859999999999998</v>
      </c>
      <c r="N41">
        <f>5316/10000</f>
        <v>0.53159999999999996</v>
      </c>
      <c r="O41">
        <f>4650/10000</f>
        <v>0.46500000000000002</v>
      </c>
      <c r="P41">
        <f>5820/10000</f>
        <v>0.58199999999999996</v>
      </c>
      <c r="Q41">
        <f>4528/10000</f>
        <v>0.45279999999999998</v>
      </c>
      <c r="S41">
        <f>6397/10000</f>
        <v>0.63970000000000005</v>
      </c>
      <c r="T41">
        <f>6257/10000</f>
        <v>0.62570000000000003</v>
      </c>
      <c r="U41">
        <f>5890/10000</f>
        <v>0.58899999999999997</v>
      </c>
      <c r="V41">
        <f>5519/10000</f>
        <v>0.55189999999999995</v>
      </c>
      <c r="W41">
        <f>4871/10000</f>
        <v>0.48709999999999998</v>
      </c>
      <c r="X41">
        <f>6059/10000</f>
        <v>0.60589999999999999</v>
      </c>
      <c r="Y41">
        <f>4569/10000</f>
        <v>0.45689999999999997</v>
      </c>
    </row>
    <row r="42" spans="1:25">
      <c r="B42" t="s">
        <v>3</v>
      </c>
      <c r="C42">
        <f t="shared" si="5"/>
        <v>0.64280000000000004</v>
      </c>
      <c r="D42">
        <f t="shared" si="5"/>
        <v>0.63549999999999995</v>
      </c>
      <c r="E42">
        <f t="shared" si="5"/>
        <v>0.58630000000000004</v>
      </c>
      <c r="F42">
        <f t="shared" si="5"/>
        <v>0.56599999999999995</v>
      </c>
      <c r="G42">
        <f t="shared" si="5"/>
        <v>0.5232</v>
      </c>
      <c r="H42">
        <f t="shared" si="5"/>
        <v>0.60950000000000004</v>
      </c>
      <c r="I42">
        <f t="shared" si="5"/>
        <v>0.4839</v>
      </c>
      <c r="K42">
        <f>6236/10000</f>
        <v>0.62360000000000004</v>
      </c>
      <c r="L42">
        <f>6089/10000</f>
        <v>0.6089</v>
      </c>
      <c r="M42">
        <f>5615/10000</f>
        <v>0.5615</v>
      </c>
      <c r="N42">
        <f>5452/10000</f>
        <v>0.54520000000000002</v>
      </c>
      <c r="O42">
        <f>5009/10000</f>
        <v>0.50090000000000001</v>
      </c>
      <c r="P42">
        <f>5894/10000</f>
        <v>0.58940000000000003</v>
      </c>
      <c r="Q42">
        <f>4700/10000</f>
        <v>0.47</v>
      </c>
      <c r="S42">
        <f xml:space="preserve"> 6207/10000</f>
        <v>0.62070000000000003</v>
      </c>
      <c r="T42">
        <f>6084/10000</f>
        <v>0.60840000000000005</v>
      </c>
      <c r="U42">
        <f xml:space="preserve"> 5741/10000</f>
        <v>0.57410000000000005</v>
      </c>
      <c r="V42">
        <f>5462/10000</f>
        <v>0.54620000000000002</v>
      </c>
      <c r="W42">
        <f>5033/10000</f>
        <v>0.50329999999999997</v>
      </c>
      <c r="X42">
        <f>5840/10000</f>
        <v>0.58399999999999996</v>
      </c>
      <c r="Y42">
        <f>4832/10000</f>
        <v>0.48320000000000002</v>
      </c>
    </row>
    <row r="43" spans="1:25">
      <c r="A43" t="s">
        <v>9</v>
      </c>
      <c r="B43" t="s">
        <v>4</v>
      </c>
      <c r="C43">
        <f t="shared" si="5"/>
        <v>0.67079999999999995</v>
      </c>
      <c r="D43">
        <f t="shared" si="5"/>
        <v>0.65359999999999996</v>
      </c>
      <c r="E43">
        <f t="shared" si="5"/>
        <v>0.62119999999999997</v>
      </c>
      <c r="F43">
        <f t="shared" si="5"/>
        <v>0.58609999999999995</v>
      </c>
      <c r="G43">
        <f t="shared" si="5"/>
        <v>0.54400000000000004</v>
      </c>
      <c r="H43">
        <f t="shared" si="5"/>
        <v>0.63639999999999997</v>
      </c>
      <c r="I43">
        <f t="shared" si="5"/>
        <v>0.50160000000000005</v>
      </c>
      <c r="J43" t="s">
        <v>13</v>
      </c>
      <c r="K43">
        <f>6448/10000</f>
        <v>0.64480000000000004</v>
      </c>
      <c r="L43">
        <f>6383/10000</f>
        <v>0.63829999999999998</v>
      </c>
      <c r="M43">
        <f>5823/10000</f>
        <v>0.58230000000000004</v>
      </c>
      <c r="N43">
        <f>5598/10000</f>
        <v>0.55979999999999996</v>
      </c>
      <c r="O43">
        <f>5054/10000</f>
        <v>0.50539999999999996</v>
      </c>
      <c r="P43">
        <f>6175/10000</f>
        <v>0.61750000000000005</v>
      </c>
      <c r="Q43">
        <f>4859/10000</f>
        <v>0.4859</v>
      </c>
      <c r="R43" t="s">
        <v>18</v>
      </c>
      <c r="S43">
        <f xml:space="preserve"> 6708/10000</f>
        <v>0.67079999999999995</v>
      </c>
      <c r="T43">
        <f>6536/10000</f>
        <v>0.65359999999999996</v>
      </c>
      <c r="U43">
        <f>6212/10000</f>
        <v>0.62119999999999997</v>
      </c>
      <c r="V43">
        <f>5861/10000</f>
        <v>0.58609999999999995</v>
      </c>
      <c r="W43">
        <f>5335/10000</f>
        <v>0.53349999999999997</v>
      </c>
      <c r="X43">
        <f>6364/10000</f>
        <v>0.63639999999999997</v>
      </c>
      <c r="Y43">
        <f>4893/10000</f>
        <v>0.48930000000000001</v>
      </c>
    </row>
    <row r="44" spans="1:25">
      <c r="B44" t="s">
        <v>5</v>
      </c>
      <c r="C44">
        <f t="shared" si="5"/>
        <v>0.6724</v>
      </c>
      <c r="D44">
        <f t="shared" si="5"/>
        <v>0.66410000000000002</v>
      </c>
      <c r="E44">
        <f t="shared" si="5"/>
        <v>0.62519999999999998</v>
      </c>
      <c r="F44">
        <f t="shared" si="5"/>
        <v>0.59470000000000001</v>
      </c>
      <c r="G44">
        <f t="shared" si="5"/>
        <v>0.55779999999999996</v>
      </c>
      <c r="H44">
        <f t="shared" si="5"/>
        <v>0.64400000000000002</v>
      </c>
      <c r="I44">
        <f t="shared" si="5"/>
        <v>0.53520000000000001</v>
      </c>
      <c r="K44">
        <f>6583/10000</f>
        <v>0.6583</v>
      </c>
      <c r="L44">
        <f>6458/10000</f>
        <v>0.64580000000000004</v>
      </c>
      <c r="M44">
        <f>5986/10000</f>
        <v>0.59860000000000002</v>
      </c>
      <c r="N44">
        <f>5894/10000</f>
        <v>0.58940000000000003</v>
      </c>
      <c r="O44">
        <f>5551/10000</f>
        <v>0.55510000000000004</v>
      </c>
      <c r="P44">
        <f>6312/10000</f>
        <v>0.63119999999999998</v>
      </c>
      <c r="Q44">
        <f>4988/10000</f>
        <v>0.49880000000000002</v>
      </c>
      <c r="S44">
        <f>6625/10000</f>
        <v>0.66249999999999998</v>
      </c>
      <c r="T44">
        <f xml:space="preserve"> 6481/10000</f>
        <v>0.64810000000000001</v>
      </c>
      <c r="U44">
        <f>6252/10000</f>
        <v>0.62519999999999998</v>
      </c>
      <c r="V44">
        <f>5866/10000</f>
        <v>0.58660000000000001</v>
      </c>
      <c r="W44">
        <f>5387/10000</f>
        <v>0.53869999999999996</v>
      </c>
      <c r="X44">
        <f>6292/10000</f>
        <v>0.62919999999999998</v>
      </c>
      <c r="Y44">
        <f>5352/10000</f>
        <v>0.53520000000000001</v>
      </c>
    </row>
    <row r="45" spans="1:25">
      <c r="B45" t="s">
        <v>6</v>
      </c>
      <c r="C45">
        <f t="shared" si="5"/>
        <v>0.71060000000000001</v>
      </c>
      <c r="D45">
        <f t="shared" si="5"/>
        <v>0.70520000000000005</v>
      </c>
      <c r="E45">
        <f t="shared" si="5"/>
        <v>0.67169999999999996</v>
      </c>
      <c r="F45">
        <f t="shared" si="5"/>
        <v>0.62909999999999999</v>
      </c>
      <c r="G45">
        <f t="shared" si="5"/>
        <v>0.5927</v>
      </c>
      <c r="H45">
        <f t="shared" si="5"/>
        <v>0.68100000000000005</v>
      </c>
      <c r="I45">
        <f t="shared" si="5"/>
        <v>0.55740000000000001</v>
      </c>
      <c r="K45">
        <f>6965/10000</f>
        <v>0.69650000000000001</v>
      </c>
      <c r="L45">
        <f>6878/10000</f>
        <v>0.68779999999999997</v>
      </c>
      <c r="M45">
        <f>6348/10000</f>
        <v>0.63480000000000003</v>
      </c>
      <c r="N45">
        <f>6198/10000</f>
        <v>0.61980000000000002</v>
      </c>
      <c r="O45">
        <f>5842/10000</f>
        <v>0.58420000000000005</v>
      </c>
      <c r="P45">
        <f>6677/10000</f>
        <v>0.66769999999999996</v>
      </c>
      <c r="Q45">
        <f>5472/10000</f>
        <v>0.54720000000000002</v>
      </c>
      <c r="S45">
        <f>7096/10000</f>
        <v>0.70960000000000001</v>
      </c>
      <c r="T45">
        <f>6970/10000</f>
        <v>0.69699999999999995</v>
      </c>
      <c r="U45">
        <f>6705/10000</f>
        <v>0.67049999999999998</v>
      </c>
      <c r="V45">
        <f>6291/10000</f>
        <v>0.62909999999999999</v>
      </c>
      <c r="W45">
        <f>5780/10000</f>
        <v>0.57799999999999996</v>
      </c>
      <c r="X45">
        <f>6810/10000</f>
        <v>0.68100000000000005</v>
      </c>
      <c r="Y45">
        <f>5551/10000</f>
        <v>0.55510000000000004</v>
      </c>
    </row>
    <row r="46" spans="1:25">
      <c r="B46" t="s">
        <v>47</v>
      </c>
      <c r="C46">
        <f t="shared" si="5"/>
        <v>0.66910000000000003</v>
      </c>
      <c r="D46">
        <f t="shared" si="5"/>
        <v>0.65769999999999995</v>
      </c>
      <c r="E46">
        <f t="shared" si="5"/>
        <v>0.62080000000000002</v>
      </c>
      <c r="F46">
        <f t="shared" si="5"/>
        <v>0.58089999999999997</v>
      </c>
      <c r="G46">
        <f t="shared" si="5"/>
        <v>0.54069999999999996</v>
      </c>
      <c r="H46">
        <f t="shared" si="5"/>
        <v>0.63959999999999995</v>
      </c>
      <c r="I46">
        <f t="shared" si="5"/>
        <v>0.49909999999999999</v>
      </c>
      <c r="K46">
        <f>6602/10000</f>
        <v>0.66020000000000001</v>
      </c>
      <c r="L46">
        <f>6535/10000</f>
        <v>0.65349999999999997</v>
      </c>
      <c r="M46">
        <f>6048/10000</f>
        <v>0.6048</v>
      </c>
      <c r="N46">
        <f>5681/10000</f>
        <v>0.56810000000000005</v>
      </c>
      <c r="O46">
        <f>5297/10000</f>
        <v>0.52969999999999995</v>
      </c>
      <c r="P46">
        <f>6270/10000</f>
        <v>0.627</v>
      </c>
      <c r="Q46">
        <f>4991/10000</f>
        <v>0.49909999999999999</v>
      </c>
      <c r="S46">
        <f>6680/10000</f>
        <v>0.66800000000000004</v>
      </c>
      <c r="T46">
        <f>6577/10000</f>
        <v>0.65769999999999995</v>
      </c>
      <c r="U46">
        <f>6208/10000</f>
        <v>0.62080000000000002</v>
      </c>
      <c r="V46">
        <f>5761/10000</f>
        <v>0.57609999999999995</v>
      </c>
      <c r="W46">
        <f>5185/10000</f>
        <v>0.51849999999999996</v>
      </c>
      <c r="X46">
        <f>6354/10000</f>
        <v>0.63539999999999996</v>
      </c>
      <c r="Y46">
        <f>4914/10000</f>
        <v>0.4914</v>
      </c>
    </row>
    <row r="51" spans="1:25">
      <c r="B51" t="s">
        <v>0</v>
      </c>
      <c r="C51">
        <f t="shared" ref="C51:I58" si="6">AVERAGE(K15,K27,K39,K51,K63,S15,S27,S39,S51,S63)</f>
        <v>0.62656999999999996</v>
      </c>
      <c r="D51">
        <f t="shared" si="6"/>
        <v>0.61523000000000005</v>
      </c>
      <c r="E51">
        <f t="shared" si="6"/>
        <v>0.57433999999999996</v>
      </c>
      <c r="F51">
        <f t="shared" si="6"/>
        <v>0.54047999999999996</v>
      </c>
      <c r="G51">
        <f t="shared" si="6"/>
        <v>0.50807999999999998</v>
      </c>
      <c r="H51">
        <f t="shared" si="6"/>
        <v>0.60053000000000001</v>
      </c>
      <c r="I51">
        <f t="shared" si="6"/>
        <v>0.46483999999999998</v>
      </c>
      <c r="K51">
        <f>6344/10000</f>
        <v>0.63439999999999996</v>
      </c>
      <c r="L51">
        <f>6204/10000</f>
        <v>0.62039999999999995</v>
      </c>
      <c r="M51">
        <f>5817/10000</f>
        <v>0.58169999999999999</v>
      </c>
      <c r="N51">
        <f>5299/10000</f>
        <v>0.52990000000000004</v>
      </c>
      <c r="O51">
        <f>5256/10000</f>
        <v>0.52559999999999996</v>
      </c>
      <c r="P51">
        <f>6055/10000</f>
        <v>0.60550000000000004</v>
      </c>
      <c r="Q51">
        <f>4631/10000</f>
        <v>0.46310000000000001</v>
      </c>
      <c r="S51">
        <f>6299/10000</f>
        <v>0.62990000000000002</v>
      </c>
      <c r="T51">
        <f>6223/10000</f>
        <v>0.62229999999999996</v>
      </c>
      <c r="U51">
        <f>5885/10000</f>
        <v>0.58850000000000002</v>
      </c>
      <c r="V51">
        <f>5393/10000</f>
        <v>0.5393</v>
      </c>
      <c r="W51">
        <f>5085/10000</f>
        <v>0.50849999999999995</v>
      </c>
      <c r="X51">
        <f>5990/10000</f>
        <v>0.59899999999999998</v>
      </c>
      <c r="Y51">
        <f>4613/10000</f>
        <v>0.46129999999999999</v>
      </c>
    </row>
    <row r="52" spans="1:25">
      <c r="B52" t="s">
        <v>1</v>
      </c>
      <c r="C52">
        <f t="shared" si="6"/>
        <v>0.62636999999999998</v>
      </c>
      <c r="D52">
        <f t="shared" si="6"/>
        <v>0.6159</v>
      </c>
      <c r="E52">
        <f t="shared" si="6"/>
        <v>0.57982</v>
      </c>
      <c r="F52">
        <f t="shared" si="6"/>
        <v>0.54466000000000003</v>
      </c>
      <c r="G52">
        <f t="shared" si="6"/>
        <v>0.51085000000000003</v>
      </c>
      <c r="H52">
        <f t="shared" si="6"/>
        <v>0.59738000000000002</v>
      </c>
      <c r="I52">
        <f t="shared" si="6"/>
        <v>0.48184999999999995</v>
      </c>
      <c r="K52">
        <f>6165/10000</f>
        <v>0.61650000000000005</v>
      </c>
      <c r="L52">
        <f>6089/10000</f>
        <v>0.6089</v>
      </c>
      <c r="M52">
        <f>5783/10000</f>
        <v>0.57830000000000004</v>
      </c>
      <c r="N52">
        <f>5423/10000</f>
        <v>0.5423</v>
      </c>
      <c r="O52">
        <f>5016/10000</f>
        <v>0.50160000000000005</v>
      </c>
      <c r="P52">
        <f>5750/10000</f>
        <v>0.57499999999999996</v>
      </c>
      <c r="Q52">
        <f>4898/10000</f>
        <v>0.48980000000000001</v>
      </c>
      <c r="S52">
        <f>6170/10000</f>
        <v>0.61699999999999999</v>
      </c>
      <c r="T52">
        <f>6035/10000</f>
        <v>0.60350000000000004</v>
      </c>
      <c r="U52">
        <f>5875/10000</f>
        <v>0.58750000000000002</v>
      </c>
      <c r="V52">
        <f>5216/10000</f>
        <v>0.52159999999999995</v>
      </c>
      <c r="W52">
        <f>4630/10000</f>
        <v>0.46300000000000002</v>
      </c>
      <c r="X52">
        <f>5822/10000</f>
        <v>0.58220000000000005</v>
      </c>
      <c r="Y52">
        <f>4718/10000</f>
        <v>0.4718</v>
      </c>
    </row>
    <row r="53" spans="1:25">
      <c r="B53" t="s">
        <v>2</v>
      </c>
      <c r="C53">
        <f t="shared" si="6"/>
        <v>0.61973</v>
      </c>
      <c r="D53">
        <f t="shared" si="6"/>
        <v>0.60760000000000003</v>
      </c>
      <c r="E53">
        <f t="shared" si="6"/>
        <v>0.56781999999999999</v>
      </c>
      <c r="F53">
        <f t="shared" si="6"/>
        <v>0.53071999999999997</v>
      </c>
      <c r="G53">
        <f t="shared" si="6"/>
        <v>0.49282000000000004</v>
      </c>
      <c r="H53">
        <f t="shared" si="6"/>
        <v>0.59060000000000001</v>
      </c>
      <c r="I53">
        <f t="shared" si="6"/>
        <v>0.45667999999999986</v>
      </c>
      <c r="K53">
        <f>6164/10000</f>
        <v>0.61639999999999995</v>
      </c>
      <c r="L53">
        <f>5983/10000</f>
        <v>0.59830000000000005</v>
      </c>
      <c r="M53">
        <f>5539/10000</f>
        <v>0.55389999999999995</v>
      </c>
      <c r="N53">
        <f>5237/10000</f>
        <v>0.52370000000000005</v>
      </c>
      <c r="O53">
        <f>4981/10000</f>
        <v>0.49809999999999999</v>
      </c>
      <c r="P53">
        <f>5813/10000</f>
        <v>0.58130000000000004</v>
      </c>
      <c r="Q53">
        <f>4537/10000</f>
        <v>0.45369999999999999</v>
      </c>
      <c r="S53">
        <f>6212/10000</f>
        <v>0.62119999999999997</v>
      </c>
      <c r="T53">
        <f>6108/10000</f>
        <v>0.61080000000000001</v>
      </c>
      <c r="U53">
        <f>5736/10000</f>
        <v>0.5736</v>
      </c>
      <c r="V53">
        <f>5169/10000</f>
        <v>0.51690000000000003</v>
      </c>
      <c r="W53">
        <f>4949/10000</f>
        <v>0.49490000000000001</v>
      </c>
      <c r="X53">
        <f>5849/10000</f>
        <v>0.58489999999999998</v>
      </c>
      <c r="Y53">
        <f>4497/10000</f>
        <v>0.44969999999999999</v>
      </c>
    </row>
    <row r="54" spans="1:25">
      <c r="B54" t="s">
        <v>3</v>
      </c>
      <c r="C54">
        <f t="shared" si="6"/>
        <v>0.62886000000000009</v>
      </c>
      <c r="D54">
        <f t="shared" si="6"/>
        <v>0.6177999999999999</v>
      </c>
      <c r="E54">
        <f t="shared" si="6"/>
        <v>0.57623000000000002</v>
      </c>
      <c r="F54">
        <f t="shared" si="6"/>
        <v>0.54376000000000002</v>
      </c>
      <c r="G54">
        <f t="shared" si="6"/>
        <v>0.50571999999999995</v>
      </c>
      <c r="H54">
        <f t="shared" si="6"/>
        <v>0.59566999999999992</v>
      </c>
      <c r="I54">
        <f t="shared" si="6"/>
        <v>0.46962999999999999</v>
      </c>
      <c r="K54">
        <f>6374/10000</f>
        <v>0.63739999999999997</v>
      </c>
      <c r="L54">
        <f>6272/10000</f>
        <v>0.62719999999999998</v>
      </c>
      <c r="M54">
        <f>5863/10000</f>
        <v>0.58630000000000004</v>
      </c>
      <c r="N54">
        <f>5631/10000</f>
        <v>0.56310000000000004</v>
      </c>
      <c r="O54">
        <f>5232/10000</f>
        <v>0.5232</v>
      </c>
      <c r="P54">
        <f>5996/10000</f>
        <v>0.59960000000000002</v>
      </c>
      <c r="Q54">
        <f>4662/10000</f>
        <v>0.4662</v>
      </c>
      <c r="S54">
        <f>6260/10000</f>
        <v>0.626</v>
      </c>
      <c r="T54">
        <f>6121/10000</f>
        <v>0.61209999999999998</v>
      </c>
      <c r="U54">
        <f>5749/10000</f>
        <v>0.57489999999999997</v>
      </c>
      <c r="V54">
        <f>5363/10000</f>
        <v>0.5363</v>
      </c>
      <c r="W54">
        <f>4943/10000</f>
        <v>0.49430000000000002</v>
      </c>
      <c r="X54">
        <f>5840/10000</f>
        <v>0.58399999999999996</v>
      </c>
      <c r="Y54">
        <f>4829/10000</f>
        <v>0.4829</v>
      </c>
    </row>
    <row r="55" spans="1:25">
      <c r="A55" t="s">
        <v>10</v>
      </c>
      <c r="B55" t="s">
        <v>4</v>
      </c>
      <c r="C55">
        <f t="shared" si="6"/>
        <v>0.6549299999999999</v>
      </c>
      <c r="D55">
        <f t="shared" si="6"/>
        <v>0.64215</v>
      </c>
      <c r="E55">
        <f t="shared" si="6"/>
        <v>0.60208000000000006</v>
      </c>
      <c r="F55">
        <f t="shared" si="6"/>
        <v>0.56564999999999999</v>
      </c>
      <c r="G55">
        <f t="shared" si="6"/>
        <v>0.53065999999999991</v>
      </c>
      <c r="H55">
        <f t="shared" si="6"/>
        <v>0.62668999999999997</v>
      </c>
      <c r="I55">
        <f t="shared" si="6"/>
        <v>0.48939999999999995</v>
      </c>
      <c r="J55" t="s">
        <v>14</v>
      </c>
      <c r="K55">
        <f>6603/10000</f>
        <v>0.6603</v>
      </c>
      <c r="L55">
        <f>6439/10000</f>
        <v>0.64390000000000003</v>
      </c>
      <c r="M55">
        <f>6030/10000</f>
        <v>0.60299999999999998</v>
      </c>
      <c r="N55">
        <f>5635/10000</f>
        <v>0.5635</v>
      </c>
      <c r="O55">
        <f>5422/10000</f>
        <v>0.54220000000000002</v>
      </c>
      <c r="P55">
        <f xml:space="preserve"> 6303/10000</f>
        <v>0.63029999999999997</v>
      </c>
      <c r="Q55">
        <f>4829/10000</f>
        <v>0.4829</v>
      </c>
      <c r="R55" t="s">
        <v>19</v>
      </c>
      <c r="S55">
        <f>6544/10000</f>
        <v>0.65439999999999998</v>
      </c>
      <c r="T55">
        <f>6459/10000</f>
        <v>0.64590000000000003</v>
      </c>
      <c r="U55">
        <f>6097/10000</f>
        <v>0.60970000000000002</v>
      </c>
      <c r="V55">
        <f>5572/10000</f>
        <v>0.55720000000000003</v>
      </c>
      <c r="W55">
        <f>5319/10000</f>
        <v>0.53190000000000004</v>
      </c>
      <c r="X55">
        <f>6224/10000</f>
        <v>0.62239999999999995</v>
      </c>
      <c r="Y55">
        <f>4837/10000</f>
        <v>0.48370000000000002</v>
      </c>
    </row>
    <row r="56" spans="1:25">
      <c r="B56" t="s">
        <v>5</v>
      </c>
      <c r="C56">
        <f t="shared" si="6"/>
        <v>0.66261999999999999</v>
      </c>
      <c r="D56">
        <f t="shared" si="6"/>
        <v>0.65081000000000011</v>
      </c>
      <c r="E56">
        <f t="shared" si="6"/>
        <v>0.6140000000000001</v>
      </c>
      <c r="F56">
        <f t="shared" si="6"/>
        <v>0.57750999999999997</v>
      </c>
      <c r="G56">
        <f t="shared" si="6"/>
        <v>0.54065000000000007</v>
      </c>
      <c r="H56">
        <f t="shared" si="6"/>
        <v>0.62975000000000003</v>
      </c>
      <c r="I56">
        <f t="shared" si="6"/>
        <v>0.50974999999999993</v>
      </c>
      <c r="K56">
        <f>6625/10000</f>
        <v>0.66249999999999998</v>
      </c>
      <c r="L56">
        <f>6507/10000</f>
        <v>0.65069999999999995</v>
      </c>
      <c r="M56">
        <f xml:space="preserve"> 6206/10000</f>
        <v>0.62060000000000004</v>
      </c>
      <c r="N56">
        <f>5913/10000</f>
        <v>0.59130000000000005</v>
      </c>
      <c r="O56">
        <f>5469/10000</f>
        <v>0.54690000000000005</v>
      </c>
      <c r="P56">
        <f>6235/10000</f>
        <v>0.62350000000000005</v>
      </c>
      <c r="Q56">
        <f>5138/10000</f>
        <v>0.51380000000000003</v>
      </c>
      <c r="S56">
        <f>6544/10000</f>
        <v>0.65439999999999998</v>
      </c>
      <c r="T56">
        <f>6437/10000</f>
        <v>0.64370000000000005</v>
      </c>
      <c r="U56">
        <f>6145/10000</f>
        <v>0.61450000000000005</v>
      </c>
      <c r="V56">
        <f>5567/10000</f>
        <v>0.55669999999999997</v>
      </c>
      <c r="W56">
        <f>5022/10000</f>
        <v>0.50219999999999998</v>
      </c>
      <c r="X56">
        <f>6135/10000</f>
        <v>0.61350000000000005</v>
      </c>
      <c r="Y56">
        <f>5096/10000</f>
        <v>0.50960000000000005</v>
      </c>
    </row>
    <row r="57" spans="1:25">
      <c r="B57" t="s">
        <v>6</v>
      </c>
      <c r="C57">
        <f t="shared" si="6"/>
        <v>0.70160999999999996</v>
      </c>
      <c r="D57">
        <f t="shared" si="6"/>
        <v>0.69033999999999995</v>
      </c>
      <c r="E57">
        <f t="shared" si="6"/>
        <v>0.65429999999999999</v>
      </c>
      <c r="F57">
        <f t="shared" si="6"/>
        <v>0.61598999999999993</v>
      </c>
      <c r="G57">
        <f t="shared" si="6"/>
        <v>0.58172999999999997</v>
      </c>
      <c r="H57">
        <f t="shared" si="6"/>
        <v>0.67379</v>
      </c>
      <c r="I57">
        <f t="shared" si="6"/>
        <v>0.54983999999999988</v>
      </c>
      <c r="K57">
        <f>7027/10000</f>
        <v>0.70269999999999999</v>
      </c>
      <c r="L57">
        <f>6908/10000</f>
        <v>0.69079999999999997</v>
      </c>
      <c r="M57">
        <f>6562/10000</f>
        <v>0.65620000000000001</v>
      </c>
      <c r="N57">
        <f>6185/10000</f>
        <v>0.61850000000000005</v>
      </c>
      <c r="O57">
        <f>5921/10000</f>
        <v>0.59209999999999996</v>
      </c>
      <c r="P57">
        <f>6714/10000</f>
        <v>0.6714</v>
      </c>
      <c r="Q57">
        <f>5542/10000</f>
        <v>0.55420000000000003</v>
      </c>
      <c r="S57">
        <f>6980/10000</f>
        <v>0.69799999999999995</v>
      </c>
      <c r="T57">
        <f>6886/10000</f>
        <v>0.68859999999999999</v>
      </c>
      <c r="U57">
        <f>6578/10000</f>
        <v>0.65780000000000005</v>
      </c>
      <c r="V57">
        <f>6002/10000</f>
        <v>0.60019999999999996</v>
      </c>
      <c r="W57">
        <f>5619/10000</f>
        <v>0.56189999999999996</v>
      </c>
      <c r="X57">
        <f>6598/10000</f>
        <v>0.65980000000000005</v>
      </c>
      <c r="Y57">
        <f>5493/10000</f>
        <v>0.54930000000000001</v>
      </c>
    </row>
    <row r="58" spans="1:25">
      <c r="B58" t="s">
        <v>47</v>
      </c>
      <c r="C58">
        <f t="shared" si="6"/>
        <v>0.66203999999999996</v>
      </c>
      <c r="D58">
        <f t="shared" si="6"/>
        <v>0.64831000000000016</v>
      </c>
      <c r="E58">
        <f t="shared" si="6"/>
        <v>0.60382999999999998</v>
      </c>
      <c r="F58">
        <f t="shared" si="6"/>
        <v>0.56521999999999994</v>
      </c>
      <c r="G58">
        <f t="shared" si="6"/>
        <v>0.52929999999999988</v>
      </c>
      <c r="H58">
        <f t="shared" si="6"/>
        <v>0.62980999999999998</v>
      </c>
      <c r="I58">
        <f t="shared" si="6"/>
        <v>0.49074999999999996</v>
      </c>
      <c r="K58">
        <f>6607/10000</f>
        <v>0.66069999999999995</v>
      </c>
      <c r="L58">
        <f>6474/10000</f>
        <v>0.64739999999999998</v>
      </c>
      <c r="M58">
        <f>5975/10000</f>
        <v>0.59750000000000003</v>
      </c>
      <c r="N58">
        <f>5788/10000</f>
        <v>0.57879999999999998</v>
      </c>
      <c r="O58">
        <f>5407/10000</f>
        <v>0.54069999999999996</v>
      </c>
      <c r="P58">
        <f>6356/10000</f>
        <v>0.63560000000000005</v>
      </c>
      <c r="Q58">
        <f>4990/10000</f>
        <v>0.499</v>
      </c>
      <c r="S58">
        <f>6628/10000</f>
        <v>0.66279999999999994</v>
      </c>
      <c r="T58">
        <f>6474/10000</f>
        <v>0.64739999999999998</v>
      </c>
      <c r="U58">
        <f>6048/10000</f>
        <v>0.6048</v>
      </c>
      <c r="V58">
        <f>5510/10000</f>
        <v>0.55100000000000005</v>
      </c>
      <c r="W58">
        <f>5207/10000</f>
        <v>0.52070000000000005</v>
      </c>
      <c r="X58">
        <f>6214/10000</f>
        <v>0.62139999999999995</v>
      </c>
      <c r="Y58">
        <f>4819/10000</f>
        <v>0.4819</v>
      </c>
    </row>
    <row r="63" spans="1:25">
      <c r="K63">
        <f>6286/10000</f>
        <v>0.62860000000000005</v>
      </c>
      <c r="L63">
        <f>6135/10000</f>
        <v>0.61350000000000005</v>
      </c>
      <c r="M63">
        <f>5623/10000</f>
        <v>0.56230000000000002</v>
      </c>
      <c r="N63">
        <f>5453/10000</f>
        <v>0.54530000000000001</v>
      </c>
      <c r="O63">
        <f>5058/10000</f>
        <v>0.50580000000000003</v>
      </c>
      <c r="P63">
        <f>5962/10000</f>
        <v>0.59619999999999995</v>
      </c>
      <c r="Q63">
        <f>4725/10000</f>
        <v>0.47249999999999998</v>
      </c>
      <c r="S63">
        <f>6281/10000</f>
        <v>0.62809999999999999</v>
      </c>
      <c r="T63">
        <f>6104/10000</f>
        <v>0.61040000000000005</v>
      </c>
      <c r="U63">
        <f>5817/10000</f>
        <v>0.58169999999999999</v>
      </c>
      <c r="V63">
        <f>5566/10000</f>
        <v>0.55659999999999998</v>
      </c>
      <c r="W63">
        <f>5192/10000</f>
        <v>0.51919999999999999</v>
      </c>
      <c r="X63">
        <f>6076/10000</f>
        <v>0.60760000000000003</v>
      </c>
      <c r="Y63">
        <f>4693/10000</f>
        <v>0.46929999999999999</v>
      </c>
    </row>
    <row r="64" spans="1:25">
      <c r="K64">
        <f>6181/10000</f>
        <v>0.61809999999999998</v>
      </c>
      <c r="L64">
        <f>6070/10000</f>
        <v>0.60699999999999998</v>
      </c>
      <c r="M64">
        <f>5679/10000</f>
        <v>0.56789999999999996</v>
      </c>
      <c r="N64">
        <f>5389/10000</f>
        <v>0.53890000000000005</v>
      </c>
      <c r="O64">
        <f>5086/10000</f>
        <v>0.50860000000000005</v>
      </c>
      <c r="P64">
        <f>5857/10000</f>
        <v>0.5857</v>
      </c>
      <c r="Q64">
        <f>4570/10000</f>
        <v>0.45700000000000002</v>
      </c>
      <c r="S64">
        <f>6299/10000</f>
        <v>0.62990000000000002</v>
      </c>
      <c r="T64">
        <f>6183/10000</f>
        <v>0.61829999999999996</v>
      </c>
      <c r="U64">
        <f>5835/10000</f>
        <v>0.58350000000000002</v>
      </c>
      <c r="V64">
        <f>5426/10000</f>
        <v>0.54259999999999997</v>
      </c>
      <c r="W64">
        <f>5118/10000</f>
        <v>0.51180000000000003</v>
      </c>
      <c r="X64">
        <f>5888/10000</f>
        <v>0.58879999999999999</v>
      </c>
      <c r="Y64">
        <f>4845/10000</f>
        <v>0.48449999999999999</v>
      </c>
    </row>
    <row r="65" spans="1:25">
      <c r="K65">
        <f>6220/10000</f>
        <v>0.622</v>
      </c>
      <c r="L65">
        <f>6054/10000</f>
        <v>0.60540000000000005</v>
      </c>
      <c r="M65">
        <f>5659/10000</f>
        <v>0.56589999999999996</v>
      </c>
      <c r="N65">
        <f>5473/10000</f>
        <v>0.54730000000000001</v>
      </c>
      <c r="O65">
        <f>5041/10000</f>
        <v>0.50409999999999999</v>
      </c>
      <c r="P65">
        <f>5976/10000</f>
        <v>0.59760000000000002</v>
      </c>
      <c r="Q65">
        <f>4631/10000</f>
        <v>0.46310000000000001</v>
      </c>
      <c r="S65">
        <f>6172/10000</f>
        <v>0.61719999999999997</v>
      </c>
      <c r="T65">
        <f>6052/10000</f>
        <v>0.60519999999999996</v>
      </c>
      <c r="U65">
        <f>5701/10000</f>
        <v>0.57010000000000005</v>
      </c>
      <c r="V65">
        <f>5431/10000</f>
        <v>0.54310000000000003</v>
      </c>
      <c r="W65">
        <f>5050/10000</f>
        <v>0.505</v>
      </c>
      <c r="X65">
        <f>5933/10000</f>
        <v>0.59330000000000005</v>
      </c>
      <c r="Y65">
        <f>4659/10000</f>
        <v>0.46589999999999998</v>
      </c>
    </row>
    <row r="66" spans="1:25">
      <c r="K66">
        <f>6163/10000</f>
        <v>0.61629999999999996</v>
      </c>
      <c r="L66">
        <f>6108/10000</f>
        <v>0.61080000000000001</v>
      </c>
      <c r="M66">
        <f>5754/10000</f>
        <v>0.57540000000000002</v>
      </c>
      <c r="N66">
        <f>5311/10000</f>
        <v>0.53110000000000002</v>
      </c>
      <c r="O66">
        <f>4869/10000</f>
        <v>0.4869</v>
      </c>
      <c r="P66">
        <f>5892/10000</f>
        <v>0.58919999999999995</v>
      </c>
      <c r="Q66">
        <f>4449/10000</f>
        <v>0.44490000000000002</v>
      </c>
      <c r="S66">
        <f>6288/10000</f>
        <v>0.62880000000000003</v>
      </c>
      <c r="T66">
        <f>6196/10000</f>
        <v>0.61960000000000004</v>
      </c>
      <c r="U66">
        <f>5783/10000</f>
        <v>0.57830000000000004</v>
      </c>
      <c r="V66">
        <f>5200/10000</f>
        <v>0.52</v>
      </c>
      <c r="W66">
        <f>5001/10000</f>
        <v>0.50009999999999999</v>
      </c>
      <c r="X66">
        <f>5932/10000</f>
        <v>0.59319999999999995</v>
      </c>
      <c r="Y66">
        <f>4671/10000</f>
        <v>0.46710000000000002</v>
      </c>
    </row>
    <row r="67" spans="1:25">
      <c r="J67" t="s">
        <v>15</v>
      </c>
      <c r="K67">
        <f>6577/10000</f>
        <v>0.65769999999999995</v>
      </c>
      <c r="L67">
        <f>6440/10000</f>
        <v>0.64400000000000002</v>
      </c>
      <c r="M67">
        <f>5960/10000</f>
        <v>0.59599999999999997</v>
      </c>
      <c r="N67">
        <f>5768/10000</f>
        <v>0.57679999999999998</v>
      </c>
      <c r="O67">
        <f>5322/10000</f>
        <v>0.53220000000000001</v>
      </c>
      <c r="P67">
        <f>6299/10000</f>
        <v>0.62990000000000002</v>
      </c>
      <c r="Q67">
        <f>5016/10000</f>
        <v>0.50160000000000005</v>
      </c>
      <c r="R67" t="s">
        <v>20</v>
      </c>
      <c r="S67">
        <f>6560/10000</f>
        <v>0.65600000000000003</v>
      </c>
      <c r="T67">
        <f>6395/10000</f>
        <v>0.63949999999999996</v>
      </c>
      <c r="U67">
        <f>6083/10000</f>
        <v>0.60829999999999995</v>
      </c>
      <c r="V67">
        <f>5806/10000</f>
        <v>0.5806</v>
      </c>
      <c r="W67">
        <f>5440/10000</f>
        <v>0.54400000000000004</v>
      </c>
      <c r="X67">
        <f>6299/10000</f>
        <v>0.62990000000000002</v>
      </c>
      <c r="Y67">
        <f>4963/10000</f>
        <v>0.49630000000000002</v>
      </c>
    </row>
    <row r="68" spans="1:25">
      <c r="K68">
        <f>6518/10000</f>
        <v>0.65180000000000005</v>
      </c>
      <c r="L68">
        <f>6408/10000</f>
        <v>0.64080000000000004</v>
      </c>
      <c r="M68">
        <f>6065/10000</f>
        <v>0.60650000000000004</v>
      </c>
      <c r="N68">
        <f>5632/10000</f>
        <v>0.56320000000000003</v>
      </c>
      <c r="O68">
        <f>5290/10000</f>
        <v>0.52900000000000003</v>
      </c>
      <c r="P68">
        <f>6216/10000</f>
        <v>0.62160000000000004</v>
      </c>
      <c r="Q68">
        <f>4831/10000</f>
        <v>0.48309999999999997</v>
      </c>
      <c r="S68">
        <f>6590/10000</f>
        <v>0.65900000000000003</v>
      </c>
      <c r="T68">
        <f>6487/10000</f>
        <v>0.64870000000000005</v>
      </c>
      <c r="U68">
        <f>6150/10000</f>
        <v>0.61499999999999999</v>
      </c>
      <c r="V68">
        <f>5544/10000</f>
        <v>0.5544</v>
      </c>
      <c r="W68">
        <f xml:space="preserve"> 5347/10000</f>
        <v>0.53469999999999995</v>
      </c>
      <c r="X68">
        <f>6193/10000</f>
        <v>0.61929999999999996</v>
      </c>
      <c r="Y68">
        <f>5083/10000</f>
        <v>0.50829999999999997</v>
      </c>
    </row>
    <row r="69" spans="1:25">
      <c r="K69">
        <f>6978/10000</f>
        <v>0.69779999999999998</v>
      </c>
      <c r="L69">
        <f>6881/10000</f>
        <v>0.68810000000000004</v>
      </c>
      <c r="M69">
        <f>6486/10000</f>
        <v>0.64859999999999995</v>
      </c>
      <c r="N69">
        <f>6211/10000</f>
        <v>0.62109999999999999</v>
      </c>
      <c r="O69">
        <f>5796/10000</f>
        <v>0.5796</v>
      </c>
      <c r="P69">
        <f>6713/10000</f>
        <v>0.67130000000000001</v>
      </c>
      <c r="Q69">
        <f>5475/10000</f>
        <v>0.54749999999999999</v>
      </c>
      <c r="S69">
        <f>6975/10000</f>
        <v>0.69750000000000001</v>
      </c>
      <c r="T69">
        <f>6844/10000</f>
        <v>0.68440000000000001</v>
      </c>
      <c r="U69">
        <f>6539/10000</f>
        <v>0.65390000000000004</v>
      </c>
      <c r="V69">
        <f>6129/10000</f>
        <v>0.6129</v>
      </c>
      <c r="W69">
        <f>5824/10000</f>
        <v>0.58240000000000003</v>
      </c>
      <c r="X69">
        <f>6721/10000</f>
        <v>0.67210000000000003</v>
      </c>
      <c r="Y69">
        <f>5508/10000</f>
        <v>0.55079999999999996</v>
      </c>
    </row>
    <row r="70" spans="1:25">
      <c r="K70">
        <f>6549/10000</f>
        <v>0.65490000000000004</v>
      </c>
      <c r="L70">
        <f>6393/10000</f>
        <v>0.63929999999999998</v>
      </c>
      <c r="M70">
        <f>6024/10000</f>
        <v>0.60240000000000005</v>
      </c>
      <c r="N70">
        <f>5419/10000</f>
        <v>0.54190000000000005</v>
      </c>
      <c r="O70">
        <f>5142/10000</f>
        <v>0.51419999999999999</v>
      </c>
      <c r="P70">
        <f>6198/10000</f>
        <v>0.61980000000000002</v>
      </c>
      <c r="Q70">
        <f>4875/10000</f>
        <v>0.48749999999999999</v>
      </c>
      <c r="S70">
        <f>6604/10000</f>
        <v>0.66039999999999999</v>
      </c>
      <c r="T70">
        <f>6371/10000</f>
        <v>0.6371</v>
      </c>
      <c r="U70">
        <f>5962/10000</f>
        <v>0.59619999999999995</v>
      </c>
      <c r="V70">
        <f>5709/10000</f>
        <v>0.57089999999999996</v>
      </c>
      <c r="W70">
        <f xml:space="preserve"> 5307/10000</f>
        <v>0.53069999999999995</v>
      </c>
      <c r="X70">
        <f>6281/10000</f>
        <v>0.62809999999999999</v>
      </c>
      <c r="Y70">
        <f>4950/10000</f>
        <v>0.495</v>
      </c>
    </row>
    <row r="72" spans="1:25">
      <c r="A72" t="s">
        <v>52</v>
      </c>
    </row>
    <row r="74" spans="1:25">
      <c r="A74" t="s">
        <v>45</v>
      </c>
    </row>
    <row r="75" spans="1:25">
      <c r="B75" t="s">
        <v>28</v>
      </c>
      <c r="C75">
        <v>0.01</v>
      </c>
      <c r="D75">
        <v>0.02</v>
      </c>
      <c r="E75">
        <v>0.03</v>
      </c>
      <c r="F75">
        <v>0.04</v>
      </c>
      <c r="G75">
        <v>0.05</v>
      </c>
      <c r="J75" t="s">
        <v>28</v>
      </c>
      <c r="K75">
        <v>0.01</v>
      </c>
      <c r="L75">
        <v>0.02</v>
      </c>
      <c r="M75">
        <v>0.03</v>
      </c>
      <c r="N75">
        <v>0.04</v>
      </c>
      <c r="O75">
        <v>0.05</v>
      </c>
      <c r="R75" t="s">
        <v>28</v>
      </c>
      <c r="S75">
        <v>0.01</v>
      </c>
      <c r="T75">
        <v>0.02</v>
      </c>
      <c r="U75">
        <v>0.03</v>
      </c>
      <c r="V75">
        <v>0.04</v>
      </c>
      <c r="W75">
        <v>0.05</v>
      </c>
    </row>
    <row r="76" spans="1:25">
      <c r="B76" t="s">
        <v>0</v>
      </c>
      <c r="C76">
        <v>0.4083</v>
      </c>
      <c r="D76">
        <v>0.26669999999999999</v>
      </c>
      <c r="E76">
        <v>0.1769</v>
      </c>
      <c r="F76">
        <v>0.121</v>
      </c>
      <c r="G76">
        <v>8.2600000000000007E-2</v>
      </c>
      <c r="J76" t="s">
        <v>0</v>
      </c>
      <c r="K76">
        <v>0.39269999999999999</v>
      </c>
      <c r="L76">
        <v>0.24260000000000001</v>
      </c>
      <c r="M76">
        <v>0.15679999999999999</v>
      </c>
      <c r="N76">
        <v>0.1096</v>
      </c>
      <c r="O76">
        <v>7.7499999999999999E-2</v>
      </c>
      <c r="R76" t="s">
        <v>0</v>
      </c>
      <c r="S76">
        <v>0.40649999999999997</v>
      </c>
      <c r="T76">
        <v>0.25840000000000002</v>
      </c>
      <c r="U76">
        <v>0.16209999999999999</v>
      </c>
      <c r="V76">
        <v>0.108</v>
      </c>
      <c r="W76">
        <v>7.22E-2</v>
      </c>
    </row>
    <row r="77" spans="1:25">
      <c r="B77" t="s">
        <v>1</v>
      </c>
      <c r="C77">
        <v>0.3962</v>
      </c>
      <c r="D77">
        <v>0.25219999999999998</v>
      </c>
      <c r="E77">
        <v>0.15920000000000001</v>
      </c>
      <c r="F77">
        <v>0.1118</v>
      </c>
      <c r="G77">
        <v>7.7299999999999994E-2</v>
      </c>
      <c r="J77" t="s">
        <v>1</v>
      </c>
      <c r="K77">
        <v>0.39879999999999999</v>
      </c>
      <c r="L77">
        <v>0.2492</v>
      </c>
      <c r="M77">
        <v>0.15909999999999999</v>
      </c>
      <c r="N77">
        <v>0.1042</v>
      </c>
      <c r="O77">
        <v>6.8699999999999997E-2</v>
      </c>
      <c r="R77" t="s">
        <v>1</v>
      </c>
      <c r="S77">
        <v>0.40579999999999999</v>
      </c>
      <c r="T77">
        <v>0.25829999999999997</v>
      </c>
      <c r="U77">
        <v>0.16980000000000001</v>
      </c>
      <c r="V77">
        <v>0.112</v>
      </c>
      <c r="W77">
        <v>7.4200000000000002E-2</v>
      </c>
    </row>
    <row r="78" spans="1:25">
      <c r="A78" t="s">
        <v>7</v>
      </c>
      <c r="B78" t="s">
        <v>4</v>
      </c>
      <c r="C78">
        <v>0.43580000000000002</v>
      </c>
      <c r="D78">
        <v>0.2913</v>
      </c>
      <c r="E78">
        <v>0.19040000000000001</v>
      </c>
      <c r="F78">
        <v>0.12559999999999999</v>
      </c>
      <c r="G78">
        <v>8.7499999999999994E-2</v>
      </c>
      <c r="I78" t="s">
        <v>11</v>
      </c>
      <c r="J78" t="s">
        <v>4</v>
      </c>
      <c r="K78">
        <v>0.42620000000000002</v>
      </c>
      <c r="L78">
        <v>0.26440000000000002</v>
      </c>
      <c r="M78">
        <v>0.16980000000000001</v>
      </c>
      <c r="N78">
        <v>0.1158</v>
      </c>
      <c r="O78">
        <v>8.4199999999999997E-2</v>
      </c>
      <c r="Q78" t="s">
        <v>16</v>
      </c>
      <c r="R78" t="s">
        <v>4</v>
      </c>
      <c r="S78">
        <v>0.4294</v>
      </c>
      <c r="T78">
        <v>0.28010000000000002</v>
      </c>
      <c r="U78">
        <v>0.18149999999999999</v>
      </c>
      <c r="V78">
        <v>0.11799999999999999</v>
      </c>
      <c r="W78">
        <v>7.8600000000000003E-2</v>
      </c>
    </row>
    <row r="79" spans="1:25">
      <c r="B79" t="s">
        <v>5</v>
      </c>
      <c r="C79">
        <v>0.4451</v>
      </c>
      <c r="D79">
        <v>0.28599999999999998</v>
      </c>
      <c r="E79">
        <v>0.1862</v>
      </c>
      <c r="F79">
        <v>0.122</v>
      </c>
      <c r="G79">
        <v>8.3099999999999993E-2</v>
      </c>
      <c r="J79" t="s">
        <v>5</v>
      </c>
      <c r="K79">
        <v>0.44080000000000003</v>
      </c>
      <c r="L79">
        <v>0.28549999999999998</v>
      </c>
      <c r="M79">
        <v>0.18479999999999999</v>
      </c>
      <c r="N79">
        <v>0.1208</v>
      </c>
      <c r="O79">
        <v>7.8E-2</v>
      </c>
      <c r="R79" t="s">
        <v>5</v>
      </c>
      <c r="S79">
        <v>0.45250000000000001</v>
      </c>
      <c r="T79">
        <v>0.29499999999999998</v>
      </c>
      <c r="U79">
        <v>0.19309999999999999</v>
      </c>
      <c r="V79">
        <v>0.1242</v>
      </c>
      <c r="W79">
        <v>8.3599999999999994E-2</v>
      </c>
    </row>
    <row r="80" spans="1:25">
      <c r="B80" t="s">
        <v>6</v>
      </c>
      <c r="C80">
        <v>0.52869999999999995</v>
      </c>
      <c r="D80">
        <v>0.38009999999999999</v>
      </c>
      <c r="E80">
        <v>0.27500000000000002</v>
      </c>
      <c r="F80">
        <v>0.19750000000000001</v>
      </c>
      <c r="G80">
        <v>0.14030000000000001</v>
      </c>
      <c r="J80" t="s">
        <v>6</v>
      </c>
      <c r="K80">
        <v>0.51</v>
      </c>
      <c r="L80">
        <v>0.3629</v>
      </c>
      <c r="M80">
        <v>0.25080000000000002</v>
      </c>
      <c r="N80">
        <v>0.17399999999999999</v>
      </c>
      <c r="O80">
        <v>0.1242</v>
      </c>
      <c r="R80" t="s">
        <v>6</v>
      </c>
      <c r="S80">
        <v>0.52380000000000004</v>
      </c>
      <c r="T80">
        <v>0.37780000000000002</v>
      </c>
      <c r="U80">
        <v>0.26960000000000001</v>
      </c>
      <c r="V80">
        <v>0.19450000000000001</v>
      </c>
      <c r="W80">
        <v>0.13500000000000001</v>
      </c>
    </row>
    <row r="81" spans="1:23">
      <c r="B81" t="s">
        <v>47</v>
      </c>
      <c r="C81">
        <v>0.41610000000000003</v>
      </c>
      <c r="D81">
        <v>0.2467</v>
      </c>
      <c r="E81">
        <v>0.14749999999999999</v>
      </c>
      <c r="F81">
        <v>9.2700000000000005E-2</v>
      </c>
      <c r="G81">
        <v>6.1499999999999999E-2</v>
      </c>
      <c r="J81" t="s">
        <v>47</v>
      </c>
      <c r="K81">
        <v>0.38919999999999999</v>
      </c>
      <c r="L81">
        <v>0.22509999999999999</v>
      </c>
      <c r="M81">
        <v>0.1363</v>
      </c>
      <c r="N81">
        <v>8.6499999999999994E-2</v>
      </c>
      <c r="O81">
        <v>5.8400000000000001E-2</v>
      </c>
      <c r="R81" t="s">
        <v>47</v>
      </c>
      <c r="S81">
        <v>0.4083</v>
      </c>
      <c r="T81">
        <v>0.24299999999999999</v>
      </c>
      <c r="U81">
        <v>0.1439</v>
      </c>
      <c r="V81">
        <v>8.7099999999999997E-2</v>
      </c>
      <c r="W81">
        <v>5.5899999999999998E-2</v>
      </c>
    </row>
    <row r="86" spans="1:23">
      <c r="B86" t="s">
        <v>28</v>
      </c>
      <c r="C86">
        <v>0.01</v>
      </c>
      <c r="D86">
        <v>0.02</v>
      </c>
      <c r="E86">
        <v>0.03</v>
      </c>
      <c r="F86">
        <v>0.04</v>
      </c>
      <c r="G86">
        <v>0.05</v>
      </c>
      <c r="J86" t="s">
        <v>28</v>
      </c>
      <c r="K86">
        <v>0.01</v>
      </c>
      <c r="L86">
        <v>0.02</v>
      </c>
      <c r="M86">
        <v>0.03</v>
      </c>
      <c r="N86">
        <v>0.04</v>
      </c>
      <c r="O86">
        <v>0.05</v>
      </c>
      <c r="R86" t="s">
        <v>28</v>
      </c>
      <c r="S86">
        <v>0.01</v>
      </c>
      <c r="T86">
        <v>0.02</v>
      </c>
      <c r="U86">
        <v>0.03</v>
      </c>
      <c r="V86">
        <v>0.04</v>
      </c>
      <c r="W86">
        <v>0.05</v>
      </c>
    </row>
    <row r="87" spans="1:23">
      <c r="B87" t="s">
        <v>0</v>
      </c>
      <c r="C87">
        <f t="shared" ref="C87:G92" si="7">MIN(K76,K87,K98,K109,K120,S76,S87,S98,S109,S120)</f>
        <v>0.39269999999999999</v>
      </c>
      <c r="D87">
        <f t="shared" si="7"/>
        <v>0.24260000000000001</v>
      </c>
      <c r="E87">
        <f t="shared" si="7"/>
        <v>0.15609999999999999</v>
      </c>
      <c r="F87">
        <f t="shared" si="7"/>
        <v>0.10009999999999999</v>
      </c>
      <c r="G87">
        <f t="shared" si="7"/>
        <v>7.0599999999999996E-2</v>
      </c>
      <c r="J87" t="s">
        <v>0</v>
      </c>
      <c r="K87">
        <v>0.40460000000000002</v>
      </c>
      <c r="L87">
        <v>0.26190000000000002</v>
      </c>
      <c r="M87">
        <v>0.1772</v>
      </c>
      <c r="N87">
        <v>0.1215</v>
      </c>
      <c r="O87">
        <v>8.7900000000000006E-2</v>
      </c>
      <c r="R87" t="s">
        <v>0</v>
      </c>
      <c r="S87">
        <v>0.40760000000000002</v>
      </c>
      <c r="T87">
        <v>0.26390000000000002</v>
      </c>
      <c r="U87">
        <v>0.17630000000000001</v>
      </c>
      <c r="V87">
        <v>0.1229</v>
      </c>
      <c r="W87">
        <v>8.77E-2</v>
      </c>
    </row>
    <row r="88" spans="1:23">
      <c r="B88" t="s">
        <v>1</v>
      </c>
      <c r="C88">
        <f t="shared" si="7"/>
        <v>0.39739999999999998</v>
      </c>
      <c r="D88">
        <f t="shared" si="7"/>
        <v>0.24859999999999999</v>
      </c>
      <c r="E88">
        <f t="shared" si="7"/>
        <v>0.15609999999999999</v>
      </c>
      <c r="F88">
        <f t="shared" si="7"/>
        <v>9.5200000000000007E-2</v>
      </c>
      <c r="G88">
        <f t="shared" si="7"/>
        <v>6.5100000000000005E-2</v>
      </c>
      <c r="J88" t="s">
        <v>1</v>
      </c>
      <c r="K88">
        <v>0.41589999999999999</v>
      </c>
      <c r="L88">
        <v>0.26419999999999999</v>
      </c>
      <c r="M88">
        <v>0.1731</v>
      </c>
      <c r="N88">
        <v>0.11890000000000001</v>
      </c>
      <c r="O88">
        <v>8.1799999999999998E-2</v>
      </c>
      <c r="R88" t="s">
        <v>1</v>
      </c>
      <c r="S88">
        <v>0.40550000000000003</v>
      </c>
      <c r="T88">
        <v>0.24859999999999999</v>
      </c>
      <c r="U88">
        <v>0.15609999999999999</v>
      </c>
      <c r="V88">
        <v>9.5200000000000007E-2</v>
      </c>
      <c r="W88">
        <v>6.5100000000000005E-2</v>
      </c>
    </row>
    <row r="89" spans="1:23">
      <c r="A89" t="s">
        <v>8</v>
      </c>
      <c r="B89" t="s">
        <v>4</v>
      </c>
      <c r="C89">
        <f t="shared" si="7"/>
        <v>0.42559999999999998</v>
      </c>
      <c r="D89">
        <f t="shared" si="7"/>
        <v>0.26440000000000002</v>
      </c>
      <c r="E89">
        <f t="shared" si="7"/>
        <v>0.16980000000000001</v>
      </c>
      <c r="F89">
        <f t="shared" si="7"/>
        <v>0.1135</v>
      </c>
      <c r="G89">
        <f t="shared" si="7"/>
        <v>7.6100000000000001E-2</v>
      </c>
      <c r="I89" t="s">
        <v>12</v>
      </c>
      <c r="J89" t="s">
        <v>4</v>
      </c>
      <c r="K89">
        <v>0.43090000000000001</v>
      </c>
      <c r="L89">
        <v>0.28220000000000001</v>
      </c>
      <c r="M89">
        <v>0.18540000000000001</v>
      </c>
      <c r="N89">
        <v>0.1225</v>
      </c>
      <c r="O89">
        <v>8.43E-2</v>
      </c>
      <c r="Q89" t="s">
        <v>17</v>
      </c>
      <c r="R89" t="s">
        <v>4</v>
      </c>
      <c r="S89">
        <v>0.43580000000000002</v>
      </c>
      <c r="T89">
        <v>0.28499999999999998</v>
      </c>
      <c r="U89">
        <v>0.18310000000000001</v>
      </c>
      <c r="V89">
        <v>0.1206</v>
      </c>
      <c r="W89">
        <v>8.1799999999999998E-2</v>
      </c>
    </row>
    <row r="90" spans="1:23">
      <c r="B90" t="s">
        <v>5</v>
      </c>
      <c r="C90">
        <f t="shared" si="7"/>
        <v>0.43959999999999999</v>
      </c>
      <c r="D90">
        <f t="shared" si="7"/>
        <v>0.27760000000000001</v>
      </c>
      <c r="E90">
        <f t="shared" si="7"/>
        <v>0.18060000000000001</v>
      </c>
      <c r="F90">
        <f t="shared" si="7"/>
        <v>0.1147</v>
      </c>
      <c r="G90">
        <f t="shared" si="7"/>
        <v>7.46E-2</v>
      </c>
      <c r="J90" t="s">
        <v>5</v>
      </c>
      <c r="K90">
        <v>0.4506</v>
      </c>
      <c r="L90">
        <v>0.29459999999999997</v>
      </c>
      <c r="M90">
        <v>0.1908</v>
      </c>
      <c r="N90">
        <v>0.1258</v>
      </c>
      <c r="O90">
        <v>8.5599999999999996E-2</v>
      </c>
      <c r="R90" t="s">
        <v>5</v>
      </c>
      <c r="S90">
        <v>0.44340000000000002</v>
      </c>
      <c r="T90">
        <v>0.27760000000000001</v>
      </c>
      <c r="U90">
        <v>0.18060000000000001</v>
      </c>
      <c r="V90">
        <v>0.1147</v>
      </c>
      <c r="W90">
        <v>7.46E-2</v>
      </c>
    </row>
    <row r="91" spans="1:23">
      <c r="B91" t="s">
        <v>6</v>
      </c>
      <c r="C91">
        <f t="shared" si="7"/>
        <v>0.51</v>
      </c>
      <c r="D91">
        <f t="shared" si="7"/>
        <v>0.3629</v>
      </c>
      <c r="E91">
        <f t="shared" si="7"/>
        <v>0.25080000000000002</v>
      </c>
      <c r="F91">
        <f t="shared" si="7"/>
        <v>0.17399999999999999</v>
      </c>
      <c r="G91">
        <f t="shared" si="7"/>
        <v>0.1242</v>
      </c>
      <c r="J91" t="s">
        <v>6</v>
      </c>
      <c r="K91">
        <v>0.51970000000000005</v>
      </c>
      <c r="L91">
        <v>0.37630000000000002</v>
      </c>
      <c r="M91">
        <v>0.2697</v>
      </c>
      <c r="N91">
        <v>0.19170000000000001</v>
      </c>
      <c r="O91">
        <v>0.13880000000000001</v>
      </c>
      <c r="R91" t="s">
        <v>6</v>
      </c>
      <c r="S91">
        <v>0.52629999999999999</v>
      </c>
      <c r="T91">
        <v>0.37819999999999998</v>
      </c>
      <c r="U91">
        <v>0.26450000000000001</v>
      </c>
      <c r="V91">
        <v>0.19059999999999999</v>
      </c>
      <c r="W91">
        <v>0.13450000000000001</v>
      </c>
    </row>
    <row r="92" spans="1:23">
      <c r="B92" t="s">
        <v>47</v>
      </c>
      <c r="C92">
        <f t="shared" si="7"/>
        <v>0.38390000000000002</v>
      </c>
      <c r="D92">
        <f t="shared" si="7"/>
        <v>0.216</v>
      </c>
      <c r="E92">
        <f t="shared" si="7"/>
        <v>0.1229</v>
      </c>
      <c r="F92">
        <f t="shared" si="7"/>
        <v>7.51E-2</v>
      </c>
      <c r="G92">
        <f t="shared" si="7"/>
        <v>4.5699999999999998E-2</v>
      </c>
      <c r="J92" t="s">
        <v>47</v>
      </c>
      <c r="K92">
        <v>0.38390000000000002</v>
      </c>
      <c r="L92">
        <v>0.216</v>
      </c>
      <c r="M92">
        <v>0.1229</v>
      </c>
      <c r="N92">
        <v>7.51E-2</v>
      </c>
      <c r="O92">
        <v>4.7199999999999999E-2</v>
      </c>
      <c r="R92" t="s">
        <v>47</v>
      </c>
      <c r="S92">
        <v>0.40360000000000001</v>
      </c>
      <c r="T92">
        <v>0.24149999999999999</v>
      </c>
      <c r="U92">
        <v>0.1396</v>
      </c>
      <c r="V92">
        <v>8.5099999999999995E-2</v>
      </c>
      <c r="W92">
        <v>5.4899999999999997E-2</v>
      </c>
    </row>
    <row r="97" spans="1:23">
      <c r="B97" t="s">
        <v>28</v>
      </c>
      <c r="C97">
        <v>0.01</v>
      </c>
      <c r="D97">
        <v>0.02</v>
      </c>
      <c r="E97">
        <v>0.03</v>
      </c>
      <c r="F97">
        <v>0.04</v>
      </c>
      <c r="G97">
        <v>0.05</v>
      </c>
      <c r="J97" t="s">
        <v>28</v>
      </c>
      <c r="K97">
        <v>0.01</v>
      </c>
      <c r="L97">
        <v>0.02</v>
      </c>
      <c r="M97">
        <v>0.03</v>
      </c>
      <c r="N97">
        <v>0.04</v>
      </c>
      <c r="O97">
        <v>0.05</v>
      </c>
      <c r="R97" t="s">
        <v>28</v>
      </c>
      <c r="S97">
        <v>0.01</v>
      </c>
      <c r="T97">
        <v>0.02</v>
      </c>
      <c r="U97">
        <v>0.03</v>
      </c>
      <c r="V97">
        <v>0.04</v>
      </c>
      <c r="W97">
        <v>0.05</v>
      </c>
    </row>
    <row r="98" spans="1:23">
      <c r="B98" t="s">
        <v>0</v>
      </c>
      <c r="C98">
        <f t="shared" ref="C98:G103" si="8">MAX(K76,K87,K98,K109,K120,S76,S87,S98,S109,S120)</f>
        <v>0.43169999999999997</v>
      </c>
      <c r="D98">
        <f t="shared" si="8"/>
        <v>0.2893</v>
      </c>
      <c r="E98">
        <f t="shared" si="8"/>
        <v>0.19420000000000001</v>
      </c>
      <c r="F98">
        <f t="shared" si="8"/>
        <v>0.13539999999999999</v>
      </c>
      <c r="G98">
        <f t="shared" si="8"/>
        <v>9.6699999999999994E-2</v>
      </c>
      <c r="J98" t="s">
        <v>0</v>
      </c>
      <c r="K98">
        <v>0.39960000000000001</v>
      </c>
      <c r="L98">
        <v>0.25180000000000002</v>
      </c>
      <c r="M98">
        <v>0.15609999999999999</v>
      </c>
      <c r="N98">
        <v>0.10009999999999999</v>
      </c>
      <c r="O98">
        <v>7.0599999999999996E-2</v>
      </c>
      <c r="R98" t="s">
        <v>0</v>
      </c>
      <c r="S98">
        <v>0.4143</v>
      </c>
      <c r="T98">
        <v>0.26600000000000001</v>
      </c>
      <c r="U98">
        <v>0.1757</v>
      </c>
      <c r="V98">
        <v>0.11360000000000001</v>
      </c>
      <c r="W98">
        <v>7.8799999999999995E-2</v>
      </c>
    </row>
    <row r="99" spans="1:23">
      <c r="B99" t="s">
        <v>1</v>
      </c>
      <c r="C99">
        <f t="shared" si="8"/>
        <v>0.4209</v>
      </c>
      <c r="D99">
        <f t="shared" si="8"/>
        <v>0.28299999999999997</v>
      </c>
      <c r="E99">
        <f t="shared" si="8"/>
        <v>0.192</v>
      </c>
      <c r="F99">
        <f t="shared" si="8"/>
        <v>0.1341</v>
      </c>
      <c r="G99">
        <f t="shared" si="8"/>
        <v>9.69E-2</v>
      </c>
      <c r="J99" t="s">
        <v>1</v>
      </c>
      <c r="K99">
        <v>0.4209</v>
      </c>
      <c r="L99">
        <v>0.28299999999999997</v>
      </c>
      <c r="M99">
        <v>0.192</v>
      </c>
      <c r="N99">
        <v>0.1341</v>
      </c>
      <c r="O99">
        <v>9.69E-2</v>
      </c>
      <c r="R99" t="s">
        <v>1</v>
      </c>
      <c r="S99">
        <v>0.41149999999999998</v>
      </c>
      <c r="T99">
        <v>0.26800000000000002</v>
      </c>
      <c r="U99">
        <v>0.17119999999999999</v>
      </c>
      <c r="V99">
        <v>0.11609999999999999</v>
      </c>
      <c r="W99">
        <v>8.0600000000000005E-2</v>
      </c>
    </row>
    <row r="100" spans="1:23">
      <c r="A100" t="s">
        <v>9</v>
      </c>
      <c r="B100" t="s">
        <v>4</v>
      </c>
      <c r="C100">
        <f t="shared" si="8"/>
        <v>0.45760000000000001</v>
      </c>
      <c r="D100">
        <f>MAX(L78,L89,L100,L111,L122,T78,T89,T100,T111,T122)</f>
        <v>0.30869999999999997</v>
      </c>
      <c r="E100">
        <f t="shared" si="8"/>
        <v>0.20749999999999999</v>
      </c>
      <c r="F100">
        <f t="shared" si="8"/>
        <v>0.14419999999999999</v>
      </c>
      <c r="G100">
        <f t="shared" si="8"/>
        <v>0.10249999999999999</v>
      </c>
      <c r="I100" t="s">
        <v>13</v>
      </c>
      <c r="J100" t="s">
        <v>4</v>
      </c>
      <c r="K100">
        <v>0.42559999999999998</v>
      </c>
      <c r="L100">
        <v>0.26960000000000001</v>
      </c>
      <c r="M100">
        <v>0.1767</v>
      </c>
      <c r="N100">
        <v>0.1173</v>
      </c>
      <c r="O100">
        <v>8.1799999999999998E-2</v>
      </c>
      <c r="Q100" t="s">
        <v>18</v>
      </c>
      <c r="R100" t="s">
        <v>4</v>
      </c>
      <c r="S100">
        <v>0.43280000000000002</v>
      </c>
      <c r="T100">
        <v>0.27360000000000001</v>
      </c>
      <c r="U100">
        <v>0.17449999999999999</v>
      </c>
      <c r="V100">
        <v>0.1135</v>
      </c>
      <c r="W100">
        <v>7.6100000000000001E-2</v>
      </c>
    </row>
    <row r="101" spans="1:23">
      <c r="B101" t="s">
        <v>5</v>
      </c>
      <c r="C101">
        <f t="shared" si="8"/>
        <v>0.46429999999999999</v>
      </c>
      <c r="D101">
        <f t="shared" si="8"/>
        <v>0.311</v>
      </c>
      <c r="E101">
        <f t="shared" si="8"/>
        <v>0.2039</v>
      </c>
      <c r="F101">
        <f t="shared" si="8"/>
        <v>0.13619999999999999</v>
      </c>
      <c r="G101">
        <f t="shared" si="8"/>
        <v>9.5500000000000002E-2</v>
      </c>
      <c r="J101" t="s">
        <v>5</v>
      </c>
      <c r="K101">
        <v>0.45760000000000001</v>
      </c>
      <c r="L101">
        <v>0.30349999999999999</v>
      </c>
      <c r="M101">
        <v>0.20030000000000001</v>
      </c>
      <c r="N101">
        <v>0.13619999999999999</v>
      </c>
      <c r="O101">
        <v>9.5500000000000002E-2</v>
      </c>
      <c r="R101" t="s">
        <v>5</v>
      </c>
      <c r="S101">
        <v>0.45400000000000001</v>
      </c>
      <c r="T101">
        <v>0.29799999999999999</v>
      </c>
      <c r="U101">
        <v>0.19220000000000001</v>
      </c>
      <c r="V101">
        <v>0.1225</v>
      </c>
      <c r="W101">
        <v>8.09E-2</v>
      </c>
    </row>
    <row r="102" spans="1:23">
      <c r="B102" t="s">
        <v>6</v>
      </c>
      <c r="C102">
        <f t="shared" si="8"/>
        <v>0.53879999999999995</v>
      </c>
      <c r="D102">
        <f t="shared" si="8"/>
        <v>0.40500000000000003</v>
      </c>
      <c r="E102">
        <f t="shared" si="8"/>
        <v>0.29699999999999999</v>
      </c>
      <c r="F102">
        <f t="shared" si="8"/>
        <v>0.21679999999999999</v>
      </c>
      <c r="G102">
        <f t="shared" si="8"/>
        <v>0.15640000000000001</v>
      </c>
      <c r="J102" t="s">
        <v>6</v>
      </c>
      <c r="K102">
        <v>0.52310000000000001</v>
      </c>
      <c r="L102">
        <v>0.38290000000000002</v>
      </c>
      <c r="M102">
        <v>0.27029999999999998</v>
      </c>
      <c r="N102">
        <v>0.19789999999999999</v>
      </c>
      <c r="O102">
        <v>0.14419999999999999</v>
      </c>
      <c r="R102" t="s">
        <v>6</v>
      </c>
      <c r="S102">
        <v>0.52559999999999996</v>
      </c>
      <c r="T102">
        <v>0.3785</v>
      </c>
      <c r="U102">
        <v>0.26790000000000003</v>
      </c>
      <c r="V102">
        <v>0.18609999999999999</v>
      </c>
      <c r="W102">
        <v>0.1346</v>
      </c>
    </row>
    <row r="103" spans="1:23">
      <c r="B103" t="s">
        <v>47</v>
      </c>
      <c r="C103">
        <f t="shared" si="8"/>
        <v>0.42270000000000002</v>
      </c>
      <c r="D103">
        <f t="shared" si="8"/>
        <v>0.25890000000000002</v>
      </c>
      <c r="E103">
        <f t="shared" si="8"/>
        <v>0.16239999999999999</v>
      </c>
      <c r="F103">
        <f t="shared" si="8"/>
        <v>0.10199999999999999</v>
      </c>
      <c r="G103">
        <f t="shared" si="8"/>
        <v>6.4799999999999996E-2</v>
      </c>
      <c r="J103" t="s">
        <v>47</v>
      </c>
      <c r="K103">
        <v>0.4128</v>
      </c>
      <c r="L103">
        <v>0.25259999999999999</v>
      </c>
      <c r="M103">
        <v>0.15129999999999999</v>
      </c>
      <c r="N103">
        <v>9.5299999999999996E-2</v>
      </c>
      <c r="O103">
        <v>6.4799999999999996E-2</v>
      </c>
      <c r="R103" t="s">
        <v>47</v>
      </c>
      <c r="S103">
        <v>0.39589999999999997</v>
      </c>
      <c r="T103">
        <v>0.2271</v>
      </c>
      <c r="U103">
        <v>0.1313</v>
      </c>
      <c r="V103">
        <v>7.9500000000000001E-2</v>
      </c>
      <c r="W103">
        <v>4.5699999999999998E-2</v>
      </c>
    </row>
    <row r="108" spans="1:23">
      <c r="B108" t="s">
        <v>28</v>
      </c>
      <c r="C108">
        <v>0.01</v>
      </c>
      <c r="D108">
        <v>0.02</v>
      </c>
      <c r="E108">
        <v>0.03</v>
      </c>
      <c r="F108">
        <v>0.04</v>
      </c>
      <c r="G108">
        <v>0.05</v>
      </c>
      <c r="J108" t="s">
        <v>28</v>
      </c>
      <c r="K108">
        <v>0.01</v>
      </c>
      <c r="L108">
        <v>0.02</v>
      </c>
      <c r="M108">
        <v>0.03</v>
      </c>
      <c r="N108">
        <v>0.04</v>
      </c>
      <c r="O108">
        <v>0.05</v>
      </c>
      <c r="R108" t="s">
        <v>28</v>
      </c>
      <c r="S108">
        <v>0.01</v>
      </c>
      <c r="T108">
        <v>0.02</v>
      </c>
      <c r="U108">
        <v>0.03</v>
      </c>
      <c r="V108">
        <v>0.04</v>
      </c>
      <c r="W108">
        <v>0.05</v>
      </c>
    </row>
    <row r="109" spans="1:23">
      <c r="B109" t="s">
        <v>0</v>
      </c>
      <c r="C109">
        <f>AVERAGE(K76,K87,K98,K109,K120,S76,S87,S98,S109,S120)</f>
        <v>0.41091</v>
      </c>
      <c r="D109">
        <f>AVERAGE(L76,L87,L98,L109,L120,T76,T87,T98,T109,T120)</f>
        <v>0.2661</v>
      </c>
      <c r="E109">
        <f>AVERAGE(M76,M87,M98,M109,M120,U76,U87,U98,U109,U120)</f>
        <v>0.17461999999999997</v>
      </c>
      <c r="F109">
        <f>AVERAGE(N76,N87,N98,N109,N120,V76,V87,V98,V109,V120)</f>
        <v>0.11881</v>
      </c>
      <c r="G109">
        <f>AVERAGE(O76,O87,O98,O109,O120,W76,W87,W98,W109,W120)</f>
        <v>8.3739999999999995E-2</v>
      </c>
      <c r="J109" t="s">
        <v>0</v>
      </c>
      <c r="K109">
        <v>0.43169999999999997</v>
      </c>
      <c r="L109">
        <v>0.2893</v>
      </c>
      <c r="M109">
        <v>0.19059999999999999</v>
      </c>
      <c r="N109">
        <v>0.13400000000000001</v>
      </c>
      <c r="O109">
        <v>9.3399999999999997E-2</v>
      </c>
      <c r="R109" t="s">
        <v>0</v>
      </c>
      <c r="S109">
        <v>0.42370000000000002</v>
      </c>
      <c r="T109">
        <v>0.28160000000000002</v>
      </c>
      <c r="U109">
        <v>0.1855</v>
      </c>
      <c r="V109">
        <v>0.13020000000000001</v>
      </c>
      <c r="W109">
        <v>9.2100000000000001E-2</v>
      </c>
    </row>
    <row r="110" spans="1:23">
      <c r="B110" t="s">
        <v>1</v>
      </c>
      <c r="C110">
        <f t="shared" ref="C110:G112" si="9">AVERAGE(K77,K88,K99,K110,K121,S77,S88,S99,S110,S121)</f>
        <v>0.40727000000000002</v>
      </c>
      <c r="D110">
        <f t="shared" si="9"/>
        <v>0.26199000000000006</v>
      </c>
      <c r="E110">
        <f t="shared" si="9"/>
        <v>0.17021000000000003</v>
      </c>
      <c r="F110">
        <f t="shared" si="9"/>
        <v>0.11352000000000002</v>
      </c>
      <c r="G110">
        <f t="shared" si="9"/>
        <v>7.8179999999999999E-2</v>
      </c>
      <c r="J110" t="s">
        <v>1</v>
      </c>
      <c r="K110">
        <v>0.4113</v>
      </c>
      <c r="L110">
        <v>0.26950000000000002</v>
      </c>
      <c r="M110">
        <v>0.1789</v>
      </c>
      <c r="N110">
        <v>0.122</v>
      </c>
      <c r="O110">
        <v>8.72E-2</v>
      </c>
      <c r="R110" t="s">
        <v>1</v>
      </c>
      <c r="S110">
        <v>0.40189999999999998</v>
      </c>
      <c r="T110">
        <v>0.2621</v>
      </c>
      <c r="U110">
        <v>0.1706</v>
      </c>
      <c r="V110">
        <v>0.115</v>
      </c>
      <c r="W110">
        <v>8.1199999999999994E-2</v>
      </c>
    </row>
    <row r="111" spans="1:23">
      <c r="A111" t="s">
        <v>10</v>
      </c>
      <c r="B111" t="s">
        <v>4</v>
      </c>
      <c r="C111">
        <f>AVERAGE(K78,K89,K100,K111,K122,S78,S89,S100,S111,S122)</f>
        <v>0.43636999999999998</v>
      </c>
      <c r="D111">
        <f>AVERAGE(L78,L89,L100,L111,L122,T78,T89,T100,T111,T122)</f>
        <v>0.28476000000000001</v>
      </c>
      <c r="E111">
        <f>AVERAGE(M78,M89,M100,M111,M122,U78,U89,U100,U111,U122)</f>
        <v>0.18643000000000004</v>
      </c>
      <c r="F111">
        <f>AVERAGE(N78,N89,N100,N111,N122,V78,V89,V100,V111,V122)</f>
        <v>0.12539</v>
      </c>
      <c r="G111">
        <f>AVERAGE(O78,O89,O100,O111,O122,W78,W89,W100,W111,W122)</f>
        <v>8.6779999999999996E-2</v>
      </c>
      <c r="I111" t="s">
        <v>14</v>
      </c>
      <c r="J111" t="s">
        <v>4</v>
      </c>
      <c r="K111">
        <v>0.45760000000000001</v>
      </c>
      <c r="L111">
        <v>0.30869999999999997</v>
      </c>
      <c r="M111">
        <v>0.20749999999999999</v>
      </c>
      <c r="N111">
        <v>0.14419999999999999</v>
      </c>
      <c r="O111">
        <v>0.10249999999999999</v>
      </c>
      <c r="Q111" t="s">
        <v>19</v>
      </c>
      <c r="R111" t="s">
        <v>4</v>
      </c>
      <c r="S111">
        <v>0.44979999999999998</v>
      </c>
      <c r="T111">
        <v>0.30070000000000002</v>
      </c>
      <c r="U111">
        <v>0.19789999999999999</v>
      </c>
      <c r="V111">
        <v>0.13619999999999999</v>
      </c>
      <c r="W111">
        <v>9.3700000000000006E-2</v>
      </c>
    </row>
    <row r="112" spans="1:23">
      <c r="B112" t="s">
        <v>5</v>
      </c>
      <c r="C112">
        <f t="shared" si="9"/>
        <v>0.44914000000000004</v>
      </c>
      <c r="D112">
        <f t="shared" si="9"/>
        <v>0.29322999999999999</v>
      </c>
      <c r="E112">
        <f t="shared" si="9"/>
        <v>0.19132000000000002</v>
      </c>
      <c r="F112">
        <f t="shared" si="9"/>
        <v>0.12517</v>
      </c>
      <c r="G112">
        <f t="shared" si="9"/>
        <v>8.4229999999999999E-2</v>
      </c>
      <c r="J112" t="s">
        <v>5</v>
      </c>
      <c r="K112">
        <v>0.46429999999999999</v>
      </c>
      <c r="L112">
        <v>0.311</v>
      </c>
      <c r="M112">
        <v>0.2039</v>
      </c>
      <c r="N112">
        <v>0.1343</v>
      </c>
      <c r="O112">
        <v>9.1600000000000001E-2</v>
      </c>
      <c r="R112" t="s">
        <v>5</v>
      </c>
      <c r="S112">
        <v>0.43959999999999999</v>
      </c>
      <c r="T112">
        <v>0.28660000000000002</v>
      </c>
      <c r="U112">
        <v>0.1888</v>
      </c>
      <c r="V112">
        <v>0.1239</v>
      </c>
      <c r="W112">
        <v>8.6199999999999999E-2</v>
      </c>
    </row>
    <row r="113" spans="2:23">
      <c r="B113" t="s">
        <v>6</v>
      </c>
      <c r="C113">
        <f t="shared" ref="C113:G114" si="10">AVERAGE(K80,K91,K102,K113,K124,S80,S91,S102,S113,S124)</f>
        <v>0.52390999999999999</v>
      </c>
      <c r="D113">
        <f t="shared" si="10"/>
        <v>0.38067000000000001</v>
      </c>
      <c r="E113">
        <f t="shared" si="10"/>
        <v>0.27110999999999996</v>
      </c>
      <c r="F113">
        <f t="shared" si="10"/>
        <v>0.19439999999999999</v>
      </c>
      <c r="G113">
        <f t="shared" si="10"/>
        <v>0.13982999999999998</v>
      </c>
      <c r="J113" t="s">
        <v>6</v>
      </c>
      <c r="K113">
        <v>0.53879999999999995</v>
      </c>
      <c r="L113">
        <v>0.40500000000000003</v>
      </c>
      <c r="M113">
        <v>0.29699999999999999</v>
      </c>
      <c r="N113">
        <v>0.21679999999999999</v>
      </c>
      <c r="O113">
        <v>0.15640000000000001</v>
      </c>
      <c r="R113" t="s">
        <v>6</v>
      </c>
      <c r="S113">
        <v>0.52769999999999995</v>
      </c>
      <c r="T113">
        <v>0.38450000000000001</v>
      </c>
      <c r="U113">
        <v>0.27439999999999998</v>
      </c>
      <c r="V113">
        <v>0.19989999999999999</v>
      </c>
      <c r="W113">
        <v>0.14199999999999999</v>
      </c>
    </row>
    <row r="114" spans="2:23">
      <c r="B114" t="s">
        <v>47</v>
      </c>
      <c r="C114">
        <f t="shared" si="10"/>
        <v>0.39998</v>
      </c>
      <c r="D114">
        <f t="shared" si="10"/>
        <v>0.23582999999999998</v>
      </c>
      <c r="E114">
        <f t="shared" si="10"/>
        <v>0.14093</v>
      </c>
      <c r="F114">
        <f t="shared" si="10"/>
        <v>8.6569999999999994E-2</v>
      </c>
      <c r="G114">
        <f t="shared" si="10"/>
        <v>5.5310000000000005E-2</v>
      </c>
      <c r="J114" t="s">
        <v>47</v>
      </c>
      <c r="K114">
        <v>0.42270000000000002</v>
      </c>
      <c r="L114">
        <v>0.25890000000000002</v>
      </c>
      <c r="M114">
        <v>0.16239999999999999</v>
      </c>
      <c r="N114">
        <v>0.10199999999999999</v>
      </c>
      <c r="O114">
        <v>6.4500000000000002E-2</v>
      </c>
      <c r="R114" t="s">
        <v>47</v>
      </c>
      <c r="S114">
        <v>0.39450000000000002</v>
      </c>
      <c r="T114">
        <v>0.2296</v>
      </c>
      <c r="U114">
        <v>0.14099999999999999</v>
      </c>
      <c r="V114">
        <v>8.6599999999999996E-2</v>
      </c>
      <c r="W114">
        <v>5.7099999999999998E-2</v>
      </c>
    </row>
    <row r="119" spans="2:23">
      <c r="J119" t="s">
        <v>28</v>
      </c>
      <c r="K119">
        <v>0.01</v>
      </c>
      <c r="L119">
        <v>0.02</v>
      </c>
      <c r="M119">
        <v>0.03</v>
      </c>
      <c r="N119">
        <v>0.04</v>
      </c>
      <c r="O119">
        <v>0.05</v>
      </c>
      <c r="R119" t="s">
        <v>28</v>
      </c>
      <c r="S119">
        <v>0.01</v>
      </c>
      <c r="T119">
        <v>0.02</v>
      </c>
      <c r="U119">
        <v>0.03</v>
      </c>
      <c r="V119">
        <v>0.04</v>
      </c>
      <c r="W119">
        <v>0.05</v>
      </c>
    </row>
    <row r="120" spans="2:23">
      <c r="J120" t="s">
        <v>0</v>
      </c>
      <c r="K120">
        <v>0.40460000000000002</v>
      </c>
      <c r="L120">
        <v>0.26400000000000001</v>
      </c>
      <c r="M120">
        <v>0.17169999999999999</v>
      </c>
      <c r="N120">
        <v>0.1128</v>
      </c>
      <c r="O120">
        <v>8.0500000000000002E-2</v>
      </c>
      <c r="R120" t="s">
        <v>0</v>
      </c>
      <c r="S120">
        <v>0.42380000000000001</v>
      </c>
      <c r="T120">
        <v>0.28149999999999997</v>
      </c>
      <c r="U120">
        <v>0.19420000000000001</v>
      </c>
      <c r="V120">
        <v>0.13539999999999999</v>
      </c>
      <c r="W120">
        <v>9.6699999999999994E-2</v>
      </c>
    </row>
    <row r="121" spans="2:23">
      <c r="J121" t="s">
        <v>1</v>
      </c>
      <c r="K121">
        <v>0.39739999999999998</v>
      </c>
      <c r="L121">
        <v>0.25969999999999999</v>
      </c>
      <c r="M121">
        <v>0.1709</v>
      </c>
      <c r="N121">
        <v>0.11119999999999999</v>
      </c>
      <c r="O121">
        <v>7.3800000000000004E-2</v>
      </c>
      <c r="R121" t="s">
        <v>1</v>
      </c>
      <c r="S121">
        <v>0.4037</v>
      </c>
      <c r="T121">
        <v>0.25729999999999997</v>
      </c>
      <c r="U121">
        <v>0.16039999999999999</v>
      </c>
      <c r="V121">
        <v>0.1065</v>
      </c>
      <c r="W121">
        <v>7.2300000000000003E-2</v>
      </c>
    </row>
    <row r="122" spans="2:23">
      <c r="I122" t="s">
        <v>15</v>
      </c>
      <c r="J122" t="s">
        <v>4</v>
      </c>
      <c r="K122">
        <v>0.43409999999999999</v>
      </c>
      <c r="L122">
        <v>0.28510000000000002</v>
      </c>
      <c r="M122">
        <v>0.1867</v>
      </c>
      <c r="N122">
        <v>0.127</v>
      </c>
      <c r="O122">
        <v>8.7499999999999994E-2</v>
      </c>
      <c r="Q122" t="s">
        <v>20</v>
      </c>
      <c r="R122" t="s">
        <v>4</v>
      </c>
      <c r="S122">
        <v>0.4415</v>
      </c>
      <c r="T122">
        <v>0.29820000000000002</v>
      </c>
      <c r="U122">
        <v>0.20119999999999999</v>
      </c>
      <c r="V122">
        <v>0.13880000000000001</v>
      </c>
      <c r="W122">
        <v>9.7299999999999998E-2</v>
      </c>
    </row>
    <row r="123" spans="2:23">
      <c r="J123" t="s">
        <v>5</v>
      </c>
      <c r="K123">
        <v>0.44619999999999999</v>
      </c>
      <c r="L123">
        <v>0.2974</v>
      </c>
      <c r="M123">
        <v>0.19409999999999999</v>
      </c>
      <c r="N123">
        <v>0.12920000000000001</v>
      </c>
      <c r="O123">
        <v>8.5900000000000004E-2</v>
      </c>
      <c r="R123" t="s">
        <v>5</v>
      </c>
      <c r="S123">
        <v>0.44240000000000002</v>
      </c>
      <c r="T123">
        <v>0.28310000000000002</v>
      </c>
      <c r="U123">
        <v>0.18459999999999999</v>
      </c>
      <c r="V123">
        <v>0.1201</v>
      </c>
      <c r="W123">
        <v>8.0399999999999999E-2</v>
      </c>
    </row>
    <row r="124" spans="2:23">
      <c r="J124" t="s">
        <v>6</v>
      </c>
      <c r="K124">
        <v>0.52159999999999995</v>
      </c>
      <c r="L124">
        <v>0.38279999999999997</v>
      </c>
      <c r="M124">
        <v>0.27910000000000001</v>
      </c>
      <c r="N124">
        <v>0.20069999999999999</v>
      </c>
      <c r="O124">
        <v>0.1484</v>
      </c>
      <c r="R124" t="s">
        <v>6</v>
      </c>
      <c r="S124">
        <v>0.52249999999999996</v>
      </c>
      <c r="T124">
        <v>0.37780000000000002</v>
      </c>
      <c r="U124">
        <v>0.26779999999999998</v>
      </c>
      <c r="V124">
        <v>0.1918</v>
      </c>
      <c r="W124">
        <v>0.14019999999999999</v>
      </c>
    </row>
    <row r="125" spans="2:23">
      <c r="J125" t="s">
        <v>47</v>
      </c>
      <c r="K125">
        <v>0.39439999999999997</v>
      </c>
      <c r="L125">
        <v>0.23100000000000001</v>
      </c>
      <c r="M125">
        <v>0.13739999999999999</v>
      </c>
      <c r="N125">
        <v>8.0399999999999999E-2</v>
      </c>
      <c r="O125">
        <v>4.8300000000000003E-2</v>
      </c>
      <c r="R125" t="s">
        <v>47</v>
      </c>
      <c r="S125">
        <v>0.39450000000000002</v>
      </c>
      <c r="T125">
        <v>0.23350000000000001</v>
      </c>
      <c r="U125">
        <v>0.14319999999999999</v>
      </c>
      <c r="V125">
        <v>8.8099999999999998E-2</v>
      </c>
      <c r="W125">
        <v>5.6300000000000003E-2</v>
      </c>
    </row>
    <row r="129" spans="1:59">
      <c r="A129" t="s">
        <v>46</v>
      </c>
    </row>
    <row r="130" spans="1:59">
      <c r="A130" t="s">
        <v>7</v>
      </c>
      <c r="B130" t="s">
        <v>31</v>
      </c>
      <c r="I130" t="s">
        <v>7</v>
      </c>
      <c r="J130" t="s">
        <v>31</v>
      </c>
      <c r="Q130" t="s">
        <v>7</v>
      </c>
      <c r="R130" t="s">
        <v>31</v>
      </c>
      <c r="Y130" t="s">
        <v>11</v>
      </c>
      <c r="Z130" t="s">
        <v>31</v>
      </c>
      <c r="AF130" t="s">
        <v>11</v>
      </c>
      <c r="AG130" t="s">
        <v>31</v>
      </c>
      <c r="AM130" t="s">
        <v>11</v>
      </c>
      <c r="AN130" t="s">
        <v>31</v>
      </c>
    </row>
    <row r="131" spans="1:59">
      <c r="A131" t="s">
        <v>29</v>
      </c>
      <c r="I131" t="s">
        <v>32</v>
      </c>
      <c r="Q131" t="s">
        <v>33</v>
      </c>
      <c r="Y131" t="s">
        <v>29</v>
      </c>
      <c r="AF131" t="s">
        <v>32</v>
      </c>
      <c r="AM131" t="s">
        <v>33</v>
      </c>
    </row>
    <row r="132" spans="1:59">
      <c r="A132" t="s">
        <v>30</v>
      </c>
      <c r="C132" t="s">
        <v>0</v>
      </c>
      <c r="D132" t="s">
        <v>4</v>
      </c>
      <c r="E132" t="s">
        <v>6</v>
      </c>
      <c r="F132" t="s">
        <v>47</v>
      </c>
      <c r="G132" t="s">
        <v>34</v>
      </c>
      <c r="I132" t="s">
        <v>30</v>
      </c>
      <c r="K132" t="s">
        <v>0</v>
      </c>
      <c r="L132" t="s">
        <v>4</v>
      </c>
      <c r="M132" t="s">
        <v>6</v>
      </c>
      <c r="N132" t="s">
        <v>47</v>
      </c>
      <c r="O132" t="s">
        <v>34</v>
      </c>
      <c r="Q132" t="s">
        <v>30</v>
      </c>
      <c r="S132" t="s">
        <v>0</v>
      </c>
      <c r="T132" t="s">
        <v>4</v>
      </c>
      <c r="U132" t="s">
        <v>6</v>
      </c>
      <c r="V132" t="s">
        <v>47</v>
      </c>
      <c r="W132" t="s">
        <v>34</v>
      </c>
      <c r="Y132" t="s">
        <v>30</v>
      </c>
      <c r="AA132" t="s">
        <v>0</v>
      </c>
      <c r="AB132" t="s">
        <v>4</v>
      </c>
      <c r="AC132" t="s">
        <v>6</v>
      </c>
      <c r="AD132" t="s">
        <v>47</v>
      </c>
      <c r="AF132" t="s">
        <v>30</v>
      </c>
      <c r="AH132" t="s">
        <v>0</v>
      </c>
      <c r="AI132" t="s">
        <v>4</v>
      </c>
      <c r="AJ132" t="s">
        <v>6</v>
      </c>
      <c r="AK132" t="s">
        <v>47</v>
      </c>
      <c r="AM132" t="s">
        <v>30</v>
      </c>
      <c r="AO132" t="s">
        <v>0</v>
      </c>
      <c r="AP132" t="s">
        <v>4</v>
      </c>
      <c r="AQ132" t="s">
        <v>6</v>
      </c>
      <c r="AR132" t="s">
        <v>47</v>
      </c>
    </row>
    <row r="133" spans="1:59">
      <c r="B133" t="s">
        <v>0</v>
      </c>
      <c r="C133" s="2">
        <v>0.52229999999999999</v>
      </c>
      <c r="D133" s="2">
        <v>0.53169999999999995</v>
      </c>
      <c r="E133" s="2">
        <v>0.54049999999999998</v>
      </c>
      <c r="F133" s="2">
        <v>0.57140000000000002</v>
      </c>
      <c r="G133" s="2">
        <f>AVERAGE(C133:F133)</f>
        <v>0.54147499999999993</v>
      </c>
      <c r="H133" s="2"/>
      <c r="J133" t="s">
        <v>0</v>
      </c>
      <c r="K133" s="2">
        <v>0.29310000000000003</v>
      </c>
      <c r="L133" s="2">
        <v>0.3115</v>
      </c>
      <c r="M133" s="2">
        <v>0.33929999999999999</v>
      </c>
      <c r="N133" s="2">
        <v>0.44469999999999998</v>
      </c>
      <c r="O133" s="2">
        <f>AVERAGE(K133:N133)</f>
        <v>0.34714999999999996</v>
      </c>
      <c r="R133" t="s">
        <v>0</v>
      </c>
      <c r="S133" s="2">
        <v>0.11700000000000001</v>
      </c>
      <c r="T133" s="2">
        <v>0.13730000000000001</v>
      </c>
      <c r="U133" s="2">
        <v>0.16189999999999999</v>
      </c>
      <c r="V133" s="2">
        <v>0.30380000000000001</v>
      </c>
      <c r="W133" s="2">
        <f>AVERAGE(S133:V133)</f>
        <v>0.18</v>
      </c>
      <c r="Z133" t="s">
        <v>0</v>
      </c>
      <c r="AA133" s="2">
        <v>0.4965</v>
      </c>
      <c r="AB133" s="2">
        <v>0.51139999999999997</v>
      </c>
      <c r="AC133" s="2">
        <v>0.52429999999999999</v>
      </c>
      <c r="AD133" s="2">
        <v>0.56040000000000001</v>
      </c>
      <c r="AG133" t="s">
        <v>0</v>
      </c>
      <c r="AH133" s="2">
        <v>0.22939999999999999</v>
      </c>
      <c r="AI133" s="2">
        <v>0.25559999999999999</v>
      </c>
      <c r="AJ133" s="2">
        <v>0.28870000000000001</v>
      </c>
      <c r="AK133" s="2">
        <v>0.40389999999999998</v>
      </c>
      <c r="AL133" s="2"/>
      <c r="AN133" t="s">
        <v>0</v>
      </c>
      <c r="AO133" s="2">
        <v>7.1800000000000003E-2</v>
      </c>
      <c r="AP133" s="2">
        <v>9.4299999999999995E-2</v>
      </c>
      <c r="AQ133" s="2">
        <v>0.1145</v>
      </c>
      <c r="AR133" s="2">
        <v>0.26140000000000002</v>
      </c>
      <c r="AU133" s="2"/>
      <c r="AV133" s="2"/>
      <c r="AW133" s="2"/>
      <c r="BE133" s="2"/>
      <c r="BF133" s="2"/>
      <c r="BG133" s="2"/>
    </row>
    <row r="134" spans="1:59">
      <c r="B134" t="s">
        <v>4</v>
      </c>
      <c r="C134" s="2">
        <v>0.56479999999999997</v>
      </c>
      <c r="D134" s="2">
        <v>0.55010000000000003</v>
      </c>
      <c r="E134" s="2">
        <v>0.56559999999999999</v>
      </c>
      <c r="F134" s="2">
        <v>0.5948</v>
      </c>
      <c r="G134" s="2">
        <f t="shared" ref="G134:G136" si="11">AVERAGE(C134:F134)</f>
        <v>0.56882499999999991</v>
      </c>
      <c r="H134" s="2"/>
      <c r="J134" t="s">
        <v>4</v>
      </c>
      <c r="K134" s="2">
        <v>0.35149999999999998</v>
      </c>
      <c r="L134" s="2">
        <v>0.29599999999999999</v>
      </c>
      <c r="M134" s="2">
        <v>0.33629999999999999</v>
      </c>
      <c r="N134" s="2">
        <v>0.44940000000000002</v>
      </c>
      <c r="O134" s="2">
        <f t="shared" ref="O134:O136" si="12">AVERAGE(K134:N134)</f>
        <v>0.35830000000000001</v>
      </c>
      <c r="R134" t="s">
        <v>4</v>
      </c>
      <c r="S134" s="2">
        <v>0.161</v>
      </c>
      <c r="T134" s="2">
        <v>0.10780000000000001</v>
      </c>
      <c r="U134" s="2">
        <v>0.1414</v>
      </c>
      <c r="V134" s="2">
        <v>0.29089999999999999</v>
      </c>
      <c r="W134" s="2">
        <f t="shared" ref="W134:W136" si="13">AVERAGE(S134:V134)</f>
        <v>0.17527500000000001</v>
      </c>
      <c r="Z134" t="s">
        <v>4</v>
      </c>
      <c r="AA134" s="2">
        <v>0.54559999999999997</v>
      </c>
      <c r="AB134" s="2">
        <v>0.52459999999999996</v>
      </c>
      <c r="AC134" s="2">
        <v>0.53939999999999999</v>
      </c>
      <c r="AD134" s="2">
        <v>0.58330000000000004</v>
      </c>
      <c r="AG134" t="s">
        <v>4</v>
      </c>
      <c r="AH134" s="2">
        <v>0.28889999999999999</v>
      </c>
      <c r="AI134" s="2">
        <v>0.23680000000000001</v>
      </c>
      <c r="AJ134" s="2">
        <v>0.27700000000000002</v>
      </c>
      <c r="AK134" s="2">
        <v>0.41449999999999998</v>
      </c>
      <c r="AL134" s="2"/>
      <c r="AN134" t="s">
        <v>4</v>
      </c>
      <c r="AO134" s="2">
        <v>0.1055</v>
      </c>
      <c r="AP134" s="2">
        <v>6.3600000000000004E-2</v>
      </c>
      <c r="AQ134" s="2">
        <v>9.2499999999999999E-2</v>
      </c>
      <c r="AR134" s="2">
        <v>0.25209999999999999</v>
      </c>
      <c r="AU134" s="2"/>
      <c r="AV134" s="2"/>
      <c r="AW134" s="2"/>
      <c r="BE134" s="2"/>
      <c r="BF134" s="2"/>
      <c r="BG134" s="2"/>
    </row>
    <row r="135" spans="1:59">
      <c r="B135" t="s">
        <v>6</v>
      </c>
      <c r="C135" s="2">
        <v>0.64859999999999995</v>
      </c>
      <c r="D135" s="2">
        <v>0.63600000000000001</v>
      </c>
      <c r="E135" s="2">
        <v>0.59619999999999995</v>
      </c>
      <c r="F135" s="2">
        <v>0.62480000000000002</v>
      </c>
      <c r="G135" s="2">
        <f t="shared" si="11"/>
        <v>0.62639999999999996</v>
      </c>
      <c r="H135" s="2"/>
      <c r="J135" t="s">
        <v>6</v>
      </c>
      <c r="K135" s="2">
        <v>0.50900000000000001</v>
      </c>
      <c r="L135" s="2">
        <v>0.46</v>
      </c>
      <c r="M135" s="2">
        <v>0.31080000000000002</v>
      </c>
      <c r="N135" s="2">
        <v>0.44330000000000003</v>
      </c>
      <c r="O135" s="2">
        <f t="shared" si="12"/>
        <v>0.43077500000000002</v>
      </c>
      <c r="R135" t="s">
        <v>6</v>
      </c>
      <c r="S135" s="2">
        <v>0.33360000000000001</v>
      </c>
      <c r="T135" s="2">
        <v>0.25969999999999999</v>
      </c>
      <c r="U135" s="2">
        <v>0.1033</v>
      </c>
      <c r="V135" s="2">
        <v>0.25430000000000003</v>
      </c>
      <c r="W135" s="2">
        <f t="shared" si="13"/>
        <v>0.23772499999999996</v>
      </c>
      <c r="Z135" t="s">
        <v>6</v>
      </c>
      <c r="AA135" s="2">
        <v>0.62229999999999996</v>
      </c>
      <c r="AB135" s="2">
        <v>0.61250000000000004</v>
      </c>
      <c r="AC135" s="2">
        <v>0.58979999999999999</v>
      </c>
      <c r="AD135" s="2">
        <v>0.63339999999999996</v>
      </c>
      <c r="AG135" t="s">
        <v>6</v>
      </c>
      <c r="AH135" s="2">
        <v>0.43359999999999999</v>
      </c>
      <c r="AI135" s="2">
        <v>0.38690000000000002</v>
      </c>
      <c r="AJ135" s="2">
        <v>0.31640000000000001</v>
      </c>
      <c r="AK135" s="2">
        <v>0.46229999999999999</v>
      </c>
      <c r="AL135" s="2"/>
      <c r="AN135" t="s">
        <v>6</v>
      </c>
      <c r="AO135" s="2">
        <v>0.24210000000000001</v>
      </c>
      <c r="AP135" s="2">
        <v>0.18049999999999999</v>
      </c>
      <c r="AQ135" s="2">
        <v>0.10639999999999999</v>
      </c>
      <c r="AR135" s="2">
        <v>0.28610000000000002</v>
      </c>
      <c r="AU135" s="2"/>
      <c r="AV135" s="2"/>
      <c r="AW135" s="2"/>
      <c r="BE135" s="2"/>
      <c r="BF135" s="2"/>
      <c r="BG135" s="2"/>
    </row>
    <row r="136" spans="1:59">
      <c r="B136" t="s">
        <v>47</v>
      </c>
      <c r="C136" s="2">
        <v>0.62</v>
      </c>
      <c r="D136" s="2">
        <v>0.61360000000000003</v>
      </c>
      <c r="E136" s="2">
        <v>0.5847</v>
      </c>
      <c r="F136" s="2">
        <v>0.53759999999999997</v>
      </c>
      <c r="G136" s="2">
        <f t="shared" si="11"/>
        <v>0.58897500000000003</v>
      </c>
      <c r="H136" s="2"/>
      <c r="J136" t="s">
        <v>47</v>
      </c>
      <c r="K136" s="2">
        <v>0.50319999999999998</v>
      </c>
      <c r="L136" s="2">
        <v>0.4728</v>
      </c>
      <c r="M136" s="2">
        <v>0.33579999999999999</v>
      </c>
      <c r="N136" s="2">
        <v>0.23319999999999999</v>
      </c>
      <c r="O136" s="2">
        <f t="shared" si="12"/>
        <v>0.38624999999999998</v>
      </c>
      <c r="R136" t="s">
        <v>47</v>
      </c>
      <c r="S136" s="2">
        <v>0.34949999999999998</v>
      </c>
      <c r="T136" s="2">
        <v>0.30599999999999999</v>
      </c>
      <c r="U136" s="2">
        <v>0.13170000000000001</v>
      </c>
      <c r="V136" s="2">
        <v>6.0600000000000001E-2</v>
      </c>
      <c r="W136" s="2">
        <f t="shared" si="13"/>
        <v>0.21195</v>
      </c>
      <c r="Z136" t="s">
        <v>47</v>
      </c>
      <c r="AA136" s="2">
        <v>0.59719999999999995</v>
      </c>
      <c r="AB136" s="2">
        <v>0.58930000000000005</v>
      </c>
      <c r="AC136" s="2">
        <v>0.56710000000000005</v>
      </c>
      <c r="AD136" s="2">
        <v>0.54139999999999999</v>
      </c>
      <c r="AG136" t="s">
        <v>47</v>
      </c>
      <c r="AH136" s="2">
        <v>0.4415</v>
      </c>
      <c r="AI136" s="2">
        <v>0.40739999999999998</v>
      </c>
      <c r="AJ136" s="2">
        <v>0.3362</v>
      </c>
      <c r="AK136" s="2">
        <v>0.26879999999999998</v>
      </c>
      <c r="AL136" s="2"/>
      <c r="AN136" t="s">
        <v>47</v>
      </c>
      <c r="AO136" s="2">
        <v>0.28129999999999999</v>
      </c>
      <c r="AP136" s="2">
        <v>0.23</v>
      </c>
      <c r="AQ136" s="2">
        <v>0.13969999999999999</v>
      </c>
      <c r="AR136" s="2">
        <v>8.3500000000000005E-2</v>
      </c>
      <c r="AU136" s="2"/>
      <c r="AV136" s="2"/>
      <c r="AW136" s="2"/>
      <c r="BE136" s="2"/>
      <c r="BF136" s="2"/>
      <c r="BG136" s="2"/>
    </row>
    <row r="137" spans="1:59">
      <c r="C137" s="2"/>
      <c r="D137" s="2"/>
      <c r="E137" s="2"/>
      <c r="F137" s="2"/>
      <c r="G137" s="2"/>
      <c r="H137" s="2"/>
      <c r="I137" s="2"/>
      <c r="J137" s="2"/>
      <c r="M137" s="2"/>
      <c r="N137" s="2"/>
      <c r="O137" s="2"/>
      <c r="P137" s="2"/>
      <c r="Q137" s="2"/>
      <c r="R137" s="2"/>
      <c r="S137" s="2"/>
      <c r="T137" s="2"/>
      <c r="W137" s="2"/>
      <c r="X137" s="2"/>
      <c r="Y137" s="2"/>
      <c r="Z137" s="2"/>
      <c r="AA137" s="2"/>
      <c r="AB137" s="2"/>
      <c r="AC137" s="2"/>
      <c r="AD137" s="2"/>
      <c r="AG137" s="2"/>
      <c r="AH137" s="2"/>
      <c r="AI137" s="2"/>
      <c r="AJ137" s="2"/>
      <c r="AK137" s="2"/>
      <c r="AL137" s="2"/>
      <c r="AM137" s="2"/>
      <c r="AQ137" s="2"/>
      <c r="AR137" s="2"/>
      <c r="AS137" s="2"/>
      <c r="AT137" s="2"/>
      <c r="AU137" s="2"/>
      <c r="AV137" s="2"/>
      <c r="AW137" s="2"/>
      <c r="BA137" s="2"/>
      <c r="BB137" s="2"/>
      <c r="BC137" s="2"/>
      <c r="BD137" s="2"/>
      <c r="BE137" s="2"/>
      <c r="BF137" s="2"/>
      <c r="BG137" s="2"/>
    </row>
    <row r="138" spans="1:59">
      <c r="C138" s="2"/>
      <c r="D138" s="2"/>
      <c r="E138" s="2"/>
      <c r="F138" s="2"/>
      <c r="G138" s="2"/>
      <c r="H138" s="2"/>
      <c r="I138" s="2"/>
      <c r="J138" s="2"/>
      <c r="M138" s="2"/>
      <c r="N138" s="2"/>
      <c r="O138" s="2"/>
      <c r="P138" s="2"/>
      <c r="Q138" s="2"/>
      <c r="R138" s="2"/>
      <c r="S138" s="2"/>
      <c r="T138" s="2"/>
      <c r="W138" s="2"/>
      <c r="X138" s="2"/>
      <c r="Y138" s="2"/>
      <c r="Z138" s="2"/>
      <c r="AA138" s="2"/>
      <c r="AB138" s="2"/>
      <c r="AC138" s="2"/>
      <c r="AD138" s="2"/>
      <c r="AG138" s="2"/>
      <c r="AH138" s="2"/>
      <c r="AI138" s="2"/>
      <c r="AJ138" s="2"/>
      <c r="AK138" s="2"/>
      <c r="AL138" s="2"/>
      <c r="AM138" s="2"/>
      <c r="AQ138" s="2"/>
      <c r="AR138" s="2"/>
      <c r="AS138" s="2"/>
      <c r="AT138" s="2"/>
      <c r="AU138" s="2"/>
      <c r="AV138" s="2"/>
      <c r="AW138" s="2"/>
      <c r="BA138" s="2"/>
      <c r="BB138" s="2"/>
      <c r="BC138" s="2"/>
      <c r="BD138" s="2"/>
      <c r="BE138" s="2"/>
      <c r="BF138" s="2"/>
      <c r="BG138" s="2"/>
    </row>
    <row r="139" spans="1:59">
      <c r="C139" s="2"/>
      <c r="D139" s="2"/>
      <c r="E139" s="2"/>
      <c r="F139" s="2"/>
      <c r="G139" s="2"/>
      <c r="H139" s="2"/>
      <c r="I139" s="2"/>
      <c r="J139" s="2"/>
      <c r="M139" s="2"/>
      <c r="N139" s="2"/>
      <c r="O139" s="2"/>
      <c r="P139" s="2"/>
      <c r="Q139" s="2"/>
      <c r="R139" s="2"/>
      <c r="S139" s="2"/>
      <c r="T139" s="2"/>
      <c r="W139" s="2"/>
      <c r="X139" s="2"/>
      <c r="Y139" s="2"/>
      <c r="Z139" s="2"/>
      <c r="AA139" s="2"/>
      <c r="AB139" s="2"/>
      <c r="AC139" s="2"/>
      <c r="AD139" s="2"/>
      <c r="AG139" s="2"/>
      <c r="AH139" s="2"/>
      <c r="AI139" s="2"/>
      <c r="AJ139" s="2"/>
      <c r="AK139" s="2"/>
      <c r="AL139" s="2"/>
      <c r="AM139" s="2"/>
      <c r="AQ139" s="2"/>
      <c r="AR139" s="2"/>
      <c r="AS139" s="2"/>
      <c r="AT139" s="2"/>
      <c r="AU139" s="2"/>
      <c r="AV139" s="2"/>
      <c r="AW139" s="2"/>
      <c r="BA139" s="2"/>
      <c r="BB139" s="2"/>
      <c r="BC139" s="2"/>
      <c r="BD139" s="2"/>
      <c r="BE139" s="2"/>
      <c r="BF139" s="2"/>
      <c r="BG139" s="2"/>
    </row>
    <row r="140" spans="1:59">
      <c r="A140" t="s">
        <v>8</v>
      </c>
      <c r="B140" t="s">
        <v>31</v>
      </c>
      <c r="I140" t="s">
        <v>8</v>
      </c>
      <c r="J140" t="s">
        <v>31</v>
      </c>
      <c r="Q140" t="s">
        <v>8</v>
      </c>
      <c r="R140" t="s">
        <v>31</v>
      </c>
      <c r="Y140" t="s">
        <v>12</v>
      </c>
      <c r="Z140" t="s">
        <v>31</v>
      </c>
      <c r="AF140" t="s">
        <v>12</v>
      </c>
      <c r="AG140" t="s">
        <v>31</v>
      </c>
      <c r="AM140" t="s">
        <v>12</v>
      </c>
      <c r="AN140" t="s">
        <v>31</v>
      </c>
    </row>
    <row r="141" spans="1:59">
      <c r="A141" t="s">
        <v>29</v>
      </c>
      <c r="I141" t="s">
        <v>32</v>
      </c>
      <c r="Q141" t="s">
        <v>33</v>
      </c>
      <c r="Y141" t="s">
        <v>29</v>
      </c>
      <c r="AF141" t="s">
        <v>32</v>
      </c>
      <c r="AM141" t="s">
        <v>33</v>
      </c>
    </row>
    <row r="142" spans="1:59">
      <c r="A142" t="s">
        <v>30</v>
      </c>
      <c r="C142" t="s">
        <v>0</v>
      </c>
      <c r="D142" t="s">
        <v>4</v>
      </c>
      <c r="E142" t="s">
        <v>6</v>
      </c>
      <c r="F142" t="s">
        <v>47</v>
      </c>
      <c r="G142" t="s">
        <v>34</v>
      </c>
      <c r="I142" t="s">
        <v>30</v>
      </c>
      <c r="K142" t="s">
        <v>0</v>
      </c>
      <c r="L142" t="s">
        <v>4</v>
      </c>
      <c r="M142" t="s">
        <v>6</v>
      </c>
      <c r="N142" t="s">
        <v>47</v>
      </c>
      <c r="O142" t="s">
        <v>34</v>
      </c>
      <c r="Q142" t="s">
        <v>30</v>
      </c>
      <c r="S142" t="s">
        <v>0</v>
      </c>
      <c r="T142" t="s">
        <v>4</v>
      </c>
      <c r="U142" t="s">
        <v>6</v>
      </c>
      <c r="V142" t="s">
        <v>47</v>
      </c>
      <c r="W142" t="s">
        <v>34</v>
      </c>
      <c r="Y142" t="s">
        <v>30</v>
      </c>
      <c r="AA142" t="s">
        <v>0</v>
      </c>
      <c r="AB142" t="s">
        <v>4</v>
      </c>
      <c r="AC142" t="s">
        <v>6</v>
      </c>
      <c r="AD142" t="s">
        <v>47</v>
      </c>
      <c r="AF142" t="s">
        <v>30</v>
      </c>
      <c r="AH142" t="s">
        <v>0</v>
      </c>
      <c r="AI142" t="s">
        <v>4</v>
      </c>
      <c r="AJ142" t="s">
        <v>6</v>
      </c>
      <c r="AK142" t="s">
        <v>47</v>
      </c>
      <c r="AM142" t="s">
        <v>30</v>
      </c>
      <c r="AO142" t="s">
        <v>0</v>
      </c>
      <c r="AP142" t="s">
        <v>4</v>
      </c>
      <c r="AQ142" t="s">
        <v>6</v>
      </c>
      <c r="AR142" t="s">
        <v>47</v>
      </c>
    </row>
    <row r="143" spans="1:59">
      <c r="B143" t="s">
        <v>0</v>
      </c>
      <c r="C143" s="2">
        <f>MIN(AA133,AA143,AA153,AA163,C172,AA172,C181,AA181,C190,AA190)</f>
        <v>0.45479999999999998</v>
      </c>
      <c r="D143" s="2">
        <f t="shared" ref="D143:F143" si="14">MIN(AB133,AB143,AB153,AB163,D172,AB172,D181,AB181,D190,AB190)</f>
        <v>0.46700000000000003</v>
      </c>
      <c r="E143" s="2">
        <f t="shared" si="14"/>
        <v>0.48209999999999997</v>
      </c>
      <c r="F143" s="2">
        <f t="shared" si="14"/>
        <v>0.5413</v>
      </c>
      <c r="G143" s="2">
        <f t="shared" ref="G143:G146" si="15">AVERAGE(C143:F143)</f>
        <v>0.48629999999999995</v>
      </c>
      <c r="H143" s="2"/>
      <c r="J143" t="s">
        <v>0</v>
      </c>
      <c r="K143" s="2">
        <f>MIN(AH133,AH143,AH153,AH163,K172,AH172,K181,AH181,K190,AH190)</f>
        <v>0.1671</v>
      </c>
      <c r="L143" s="2">
        <f t="shared" ref="L143:N146" si="16">MIN(AI133,AI143,AI153,AI163,L172,AI172,L181,AI181,L190,AI190)</f>
        <v>0.1903</v>
      </c>
      <c r="M143" s="2">
        <f t="shared" si="16"/>
        <v>0.2215</v>
      </c>
      <c r="N143" s="2">
        <f t="shared" si="16"/>
        <v>0.38080000000000003</v>
      </c>
      <c r="O143" s="2">
        <f>AVERAGE(K143:N143)</f>
        <v>0.239925</v>
      </c>
      <c r="R143" t="s">
        <v>0</v>
      </c>
      <c r="S143" s="2">
        <f>MIN(AO133,AO143,AO153,AO163,S172,AO172,S181,AO181,S190,AO190)</f>
        <v>3.8699999999999998E-2</v>
      </c>
      <c r="T143" s="2">
        <f t="shared" ref="T143:V146" si="17">MIN(AP133,AP143,AP153,AP163,T172,AP172,T181,AP181,T190,AP190)</f>
        <v>6.1499999999999999E-2</v>
      </c>
      <c r="U143" s="2">
        <f t="shared" si="17"/>
        <v>8.7800000000000003E-2</v>
      </c>
      <c r="V143" s="2">
        <f t="shared" si="17"/>
        <v>0.23119999999999999</v>
      </c>
      <c r="W143" s="2">
        <f>AVERAGE(S143:V143)</f>
        <v>0.1048</v>
      </c>
      <c r="Z143" t="s">
        <v>0</v>
      </c>
      <c r="AA143" s="2">
        <v>0.45479999999999998</v>
      </c>
      <c r="AB143" s="2">
        <v>0.46700000000000003</v>
      </c>
      <c r="AC143" s="2">
        <v>0.48209999999999997</v>
      </c>
      <c r="AD143" s="2">
        <v>0.5413</v>
      </c>
      <c r="AG143" t="s">
        <v>0</v>
      </c>
      <c r="AH143" s="2">
        <v>0.1671</v>
      </c>
      <c r="AI143" s="2">
        <v>0.1903</v>
      </c>
      <c r="AJ143" s="2">
        <v>0.2215</v>
      </c>
      <c r="AK143" s="2">
        <v>0.39119999999999999</v>
      </c>
      <c r="AL143" s="2"/>
      <c r="AN143" t="s">
        <v>0</v>
      </c>
      <c r="AO143" s="2">
        <v>3.8699999999999998E-2</v>
      </c>
      <c r="AP143" s="2">
        <v>6.1499999999999999E-2</v>
      </c>
      <c r="AQ143" s="2">
        <v>8.7800000000000003E-2</v>
      </c>
      <c r="AR143" s="2">
        <v>0.26279999999999998</v>
      </c>
    </row>
    <row r="144" spans="1:59">
      <c r="B144" t="s">
        <v>4</v>
      </c>
      <c r="C144" s="2">
        <f t="shared" ref="C144:C146" si="18">MIN(AA134,AA144,AA154,AA164,C173,AA173,C182,AA182,C191,AA191)</f>
        <v>0.50939999999999996</v>
      </c>
      <c r="D144" s="2">
        <f t="shared" ref="D144:F146" si="19">MIN(AB134,AB144,AB154,AB164,D173,AB173,D182,AB182,D191,AB191)</f>
        <v>0.46929999999999999</v>
      </c>
      <c r="E144" s="2">
        <f t="shared" si="19"/>
        <v>0.48980000000000001</v>
      </c>
      <c r="F144" s="2">
        <f t="shared" si="19"/>
        <v>0.56399999999999995</v>
      </c>
      <c r="G144" s="2">
        <f t="shared" si="15"/>
        <v>0.50812499999999994</v>
      </c>
      <c r="H144" s="2"/>
      <c r="J144" t="s">
        <v>4</v>
      </c>
      <c r="K144" s="2">
        <f t="shared" ref="K144:K146" si="20">MIN(AH134,AH144,AH154,AH164,K173,AH173,K182,AH182,K191,AH191)</f>
        <v>0.22720000000000001</v>
      </c>
      <c r="L144" s="2">
        <f t="shared" si="16"/>
        <v>0.1507</v>
      </c>
      <c r="M144" s="2">
        <f t="shared" si="16"/>
        <v>0.19739999999999999</v>
      </c>
      <c r="N144" s="2">
        <f t="shared" si="16"/>
        <v>0.38140000000000002</v>
      </c>
      <c r="O144" s="2">
        <f t="shared" ref="O144:O146" si="21">AVERAGE(K144:N144)</f>
        <v>0.23917500000000003</v>
      </c>
      <c r="R144" t="s">
        <v>4</v>
      </c>
      <c r="S144" s="2">
        <f t="shared" ref="S144:S146" si="22">MIN(AO134,AO144,AO154,AO164,S173,AO173,S182,AO182,S191,AO191)</f>
        <v>6.6799999999999998E-2</v>
      </c>
      <c r="T144" s="2">
        <f t="shared" si="17"/>
        <v>3.2800000000000003E-2</v>
      </c>
      <c r="U144" s="2">
        <f t="shared" si="17"/>
        <v>5.5300000000000002E-2</v>
      </c>
      <c r="V144" s="2">
        <f t="shared" si="17"/>
        <v>0.21060000000000001</v>
      </c>
      <c r="W144" s="2">
        <f t="shared" ref="W144:W146" si="23">AVERAGE(S144:V144)</f>
        <v>9.1374999999999998E-2</v>
      </c>
      <c r="Z144" t="s">
        <v>4</v>
      </c>
      <c r="AA144" s="2">
        <v>0.50939999999999996</v>
      </c>
      <c r="AB144" s="2">
        <v>0.46929999999999999</v>
      </c>
      <c r="AC144" s="2">
        <v>0.48980000000000001</v>
      </c>
      <c r="AD144" s="2">
        <v>0.56399999999999995</v>
      </c>
      <c r="AG144" t="s">
        <v>4</v>
      </c>
      <c r="AH144" s="2">
        <v>0.22720000000000001</v>
      </c>
      <c r="AI144" s="2">
        <v>0.1507</v>
      </c>
      <c r="AJ144" s="2">
        <v>0.19739999999999999</v>
      </c>
      <c r="AK144" s="2">
        <v>0.38640000000000002</v>
      </c>
      <c r="AL144" s="2"/>
      <c r="AN144" t="s">
        <v>4</v>
      </c>
      <c r="AO144" s="2">
        <v>6.6799999999999998E-2</v>
      </c>
      <c r="AP144" s="2">
        <v>3.2800000000000003E-2</v>
      </c>
      <c r="AQ144" s="2">
        <v>6.2100000000000002E-2</v>
      </c>
      <c r="AR144" s="2">
        <v>0.2412</v>
      </c>
      <c r="AS144" s="2"/>
      <c r="AT144" s="2"/>
      <c r="AU144" s="2"/>
      <c r="AV144" s="2"/>
      <c r="AW144" s="2"/>
      <c r="BA144" s="2"/>
      <c r="BB144" s="2"/>
      <c r="BC144" s="2"/>
      <c r="BD144" s="2"/>
      <c r="BE144" s="2"/>
      <c r="BF144" s="2"/>
      <c r="BG144" s="2"/>
    </row>
    <row r="145" spans="1:59">
      <c r="B145" t="s">
        <v>6</v>
      </c>
      <c r="C145" s="2">
        <f t="shared" si="18"/>
        <v>0.622</v>
      </c>
      <c r="D145" s="2">
        <f t="shared" si="19"/>
        <v>0.59730000000000005</v>
      </c>
      <c r="E145" s="2">
        <f t="shared" si="19"/>
        <v>0.52900000000000003</v>
      </c>
      <c r="F145" s="2">
        <f t="shared" si="19"/>
        <v>0.59570000000000001</v>
      </c>
      <c r="G145" s="2">
        <f t="shared" si="15"/>
        <v>0.58599999999999997</v>
      </c>
      <c r="H145" s="2"/>
      <c r="J145" t="s">
        <v>6</v>
      </c>
      <c r="K145" s="2">
        <f t="shared" si="20"/>
        <v>0.4088</v>
      </c>
      <c r="L145" s="2">
        <f t="shared" si="16"/>
        <v>0.32390000000000002</v>
      </c>
      <c r="M145" s="2">
        <f t="shared" si="16"/>
        <v>0.1603</v>
      </c>
      <c r="N145" s="2">
        <f t="shared" si="16"/>
        <v>0.35880000000000001</v>
      </c>
      <c r="O145" s="2">
        <f t="shared" si="21"/>
        <v>0.31295000000000001</v>
      </c>
      <c r="R145" t="s">
        <v>6</v>
      </c>
      <c r="S145" s="2">
        <f t="shared" si="22"/>
        <v>0.22450000000000001</v>
      </c>
      <c r="T145" s="2">
        <f t="shared" si="17"/>
        <v>0.1479</v>
      </c>
      <c r="U145" s="2">
        <f t="shared" si="17"/>
        <v>2.47E-2</v>
      </c>
      <c r="V145" s="2">
        <f t="shared" si="17"/>
        <v>0.161</v>
      </c>
      <c r="W145" s="2">
        <f t="shared" si="23"/>
        <v>0.13952500000000001</v>
      </c>
      <c r="Z145" t="s">
        <v>6</v>
      </c>
      <c r="AA145" s="2">
        <v>0.622</v>
      </c>
      <c r="AB145" s="2">
        <v>0.59730000000000005</v>
      </c>
      <c r="AC145" s="2">
        <v>0.52900000000000003</v>
      </c>
      <c r="AD145" s="2">
        <v>0.59570000000000001</v>
      </c>
      <c r="AG145" t="s">
        <v>6</v>
      </c>
      <c r="AH145" s="2">
        <v>0.4088</v>
      </c>
      <c r="AI145" s="2">
        <v>0.32390000000000002</v>
      </c>
      <c r="AJ145" s="2">
        <v>0.1603</v>
      </c>
      <c r="AK145" s="2">
        <v>0.35880000000000001</v>
      </c>
      <c r="AL145" s="2"/>
      <c r="AN145" t="s">
        <v>6</v>
      </c>
      <c r="AO145" s="2">
        <v>0.2351</v>
      </c>
      <c r="AP145" s="2">
        <v>0.1479</v>
      </c>
      <c r="AQ145" s="2">
        <v>2.7400000000000001E-2</v>
      </c>
      <c r="AR145" s="2">
        <v>0.1716</v>
      </c>
      <c r="AS145" s="2"/>
      <c r="AT145" s="2"/>
      <c r="AU145" s="2"/>
      <c r="AV145" s="2"/>
      <c r="AW145" s="2"/>
      <c r="BA145" s="2"/>
      <c r="BB145" s="2"/>
      <c r="BC145" s="2"/>
      <c r="BD145" s="2"/>
      <c r="BE145" s="2"/>
      <c r="BF145" s="2"/>
      <c r="BG145" s="2"/>
    </row>
    <row r="146" spans="1:59">
      <c r="B146" t="s">
        <v>47</v>
      </c>
      <c r="C146" s="2">
        <f t="shared" si="18"/>
        <v>0.58679999999999999</v>
      </c>
      <c r="D146" s="2">
        <f t="shared" si="19"/>
        <v>0.57509999999999994</v>
      </c>
      <c r="E146" s="2">
        <f t="shared" si="19"/>
        <v>0.50180000000000002</v>
      </c>
      <c r="F146" s="2">
        <f t="shared" si="19"/>
        <v>0.44800000000000001</v>
      </c>
      <c r="G146" s="2">
        <f t="shared" si="15"/>
        <v>0.52792499999999998</v>
      </c>
      <c r="H146" s="2"/>
      <c r="J146" t="s">
        <v>47</v>
      </c>
      <c r="K146" s="2">
        <f t="shared" si="20"/>
        <v>0.40749999999999997</v>
      </c>
      <c r="L146" s="2">
        <f t="shared" si="16"/>
        <v>0.36630000000000001</v>
      </c>
      <c r="M146" s="2">
        <f t="shared" si="16"/>
        <v>0.17680000000000001</v>
      </c>
      <c r="N146" s="2">
        <f t="shared" si="16"/>
        <v>0.1023</v>
      </c>
      <c r="O146" s="2">
        <f t="shared" si="21"/>
        <v>0.26322500000000004</v>
      </c>
      <c r="R146" t="s">
        <v>47</v>
      </c>
      <c r="S146" s="2">
        <f t="shared" si="22"/>
        <v>0.2326</v>
      </c>
      <c r="T146" s="2">
        <f t="shared" si="17"/>
        <v>0.18820000000000001</v>
      </c>
      <c r="U146" s="2">
        <f t="shared" si="17"/>
        <v>4.3700000000000003E-2</v>
      </c>
      <c r="V146" s="2">
        <f t="shared" si="17"/>
        <v>1.04E-2</v>
      </c>
      <c r="W146" s="2">
        <f t="shared" si="23"/>
        <v>0.11872500000000001</v>
      </c>
      <c r="Z146" t="s">
        <v>47</v>
      </c>
      <c r="AA146" s="2">
        <v>0.58689999999999998</v>
      </c>
      <c r="AB146" s="2">
        <v>0.57509999999999994</v>
      </c>
      <c r="AC146" s="2">
        <v>0.50180000000000002</v>
      </c>
      <c r="AD146" s="2">
        <v>0.44800000000000001</v>
      </c>
      <c r="AG146" t="s">
        <v>47</v>
      </c>
      <c r="AH146" s="2">
        <v>0.40749999999999997</v>
      </c>
      <c r="AI146" s="2">
        <v>0.36630000000000001</v>
      </c>
      <c r="AJ146" s="2">
        <v>0.17680000000000001</v>
      </c>
      <c r="AK146" s="2">
        <v>0.1023</v>
      </c>
      <c r="AL146" s="2"/>
      <c r="AN146" t="s">
        <v>47</v>
      </c>
      <c r="AO146" s="2">
        <v>0.2465</v>
      </c>
      <c r="AP146" s="2">
        <v>0.20730000000000001</v>
      </c>
      <c r="AQ146" s="2">
        <v>4.3700000000000003E-2</v>
      </c>
      <c r="AR146" s="2">
        <v>1.04E-2</v>
      </c>
      <c r="AS146" s="2"/>
      <c r="AT146" s="2"/>
      <c r="AU146" s="2"/>
      <c r="AV146" s="2"/>
      <c r="AW146" s="2"/>
      <c r="BA146" s="2"/>
      <c r="BB146" s="2"/>
      <c r="BC146" s="2"/>
      <c r="BD146" s="2"/>
      <c r="BE146" s="2"/>
      <c r="BF146" s="2"/>
      <c r="BG146" s="2"/>
    </row>
    <row r="147" spans="1:59">
      <c r="C147" s="2"/>
      <c r="D147" s="2"/>
      <c r="E147" s="2"/>
      <c r="F147" s="2"/>
      <c r="G147" s="2"/>
      <c r="H147" s="2"/>
      <c r="I147" s="2"/>
      <c r="J147" s="2"/>
      <c r="M147" s="2"/>
      <c r="N147" s="2"/>
      <c r="O147" s="2"/>
      <c r="P147" s="2"/>
      <c r="Q147" s="2"/>
      <c r="R147" s="2"/>
      <c r="S147" s="2"/>
      <c r="T147" s="2"/>
      <c r="W147" s="2"/>
      <c r="X147" s="2"/>
      <c r="Y147" s="2"/>
      <c r="Z147" s="2"/>
      <c r="AA147" s="2"/>
      <c r="AB147" s="2"/>
      <c r="AC147" s="2"/>
      <c r="AD147" s="2"/>
      <c r="AG147" s="2"/>
      <c r="AH147" s="2"/>
      <c r="AI147" s="2"/>
      <c r="AJ147" s="2"/>
      <c r="AK147" s="2"/>
      <c r="AL147" s="2"/>
      <c r="AM147" s="2"/>
      <c r="AQ147" s="2"/>
      <c r="AR147" s="2"/>
      <c r="AS147" s="2"/>
      <c r="AT147" s="2"/>
      <c r="AU147" s="2"/>
      <c r="AV147" s="2"/>
      <c r="AW147" s="2"/>
      <c r="BA147" s="2"/>
      <c r="BB147" s="2"/>
      <c r="BC147" s="2"/>
      <c r="BD147" s="2"/>
      <c r="BE147" s="2"/>
      <c r="BF147" s="2"/>
      <c r="BG147" s="2"/>
    </row>
    <row r="148" spans="1:59">
      <c r="AS148" s="2"/>
      <c r="AT148" s="2"/>
      <c r="AU148" s="2"/>
      <c r="AV148" s="2"/>
      <c r="AW148" s="2"/>
      <c r="BA148" s="2"/>
      <c r="BB148" s="2"/>
      <c r="BC148" s="2"/>
      <c r="BD148" s="2"/>
      <c r="BE148" s="2"/>
      <c r="BF148" s="2"/>
      <c r="BG148" s="2"/>
    </row>
    <row r="149" spans="1:59">
      <c r="C149" s="2"/>
      <c r="D149" s="2"/>
      <c r="E149" s="2"/>
      <c r="F149" s="2"/>
      <c r="G149" s="2"/>
      <c r="H149" s="2"/>
      <c r="I149" s="2"/>
      <c r="J149" s="2"/>
      <c r="M149" s="2"/>
      <c r="N149" s="2"/>
      <c r="O149" s="2"/>
      <c r="P149" s="2"/>
      <c r="Q149" s="2"/>
      <c r="R149" s="2"/>
      <c r="S149" s="2"/>
      <c r="T149" s="2"/>
      <c r="W149" s="2"/>
      <c r="X149" s="2"/>
      <c r="Y149" s="2"/>
      <c r="Z149" s="2"/>
      <c r="AA149" s="2"/>
      <c r="AB149" s="2"/>
      <c r="AC149" s="2"/>
      <c r="AD149" s="2"/>
      <c r="AG149" s="2"/>
      <c r="AH149" s="2"/>
      <c r="AI149" s="2"/>
      <c r="AJ149" s="2"/>
      <c r="AK149" s="2"/>
      <c r="AL149" s="2"/>
      <c r="AM149" s="2"/>
      <c r="AQ149" s="2"/>
      <c r="AR149" s="2"/>
      <c r="AS149" s="2"/>
      <c r="AT149" s="2"/>
      <c r="AU149" s="2"/>
      <c r="AV149" s="2"/>
      <c r="AW149" s="2"/>
      <c r="BA149" s="2"/>
      <c r="BB149" s="2"/>
      <c r="BC149" s="2"/>
      <c r="BD149" s="2"/>
      <c r="BE149" s="2"/>
      <c r="BF149" s="2"/>
      <c r="BG149" s="2"/>
    </row>
    <row r="150" spans="1:59">
      <c r="A150" t="s">
        <v>9</v>
      </c>
      <c r="B150" t="s">
        <v>31</v>
      </c>
      <c r="I150" t="s">
        <v>9</v>
      </c>
      <c r="J150" t="s">
        <v>31</v>
      </c>
      <c r="Q150" t="s">
        <v>9</v>
      </c>
      <c r="R150" t="s">
        <v>31</v>
      </c>
      <c r="Y150" t="s">
        <v>13</v>
      </c>
      <c r="Z150" t="s">
        <v>31</v>
      </c>
      <c r="AF150" t="s">
        <v>13</v>
      </c>
      <c r="AG150" t="s">
        <v>31</v>
      </c>
      <c r="AM150" t="s">
        <v>13</v>
      </c>
      <c r="AN150" t="s">
        <v>31</v>
      </c>
      <c r="AS150" s="2"/>
      <c r="AT150" s="2"/>
      <c r="AU150" s="2"/>
      <c r="AV150" s="2"/>
      <c r="AW150" s="2"/>
      <c r="BA150" s="2"/>
      <c r="BB150" s="2"/>
      <c r="BC150" s="2"/>
      <c r="BD150" s="2"/>
      <c r="BE150" s="2"/>
      <c r="BF150" s="2"/>
      <c r="BG150" s="2"/>
    </row>
    <row r="151" spans="1:59">
      <c r="A151" t="s">
        <v>29</v>
      </c>
      <c r="I151" t="s">
        <v>32</v>
      </c>
      <c r="Q151" t="s">
        <v>33</v>
      </c>
      <c r="Y151" t="s">
        <v>29</v>
      </c>
      <c r="AF151" t="s">
        <v>32</v>
      </c>
      <c r="AM151" t="s">
        <v>33</v>
      </c>
    </row>
    <row r="152" spans="1:59">
      <c r="A152" t="s">
        <v>30</v>
      </c>
      <c r="C152" t="s">
        <v>0</v>
      </c>
      <c r="D152" t="s">
        <v>4</v>
      </c>
      <c r="E152" t="s">
        <v>6</v>
      </c>
      <c r="F152" t="s">
        <v>47</v>
      </c>
      <c r="G152" t="s">
        <v>34</v>
      </c>
      <c r="I152" t="s">
        <v>30</v>
      </c>
      <c r="K152" t="s">
        <v>0</v>
      </c>
      <c r="L152" t="s">
        <v>4</v>
      </c>
      <c r="M152" t="s">
        <v>6</v>
      </c>
      <c r="N152" t="s">
        <v>47</v>
      </c>
      <c r="O152" t="s">
        <v>34</v>
      </c>
      <c r="Q152" t="s">
        <v>30</v>
      </c>
      <c r="S152" t="s">
        <v>0</v>
      </c>
      <c r="T152" t="s">
        <v>4</v>
      </c>
      <c r="U152" t="s">
        <v>6</v>
      </c>
      <c r="V152" t="s">
        <v>47</v>
      </c>
      <c r="W152" t="s">
        <v>34</v>
      </c>
      <c r="Y152" t="s">
        <v>30</v>
      </c>
      <c r="AA152" t="s">
        <v>0</v>
      </c>
      <c r="AB152" t="s">
        <v>4</v>
      </c>
      <c r="AC152" t="s">
        <v>6</v>
      </c>
      <c r="AD152" t="s">
        <v>47</v>
      </c>
      <c r="AF152" t="s">
        <v>30</v>
      </c>
      <c r="AH152" t="s">
        <v>0</v>
      </c>
      <c r="AI152" t="s">
        <v>4</v>
      </c>
      <c r="AJ152" t="s">
        <v>6</v>
      </c>
      <c r="AK152" t="s">
        <v>47</v>
      </c>
      <c r="AM152" t="s">
        <v>30</v>
      </c>
      <c r="AO152" t="s">
        <v>0</v>
      </c>
      <c r="AP152" t="s">
        <v>4</v>
      </c>
      <c r="AQ152" t="s">
        <v>6</v>
      </c>
      <c r="AR152" t="s">
        <v>47</v>
      </c>
    </row>
    <row r="153" spans="1:59">
      <c r="B153" t="s">
        <v>0</v>
      </c>
      <c r="C153" s="2">
        <f>MAX(AA133,AA143,AA153,AA163,C172,AA172,C181,AA181,C190,AA190)</f>
        <v>0.54139999999999999</v>
      </c>
      <c r="D153" s="2">
        <f t="shared" ref="D153:F156" si="24">MAX(AB133,AB143,AB153,AB163,D172,AB172,D181,AB181,D190,AB190)</f>
        <v>0.5444</v>
      </c>
      <c r="E153" s="2">
        <f t="shared" si="24"/>
        <v>0.54979999999999996</v>
      </c>
      <c r="F153" s="2">
        <f t="shared" si="24"/>
        <v>0.57999999999999996</v>
      </c>
      <c r="G153" s="2">
        <f>AVERAGE(C153:F153)</f>
        <v>0.55389999999999995</v>
      </c>
      <c r="H153" s="2"/>
      <c r="J153" t="s">
        <v>0</v>
      </c>
      <c r="K153" s="2">
        <f>MAX(AH133,AH143,AH153,AH163,K172,AH172,K181,AH181,K190,AH190)</f>
        <v>0.32229999999999998</v>
      </c>
      <c r="L153" s="2">
        <f t="shared" ref="L153:N156" si="25">MAX(AI133,AI143,AI153,AI163,L172,AI172,L181,AI181,L190,AI190)</f>
        <v>0.33510000000000001</v>
      </c>
      <c r="M153" s="2">
        <f t="shared" si="25"/>
        <v>0.34520000000000001</v>
      </c>
      <c r="N153" s="2">
        <f t="shared" si="25"/>
        <v>0.44309999999999999</v>
      </c>
      <c r="O153" s="2">
        <f>AVERAGE(K153:N153)</f>
        <v>0.361425</v>
      </c>
      <c r="R153" t="s">
        <v>0</v>
      </c>
      <c r="S153" s="2">
        <f>MAX(AO133,AO143,AO153,AO163,S172,AO172,S181,AO181,S190,AO190)</f>
        <v>0.1396</v>
      </c>
      <c r="T153" s="2">
        <f t="shared" ref="T153:V156" si="26">MAX(AP133,AP143,AP153,AP163,T172,AP172,T181,AP181,T190,AP190)</f>
        <v>0.15570000000000001</v>
      </c>
      <c r="U153" s="2">
        <f t="shared" si="26"/>
        <v>0.1764</v>
      </c>
      <c r="V153" s="2">
        <f t="shared" si="26"/>
        <v>0.30209999999999998</v>
      </c>
      <c r="W153" s="2">
        <f>AVERAGE(S153:V153)</f>
        <v>0.19345000000000001</v>
      </c>
      <c r="Z153" t="s">
        <v>0</v>
      </c>
      <c r="AA153" s="2">
        <v>0.49430000000000002</v>
      </c>
      <c r="AB153" s="2">
        <v>0.50929999999999997</v>
      </c>
      <c r="AC153" s="2">
        <v>0.51800000000000002</v>
      </c>
      <c r="AD153" s="2">
        <v>0.55579999999999996</v>
      </c>
      <c r="AG153" t="s">
        <v>0</v>
      </c>
      <c r="AH153" s="2">
        <v>0.22289999999999999</v>
      </c>
      <c r="AI153" s="2">
        <v>0.25080000000000002</v>
      </c>
      <c r="AJ153" s="2">
        <v>0.28549999999999998</v>
      </c>
      <c r="AK153" s="2">
        <v>0.4017</v>
      </c>
      <c r="AL153" s="2"/>
      <c r="AN153" t="s">
        <v>0</v>
      </c>
      <c r="AO153" s="2">
        <v>5.8000000000000003E-2</v>
      </c>
      <c r="AP153" s="2">
        <v>8.1500000000000003E-2</v>
      </c>
      <c r="AQ153" s="2">
        <v>0.107</v>
      </c>
      <c r="AR153" s="2">
        <v>0.24490000000000001</v>
      </c>
    </row>
    <row r="154" spans="1:59">
      <c r="B154" t="s">
        <v>4</v>
      </c>
      <c r="C154" s="2">
        <f t="shared" ref="C154:C156" si="27">MAX(AA134,AA144,AA154,AA164,C173,AA173,C182,AA182,C191,AA191)</f>
        <v>0.57609999999999995</v>
      </c>
      <c r="D154" s="2">
        <f t="shared" si="24"/>
        <v>0.55820000000000003</v>
      </c>
      <c r="E154" s="2">
        <f t="shared" si="24"/>
        <v>0.5625</v>
      </c>
      <c r="F154" s="2">
        <f t="shared" si="24"/>
        <v>0.60399999999999998</v>
      </c>
      <c r="G154" s="2">
        <f t="shared" ref="G154:G156" si="28">AVERAGE(C154:F154)</f>
        <v>0.57520000000000004</v>
      </c>
      <c r="H154" s="2"/>
      <c r="J154" t="s">
        <v>4</v>
      </c>
      <c r="K154" s="2">
        <f t="shared" ref="K154:K156" si="29">MAX(AH134,AH144,AH154,AH164,K173,AH173,K182,AH182,K191,AH191)</f>
        <v>0.36109999999999998</v>
      </c>
      <c r="L154" s="2">
        <f t="shared" si="25"/>
        <v>0.31469999999999998</v>
      </c>
      <c r="M154" s="2">
        <f t="shared" si="25"/>
        <v>0.3296</v>
      </c>
      <c r="N154" s="2">
        <f t="shared" si="25"/>
        <v>0.44280000000000003</v>
      </c>
      <c r="O154" s="2">
        <f t="shared" ref="O154:O156" si="30">AVERAGE(K154:N154)</f>
        <v>0.36204999999999998</v>
      </c>
      <c r="R154" t="s">
        <v>4</v>
      </c>
      <c r="S154" s="2">
        <f t="shared" ref="S154:S156" si="31">MAX(AO134,AO144,AO154,AO164,S173,AO173,S182,AO182,S191,AO191)</f>
        <v>0.1663</v>
      </c>
      <c r="T154" s="2">
        <f t="shared" si="26"/>
        <v>0.1226</v>
      </c>
      <c r="U154" s="2">
        <f t="shared" si="26"/>
        <v>0.1484</v>
      </c>
      <c r="V154" s="2">
        <f t="shared" si="26"/>
        <v>0.28599999999999998</v>
      </c>
      <c r="W154" s="2">
        <f t="shared" ref="W154:W156" si="32">AVERAGE(S154:V154)</f>
        <v>0.18082500000000001</v>
      </c>
      <c r="Z154" t="s">
        <v>4</v>
      </c>
      <c r="AA154" s="2">
        <v>0.53849999999999998</v>
      </c>
      <c r="AB154" s="2">
        <v>0.52300000000000002</v>
      </c>
      <c r="AC154" s="2">
        <v>0.53620000000000001</v>
      </c>
      <c r="AD154" s="2">
        <v>0.57920000000000005</v>
      </c>
      <c r="AG154" t="s">
        <v>4</v>
      </c>
      <c r="AH154" s="2">
        <v>0.28239999999999998</v>
      </c>
      <c r="AI154" s="2">
        <v>0.23549999999999999</v>
      </c>
      <c r="AJ154" s="2">
        <v>0.27179999999999999</v>
      </c>
      <c r="AK154" s="2">
        <v>0.40210000000000001</v>
      </c>
      <c r="AL154" s="2"/>
      <c r="AN154" t="s">
        <v>4</v>
      </c>
      <c r="AO154" s="2">
        <v>9.8900000000000002E-2</v>
      </c>
      <c r="AP154" s="2">
        <v>5.8599999999999999E-2</v>
      </c>
      <c r="AQ154" s="2">
        <v>8.8499999999999995E-2</v>
      </c>
      <c r="AR154" s="2">
        <v>0.23910000000000001</v>
      </c>
    </row>
    <row r="155" spans="1:59">
      <c r="B155" t="s">
        <v>6</v>
      </c>
      <c r="C155" s="2">
        <f t="shared" si="27"/>
        <v>0.65369999999999995</v>
      </c>
      <c r="D155" s="2">
        <f t="shared" si="24"/>
        <v>0.6421</v>
      </c>
      <c r="E155" s="2">
        <f t="shared" si="24"/>
        <v>0.60560000000000003</v>
      </c>
      <c r="F155" s="2">
        <f t="shared" si="24"/>
        <v>0.63759999999999994</v>
      </c>
      <c r="G155" s="2">
        <f t="shared" si="28"/>
        <v>0.63474999999999993</v>
      </c>
      <c r="H155" s="2"/>
      <c r="J155" t="s">
        <v>6</v>
      </c>
      <c r="K155" s="2">
        <f t="shared" si="29"/>
        <v>0.4995</v>
      </c>
      <c r="L155" s="2">
        <f t="shared" si="25"/>
        <v>0.45269999999999999</v>
      </c>
      <c r="M155" s="2">
        <f t="shared" si="25"/>
        <v>0.35120000000000001</v>
      </c>
      <c r="N155" s="2">
        <f t="shared" si="25"/>
        <v>0.4834</v>
      </c>
      <c r="O155" s="2">
        <f t="shared" si="30"/>
        <v>0.44669999999999999</v>
      </c>
      <c r="R155" t="s">
        <v>6</v>
      </c>
      <c r="S155" s="2">
        <f t="shared" si="31"/>
        <v>0.33389999999999997</v>
      </c>
      <c r="T155" s="2">
        <f t="shared" si="26"/>
        <v>0.26369999999999999</v>
      </c>
      <c r="U155" s="2">
        <f t="shared" si="26"/>
        <v>0.1313</v>
      </c>
      <c r="V155" s="2">
        <f t="shared" si="26"/>
        <v>0.30609999999999998</v>
      </c>
      <c r="W155" s="2">
        <f t="shared" si="32"/>
        <v>0.25874999999999998</v>
      </c>
      <c r="Z155" t="s">
        <v>6</v>
      </c>
      <c r="AA155" s="2">
        <v>0.63090000000000002</v>
      </c>
      <c r="AB155" s="2">
        <v>0.624</v>
      </c>
      <c r="AC155" s="2">
        <v>0.60560000000000003</v>
      </c>
      <c r="AD155" s="2">
        <v>0.63460000000000005</v>
      </c>
      <c r="AG155" t="s">
        <v>6</v>
      </c>
      <c r="AH155" s="2">
        <v>0.46179999999999999</v>
      </c>
      <c r="AI155" s="2">
        <v>0.42370000000000002</v>
      </c>
      <c r="AJ155" s="2">
        <v>0.35120000000000001</v>
      </c>
      <c r="AK155" s="2">
        <v>0.4834</v>
      </c>
      <c r="AL155" s="2"/>
      <c r="AN155" t="s">
        <v>6</v>
      </c>
      <c r="AO155" s="2">
        <v>0.26979999999999998</v>
      </c>
      <c r="AP155" s="2">
        <v>0.2064</v>
      </c>
      <c r="AQ155" s="2">
        <v>0.1313</v>
      </c>
      <c r="AR155" s="2">
        <v>0.30609999999999998</v>
      </c>
      <c r="AS155" s="2"/>
      <c r="AT155" s="2"/>
      <c r="AU155" s="2"/>
      <c r="AV155" s="2"/>
      <c r="AW155" s="2"/>
      <c r="BA155" s="2"/>
      <c r="BB155" s="2"/>
      <c r="BC155" s="2"/>
      <c r="BD155" s="2"/>
      <c r="BE155" s="2"/>
      <c r="BF155" s="2"/>
      <c r="BG155" s="2"/>
    </row>
    <row r="156" spans="1:59">
      <c r="B156" t="s">
        <v>47</v>
      </c>
      <c r="C156" s="2">
        <f t="shared" si="27"/>
        <v>0.61939999999999995</v>
      </c>
      <c r="D156" s="2">
        <f t="shared" si="24"/>
        <v>0.61009999999999998</v>
      </c>
      <c r="E156" s="2">
        <f t="shared" si="24"/>
        <v>0.58630000000000004</v>
      </c>
      <c r="F156" s="2">
        <f t="shared" si="24"/>
        <v>0.54500000000000004</v>
      </c>
      <c r="G156" s="2">
        <f t="shared" si="28"/>
        <v>0.59019999999999995</v>
      </c>
      <c r="H156" s="2"/>
      <c r="J156" t="s">
        <v>47</v>
      </c>
      <c r="K156" s="2">
        <f t="shared" si="29"/>
        <v>0.49719999999999998</v>
      </c>
      <c r="L156" s="2">
        <f t="shared" si="25"/>
        <v>0.4662</v>
      </c>
      <c r="M156" s="2">
        <f t="shared" si="25"/>
        <v>0.39279999999999998</v>
      </c>
      <c r="N156" s="2">
        <f t="shared" si="25"/>
        <v>0.2772</v>
      </c>
      <c r="O156" s="2">
        <f t="shared" si="30"/>
        <v>0.40834999999999999</v>
      </c>
      <c r="R156" t="s">
        <v>47</v>
      </c>
      <c r="S156" s="2">
        <f t="shared" si="31"/>
        <v>0.35260000000000002</v>
      </c>
      <c r="T156" s="2">
        <f t="shared" si="26"/>
        <v>0.30480000000000002</v>
      </c>
      <c r="U156" s="2">
        <f t="shared" si="26"/>
        <v>0.19600000000000001</v>
      </c>
      <c r="V156" s="2">
        <f t="shared" si="26"/>
        <v>9.4200000000000006E-2</v>
      </c>
      <c r="W156" s="2">
        <f t="shared" si="32"/>
        <v>0.2369</v>
      </c>
      <c r="Z156" t="s">
        <v>47</v>
      </c>
      <c r="AA156" s="2">
        <v>0.60440000000000005</v>
      </c>
      <c r="AB156" s="2">
        <v>0.6</v>
      </c>
      <c r="AC156" s="2">
        <v>0.58630000000000004</v>
      </c>
      <c r="AD156" s="2">
        <v>0.54500000000000004</v>
      </c>
      <c r="AG156" t="s">
        <v>47</v>
      </c>
      <c r="AH156" s="2">
        <v>0.46629999999999999</v>
      </c>
      <c r="AI156" s="2">
        <v>0.44409999999999999</v>
      </c>
      <c r="AJ156" s="2">
        <v>0.39279999999999998</v>
      </c>
      <c r="AK156" s="2">
        <v>0.2772</v>
      </c>
      <c r="AL156" s="2"/>
      <c r="AN156" t="s">
        <v>47</v>
      </c>
      <c r="AO156" s="2">
        <v>0.30270000000000002</v>
      </c>
      <c r="AP156" s="2">
        <v>0.27189999999999998</v>
      </c>
      <c r="AQ156" s="2">
        <v>0.19600000000000001</v>
      </c>
      <c r="AR156" s="2">
        <v>9.4200000000000006E-2</v>
      </c>
      <c r="AS156" s="2"/>
      <c r="AT156" s="2"/>
      <c r="AU156" s="2"/>
      <c r="AV156" s="2"/>
      <c r="AW156" s="2"/>
      <c r="BA156" s="2"/>
      <c r="BB156" s="2"/>
      <c r="BC156" s="2"/>
      <c r="BD156" s="2"/>
      <c r="BE156" s="2"/>
      <c r="BF156" s="2"/>
      <c r="BG156" s="2"/>
    </row>
    <row r="157" spans="1:59">
      <c r="AS157" s="2"/>
      <c r="AT157" s="2"/>
      <c r="AU157" s="2"/>
      <c r="AV157" s="2"/>
      <c r="AW157" s="2"/>
      <c r="BA157" s="2"/>
      <c r="BB157" s="2"/>
      <c r="BC157" s="2"/>
      <c r="BD157" s="2"/>
      <c r="BE157" s="2"/>
      <c r="BF157" s="2"/>
      <c r="BG157" s="2"/>
    </row>
    <row r="158" spans="1:59">
      <c r="AS158" s="2"/>
      <c r="AT158" s="2"/>
      <c r="AU158" s="2"/>
      <c r="BA158" s="2"/>
      <c r="BB158" s="2"/>
      <c r="BC158" s="2"/>
      <c r="BD158" s="2"/>
      <c r="BE158" s="2"/>
      <c r="BF158" s="2"/>
      <c r="BG158" s="2"/>
    </row>
    <row r="159" spans="1:59">
      <c r="C159" s="2"/>
      <c r="D159" s="2"/>
      <c r="E159" s="2"/>
      <c r="F159" s="2"/>
      <c r="G159" s="2"/>
      <c r="H159" s="2"/>
      <c r="I159" s="2"/>
      <c r="J159" s="2"/>
      <c r="M159" s="2"/>
      <c r="N159" s="2"/>
      <c r="O159" s="2"/>
      <c r="P159" s="2"/>
      <c r="Q159" s="2"/>
      <c r="R159" s="2"/>
      <c r="S159" s="2"/>
      <c r="T159" s="2"/>
      <c r="W159" s="2"/>
      <c r="X159" s="2"/>
      <c r="Y159" s="2"/>
      <c r="Z159" s="2"/>
      <c r="AA159" s="2"/>
      <c r="AB159" s="2"/>
      <c r="AC159" s="2"/>
      <c r="AD159" s="2"/>
      <c r="AG159" s="2"/>
      <c r="AH159" s="2"/>
      <c r="AI159" s="2"/>
      <c r="AJ159" s="2"/>
      <c r="AK159" s="2"/>
      <c r="AL159" s="2"/>
      <c r="AM159" s="2"/>
      <c r="AQ159" s="2"/>
      <c r="AR159" s="2"/>
      <c r="AS159" s="2"/>
      <c r="AT159" s="2"/>
      <c r="AU159" s="2"/>
      <c r="AV159" s="2"/>
      <c r="AW159" s="2"/>
      <c r="BA159" s="2"/>
      <c r="BB159" s="2"/>
      <c r="BC159" s="2"/>
      <c r="BD159" s="2"/>
      <c r="BE159" s="2"/>
      <c r="BF159" s="2"/>
      <c r="BG159" s="2"/>
    </row>
    <row r="160" spans="1:59">
      <c r="A160" t="s">
        <v>10</v>
      </c>
      <c r="B160" t="s">
        <v>31</v>
      </c>
      <c r="I160" t="s">
        <v>10</v>
      </c>
      <c r="J160" t="s">
        <v>31</v>
      </c>
      <c r="Q160" t="s">
        <v>10</v>
      </c>
      <c r="R160" t="s">
        <v>31</v>
      </c>
      <c r="Y160" t="s">
        <v>14</v>
      </c>
      <c r="Z160" t="s">
        <v>31</v>
      </c>
      <c r="AF160" t="s">
        <v>14</v>
      </c>
      <c r="AG160" t="s">
        <v>31</v>
      </c>
      <c r="AM160" t="s">
        <v>14</v>
      </c>
      <c r="AN160" t="s">
        <v>31</v>
      </c>
      <c r="BA160" s="2"/>
      <c r="BB160" s="2"/>
      <c r="BC160" s="2"/>
      <c r="BD160" s="2"/>
      <c r="BE160" s="2"/>
      <c r="BF160" s="2"/>
      <c r="BG160" s="2"/>
    </row>
    <row r="161" spans="1:59">
      <c r="A161" t="s">
        <v>29</v>
      </c>
      <c r="I161" t="s">
        <v>32</v>
      </c>
      <c r="Q161" t="s">
        <v>33</v>
      </c>
      <c r="Y161" t="s">
        <v>29</v>
      </c>
      <c r="AF161" t="s">
        <v>32</v>
      </c>
      <c r="AM161" t="s">
        <v>33</v>
      </c>
      <c r="BA161" s="2"/>
      <c r="BB161" s="2"/>
      <c r="BC161" s="2"/>
      <c r="BD161" s="2"/>
      <c r="BE161" s="2"/>
      <c r="BF161" s="2"/>
      <c r="BG161" s="2"/>
    </row>
    <row r="162" spans="1:59">
      <c r="A162" t="s">
        <v>30</v>
      </c>
      <c r="C162" t="s">
        <v>0</v>
      </c>
      <c r="D162" t="s">
        <v>4</v>
      </c>
      <c r="E162" t="s">
        <v>6</v>
      </c>
      <c r="F162" t="s">
        <v>47</v>
      </c>
      <c r="G162" t="s">
        <v>34</v>
      </c>
      <c r="I162" t="s">
        <v>30</v>
      </c>
      <c r="K162" t="s">
        <v>0</v>
      </c>
      <c r="L162" t="s">
        <v>4</v>
      </c>
      <c r="M162" t="s">
        <v>6</v>
      </c>
      <c r="N162" t="s">
        <v>47</v>
      </c>
      <c r="O162" t="s">
        <v>34</v>
      </c>
      <c r="Q162" t="s">
        <v>30</v>
      </c>
      <c r="S162" t="s">
        <v>0</v>
      </c>
      <c r="T162" t="s">
        <v>4</v>
      </c>
      <c r="U162" t="s">
        <v>6</v>
      </c>
      <c r="V162" t="s">
        <v>47</v>
      </c>
      <c r="W162" t="s">
        <v>34</v>
      </c>
      <c r="Y162" t="s">
        <v>30</v>
      </c>
      <c r="AA162" t="s">
        <v>0</v>
      </c>
      <c r="AB162" t="s">
        <v>4</v>
      </c>
      <c r="AC162" t="s">
        <v>6</v>
      </c>
      <c r="AD162" t="s">
        <v>47</v>
      </c>
      <c r="AF162" t="s">
        <v>30</v>
      </c>
      <c r="AH162" t="s">
        <v>0</v>
      </c>
      <c r="AI162" t="s">
        <v>4</v>
      </c>
      <c r="AJ162" t="s">
        <v>6</v>
      </c>
      <c r="AK162" t="s">
        <v>47</v>
      </c>
      <c r="AM162" t="s">
        <v>30</v>
      </c>
      <c r="AO162" t="s">
        <v>0</v>
      </c>
      <c r="AP162" t="s">
        <v>4</v>
      </c>
      <c r="AQ162" t="s">
        <v>6</v>
      </c>
      <c r="AR162" t="s">
        <v>47</v>
      </c>
    </row>
    <row r="163" spans="1:59">
      <c r="B163" t="s">
        <v>0</v>
      </c>
      <c r="C163" s="2">
        <f>AVERAGE(AA133,AA143,AA153,AA163,C172,AA172,C181,AA181,C190,AA190)</f>
        <v>0.50305</v>
      </c>
      <c r="D163" s="2">
        <f>AVERAGE(AB133,AB143,AB153,AB163,D172,AB172,D181,AB181,D190,AB190)</f>
        <v>0.51495999999999997</v>
      </c>
      <c r="E163" s="2">
        <f>AVERAGE(AC133,AC143,AC153,AC163,E172,AC172,E181,AC181,E190,AC190)</f>
        <v>0.52612999999999999</v>
      </c>
      <c r="F163" s="2">
        <f>AVERAGE(AD133,AD143,AD153,AD163,F172,AD172,F181,AD181,F190,AD190)</f>
        <v>0.56471000000000005</v>
      </c>
      <c r="G163" s="2">
        <f t="shared" ref="G163:G166" si="33">AVERAGE(C163:F163)</f>
        <v>0.52721249999999997</v>
      </c>
      <c r="H163" s="2"/>
      <c r="J163" t="s">
        <v>0</v>
      </c>
      <c r="K163" s="2">
        <f>AVERAGE(AH133,AH143,AH153,AH163,K172,AH172,K181,AH181,K190,AH190)</f>
        <v>0.24202000000000004</v>
      </c>
      <c r="L163" s="2">
        <f>AVERAGE(AI133,AI143,AI153,AI163,L172,AI172,L181,AI181,L190,AI190)</f>
        <v>0.26602000000000003</v>
      </c>
      <c r="M163" s="2">
        <f>AVERAGE(AJ133,AJ143,AJ153,AJ163,M172,AJ172,M181,AJ181,M190,AJ190)</f>
        <v>0.29310999999999998</v>
      </c>
      <c r="N163" s="2">
        <f>AVERAGE(AK133,AK143,AK153,AK163,N172,AK172,N181,AK181,N190,AK190)</f>
        <v>0.41567999999999994</v>
      </c>
      <c r="O163" s="2">
        <f>AVERAGE(K163:N163)</f>
        <v>0.30420749999999996</v>
      </c>
      <c r="R163" t="s">
        <v>0</v>
      </c>
      <c r="S163" s="2">
        <f>AVERAGE(AO133,AO143,AO153,AO163,S172,AO172,S181,AO181,S190,AO190)</f>
        <v>8.0189999999999984E-2</v>
      </c>
      <c r="T163" s="2">
        <f>AVERAGE(AP133,AP143,AP153,AP163,T172,AP172,T181,AP181,T190,AP190)</f>
        <v>0.10191000000000001</v>
      </c>
      <c r="U163" s="2">
        <f>AVERAGE(AQ133,AQ143,AQ153,AQ163,U172,AQ172,U181,AQ181,U190,AQ190)</f>
        <v>0.12526999999999999</v>
      </c>
      <c r="V163" s="2">
        <f>AVERAGE(AR133,AR143,AR153,AR163,V172,AR172,V181,AR181,V190,AR190)</f>
        <v>0.27201999999999998</v>
      </c>
      <c r="W163" s="2">
        <f>AVERAGE(S163:V163)</f>
        <v>0.14484749999999999</v>
      </c>
      <c r="Z163" t="s">
        <v>0</v>
      </c>
      <c r="AA163" s="2">
        <v>0.50229999999999997</v>
      </c>
      <c r="AB163" s="2">
        <v>0.51470000000000005</v>
      </c>
      <c r="AC163" s="2">
        <v>0.53139999999999998</v>
      </c>
      <c r="AD163" s="2">
        <v>0.57189999999999996</v>
      </c>
      <c r="AG163" t="s">
        <v>0</v>
      </c>
      <c r="AH163" s="2">
        <v>0.21729999999999999</v>
      </c>
      <c r="AI163" s="2">
        <v>0.23280000000000001</v>
      </c>
      <c r="AJ163" s="2">
        <v>0.2843</v>
      </c>
      <c r="AK163" s="2">
        <v>0.41120000000000001</v>
      </c>
      <c r="AL163" s="2"/>
      <c r="AN163" t="s">
        <v>0</v>
      </c>
      <c r="AO163" s="2">
        <v>5.5E-2</v>
      </c>
      <c r="AP163" s="2">
        <v>7.0300000000000001E-2</v>
      </c>
      <c r="AQ163" s="2">
        <v>0.1108</v>
      </c>
      <c r="AR163" s="2">
        <v>0.26179999999999998</v>
      </c>
    </row>
    <row r="164" spans="1:59">
      <c r="B164" t="s">
        <v>4</v>
      </c>
      <c r="C164" s="2">
        <f>AVERAGE(AA134,AA144,AA154,AA164,C173,AA173,C182,AA182,C191,AA191)</f>
        <v>0.54539000000000004</v>
      </c>
      <c r="D164" s="2">
        <f>AVERAGE(AB134,AB144,AB154,AB164,D173,AB173,D182,AB182,D191,AB191)</f>
        <v>0.52469999999999994</v>
      </c>
      <c r="E164" s="2">
        <f t="shared" ref="D164:F166" si="34">AVERAGE(AC134,AC144,AC154,AC164,E173,AC173,E182,AC182,E191,AC191)</f>
        <v>0.53941000000000006</v>
      </c>
      <c r="F164" s="2">
        <f t="shared" si="34"/>
        <v>0.58624000000000009</v>
      </c>
      <c r="G164" s="2">
        <f t="shared" si="33"/>
        <v>0.54893500000000006</v>
      </c>
      <c r="H164" s="2"/>
      <c r="J164" t="s">
        <v>4</v>
      </c>
      <c r="K164" s="2">
        <f>AVERAGE(AH134,AH144,AH154,AH164,K173,AH173,K182,AH182,K191,AH191)</f>
        <v>0.2898</v>
      </c>
      <c r="L164" s="2">
        <f>AVERAGE(AI134,AI144,AI154,AI164,L173,AI173,L182,AI182,L191,AI191)</f>
        <v>0.23532000000000003</v>
      </c>
      <c r="M164" s="2">
        <f t="shared" ref="L164:N166" si="35">AVERAGE(AJ134,AJ144,AJ154,AJ164,M173,AJ173,M182,AJ182,M191,AJ191)</f>
        <v>0.27102999999999999</v>
      </c>
      <c r="N164" s="2">
        <f t="shared" si="35"/>
        <v>0.41546999999999989</v>
      </c>
      <c r="O164" s="2">
        <f t="shared" ref="O164:O166" si="36">AVERAGE(K164:N164)</f>
        <v>0.30290499999999998</v>
      </c>
      <c r="R164" t="s">
        <v>4</v>
      </c>
      <c r="S164" s="2">
        <f>AVERAGE(AO134,AO144,AO154,AO164,S173,AO173,S182,AO182,S191,AO191)</f>
        <v>0.11084999999999998</v>
      </c>
      <c r="T164" s="2">
        <f>AVERAGE(AP134,AP144,AP154,AP164,T173,AP173,T182,AP182,T191,AP191)</f>
        <v>6.7900000000000002E-2</v>
      </c>
      <c r="U164" s="2">
        <f t="shared" ref="T164:V166" si="37">AVERAGE(AQ134,AQ144,AQ154,AQ164,U173,AQ173,U182,AQ182,U191,AQ191)</f>
        <v>9.7549999999999998E-2</v>
      </c>
      <c r="V164" s="2">
        <f t="shared" si="37"/>
        <v>0.25774000000000002</v>
      </c>
      <c r="W164" s="2">
        <f t="shared" ref="W164:W166" si="38">AVERAGE(S164:V164)</f>
        <v>0.13351000000000002</v>
      </c>
      <c r="Z164" t="s">
        <v>4</v>
      </c>
      <c r="AA164" s="2">
        <v>0.54549999999999998</v>
      </c>
      <c r="AB164" s="2">
        <v>0.52010000000000001</v>
      </c>
      <c r="AC164" s="2">
        <v>0.54520000000000002</v>
      </c>
      <c r="AD164" s="2">
        <v>0.58930000000000005</v>
      </c>
      <c r="AG164" t="s">
        <v>4</v>
      </c>
      <c r="AH164" s="2">
        <v>0.26989999999999997</v>
      </c>
      <c r="AI164" s="2">
        <v>0.2046</v>
      </c>
      <c r="AJ164" s="2">
        <v>0.26079999999999998</v>
      </c>
      <c r="AK164" s="2">
        <v>0.40870000000000001</v>
      </c>
      <c r="AL164" s="2"/>
      <c r="AN164" t="s">
        <v>4</v>
      </c>
      <c r="AO164" s="2">
        <v>8.5300000000000001E-2</v>
      </c>
      <c r="AP164" s="2">
        <v>4.2000000000000003E-2</v>
      </c>
      <c r="AQ164" s="2">
        <v>8.3699999999999997E-2</v>
      </c>
      <c r="AR164" s="2">
        <v>0.2462</v>
      </c>
    </row>
    <row r="165" spans="1:59">
      <c r="B165" t="s">
        <v>6</v>
      </c>
      <c r="C165" s="2">
        <f>AVERAGE(AA135,AA145,AA155,AA165,C174,AA174,C183,AA183,C192,AA192)</f>
        <v>0.63420999999999994</v>
      </c>
      <c r="D165" s="2">
        <f t="shared" si="34"/>
        <v>0.62136999999999998</v>
      </c>
      <c r="E165" s="2">
        <f>AVERAGE(AC135,AC145,AC155,AC165,E174,AC174,E183,AC183,E192,AC192)</f>
        <v>0.57144000000000006</v>
      </c>
      <c r="F165" s="2">
        <f t="shared" si="34"/>
        <v>0.62422</v>
      </c>
      <c r="G165" s="2">
        <f t="shared" si="33"/>
        <v>0.61281000000000008</v>
      </c>
      <c r="H165" s="2"/>
      <c r="J165" t="s">
        <v>6</v>
      </c>
      <c r="K165" s="2">
        <f>AVERAGE(AH135,AH145,AH155,AH165,K174,AH174,K183,AH183,K192,AH192)</f>
        <v>0.45583999999999997</v>
      </c>
      <c r="L165" s="2">
        <f t="shared" si="35"/>
        <v>0.40214</v>
      </c>
      <c r="M165" s="2">
        <f>AVERAGE(AJ135,AJ145,AJ155,AJ165,M174,AJ174,M183,AJ183,M192,AJ192)</f>
        <v>0.25283</v>
      </c>
      <c r="N165" s="2">
        <f t="shared" si="35"/>
        <v>0.42474000000000001</v>
      </c>
      <c r="O165" s="2">
        <f t="shared" si="36"/>
        <v>0.38388749999999994</v>
      </c>
      <c r="R165" t="s">
        <v>6</v>
      </c>
      <c r="S165" s="2">
        <f>AVERAGE(AO135,AO145,AO155,AO165,S174,AO174,S183,AO183,S192,AO192)</f>
        <v>0.27090999999999998</v>
      </c>
      <c r="T165" s="2">
        <f t="shared" si="37"/>
        <v>0.20327000000000001</v>
      </c>
      <c r="U165" s="2">
        <f>AVERAGE(AQ135,AQ145,AQ155,AQ165,U174,AQ174,U183,AQ183,U192,AQ192)</f>
        <v>7.4240000000000014E-2</v>
      </c>
      <c r="V165" s="2">
        <f t="shared" si="37"/>
        <v>0.24142999999999998</v>
      </c>
      <c r="W165" s="2">
        <f t="shared" si="38"/>
        <v>0.19746249999999999</v>
      </c>
      <c r="Z165" t="s">
        <v>6</v>
      </c>
      <c r="AA165" s="2">
        <v>0.63329999999999997</v>
      </c>
      <c r="AB165" s="2">
        <v>0.62119999999999997</v>
      </c>
      <c r="AC165" s="2">
        <v>0.59250000000000003</v>
      </c>
      <c r="AD165" s="2">
        <v>0.63759999999999994</v>
      </c>
      <c r="AG165" t="s">
        <v>6</v>
      </c>
      <c r="AH165" s="2">
        <v>0.44840000000000002</v>
      </c>
      <c r="AI165" s="2">
        <v>0.38550000000000001</v>
      </c>
      <c r="AJ165" s="2">
        <v>0.31019999999999998</v>
      </c>
      <c r="AK165" s="2">
        <v>0.46039999999999998</v>
      </c>
      <c r="AL165" s="2"/>
      <c r="AN165" t="s">
        <v>6</v>
      </c>
      <c r="AO165" s="2">
        <v>0.25540000000000002</v>
      </c>
      <c r="AP165" s="2">
        <v>0.1807</v>
      </c>
      <c r="AQ165" s="2">
        <v>0.10150000000000001</v>
      </c>
      <c r="AR165" s="2">
        <v>0.27910000000000001</v>
      </c>
    </row>
    <row r="166" spans="1:59">
      <c r="B166" t="s">
        <v>47</v>
      </c>
      <c r="C166" s="2">
        <f>AVERAGE(AA136,AA146,AA156,AA166,C175,AA175,C184,AA184,C193,AA193)</f>
        <v>0.60288000000000008</v>
      </c>
      <c r="D166" s="2">
        <f t="shared" si="34"/>
        <v>0.59506999999999999</v>
      </c>
      <c r="E166" s="2">
        <f t="shared" si="34"/>
        <v>0.55171000000000003</v>
      </c>
      <c r="F166" s="2">
        <f>AVERAGE(AD136,AD146,AD156,AD166,F175,AD175,F184,AD184,F193,AD193)</f>
        <v>0.51019999999999999</v>
      </c>
      <c r="G166" s="2">
        <f t="shared" si="33"/>
        <v>0.56496499999999994</v>
      </c>
      <c r="H166" s="2"/>
      <c r="J166" t="s">
        <v>47</v>
      </c>
      <c r="K166" s="2">
        <f>AVERAGE(AH136,AH146,AH156,AH166,K175,AH175,K184,AH184,K193,AH193)</f>
        <v>0.45428999999999997</v>
      </c>
      <c r="L166" s="2">
        <f t="shared" si="35"/>
        <v>0.42141000000000001</v>
      </c>
      <c r="M166" s="2">
        <f t="shared" si="35"/>
        <v>0.28765999999999997</v>
      </c>
      <c r="N166" s="2">
        <f>AVERAGE(AK136,AK146,AK156,AK166,N175,AK175,N184,AK184,N193,AK193)</f>
        <v>0.19841999999999999</v>
      </c>
      <c r="O166" s="2">
        <f t="shared" si="36"/>
        <v>0.340445</v>
      </c>
      <c r="R166" t="s">
        <v>47</v>
      </c>
      <c r="S166" s="2">
        <f>AVERAGE(AO136,AO146,AO156,AO166,S175,AO175,S184,AO184,S193,AO193)</f>
        <v>0.29507999999999995</v>
      </c>
      <c r="T166" s="2">
        <f t="shared" si="37"/>
        <v>0.25041999999999998</v>
      </c>
      <c r="U166" s="2">
        <f t="shared" si="37"/>
        <v>0.11046</v>
      </c>
      <c r="V166" s="2">
        <f>AVERAGE(AR136,AR146,AR156,AR166,V175,AR175,V184,AR184,V193,AR193)</f>
        <v>5.049E-2</v>
      </c>
      <c r="W166" s="2">
        <f t="shared" si="38"/>
        <v>0.17661249999999998</v>
      </c>
      <c r="Z166" t="s">
        <v>47</v>
      </c>
      <c r="AA166" s="2">
        <v>0.60319999999999996</v>
      </c>
      <c r="AB166" s="2">
        <v>0.59119999999999995</v>
      </c>
      <c r="AC166" s="2">
        <v>0.5726</v>
      </c>
      <c r="AD166" s="2">
        <v>0.54190000000000005</v>
      </c>
      <c r="AG166" t="s">
        <v>47</v>
      </c>
      <c r="AH166" s="2">
        <v>0.46089999999999998</v>
      </c>
      <c r="AI166" s="2">
        <v>0.41289999999999999</v>
      </c>
      <c r="AJ166" s="2">
        <v>0.33860000000000001</v>
      </c>
      <c r="AK166" s="2">
        <v>0.2492</v>
      </c>
      <c r="AL166" s="2"/>
      <c r="AN166" t="s">
        <v>47</v>
      </c>
      <c r="AO166" s="2">
        <v>0.29659999999999997</v>
      </c>
      <c r="AP166" s="2">
        <v>0.2379</v>
      </c>
      <c r="AQ166" s="2">
        <v>0.1429</v>
      </c>
      <c r="AR166" s="2">
        <v>6.9400000000000003E-2</v>
      </c>
      <c r="AS166" s="2"/>
      <c r="AT166" s="2"/>
      <c r="AU166" s="2"/>
      <c r="AV166" s="2"/>
      <c r="AW166" s="2"/>
      <c r="BA166" s="2"/>
      <c r="BB166" s="2"/>
      <c r="BC166" s="2"/>
      <c r="BD166" s="2"/>
      <c r="BE166" s="2"/>
      <c r="BF166" s="2"/>
      <c r="BG166" s="2"/>
    </row>
    <row r="167" spans="1:59">
      <c r="C167" s="2"/>
      <c r="D167" s="2"/>
      <c r="E167" s="2"/>
      <c r="F167" s="2"/>
      <c r="G167" s="2"/>
      <c r="H167" s="2"/>
      <c r="I167" s="2"/>
      <c r="J167" s="2"/>
      <c r="M167" s="2"/>
      <c r="N167" s="2"/>
      <c r="O167" s="2"/>
      <c r="P167" s="2"/>
      <c r="Q167" s="2"/>
      <c r="R167" s="2"/>
      <c r="S167" s="2"/>
      <c r="T167" s="2"/>
      <c r="W167" s="2"/>
      <c r="X167" s="2"/>
      <c r="Y167" s="2"/>
      <c r="Z167" s="2"/>
      <c r="AA167" s="2"/>
      <c r="AB167" s="2"/>
      <c r="AC167" s="2"/>
      <c r="AD167" s="2"/>
      <c r="AG167" s="2"/>
      <c r="AH167" s="2"/>
      <c r="AI167" s="2"/>
      <c r="AJ167" s="2"/>
      <c r="AK167" s="2"/>
      <c r="AL167" s="2"/>
      <c r="AM167" s="2"/>
      <c r="AQ167" s="2"/>
      <c r="AR167" s="2"/>
      <c r="AS167" s="2"/>
      <c r="AT167" s="2"/>
      <c r="AU167" s="2"/>
      <c r="AV167" s="2"/>
      <c r="AW167" s="2"/>
      <c r="BA167" s="2"/>
      <c r="BB167" s="2"/>
      <c r="BC167" s="2"/>
      <c r="BD167" s="2"/>
      <c r="BE167" s="2"/>
      <c r="BF167" s="2"/>
      <c r="BG167" s="2"/>
    </row>
    <row r="168" spans="1:59">
      <c r="AS168" s="2"/>
      <c r="AT168" s="2"/>
      <c r="AU168" s="2"/>
      <c r="AV168" s="2"/>
      <c r="AW168" s="2"/>
      <c r="BA168" s="2"/>
      <c r="BB168" s="2"/>
      <c r="BC168" s="2"/>
      <c r="BD168" s="2"/>
      <c r="BE168" s="2"/>
      <c r="BF168" s="2"/>
      <c r="BG168" s="2"/>
    </row>
    <row r="169" spans="1:59">
      <c r="A169" t="s">
        <v>15</v>
      </c>
      <c r="B169" t="s">
        <v>31</v>
      </c>
      <c r="I169" t="s">
        <v>15</v>
      </c>
      <c r="J169" t="s">
        <v>31</v>
      </c>
      <c r="Q169" t="s">
        <v>15</v>
      </c>
      <c r="R169" t="s">
        <v>31</v>
      </c>
      <c r="Y169" t="s">
        <v>16</v>
      </c>
      <c r="Z169" t="s">
        <v>31</v>
      </c>
      <c r="AF169" t="s">
        <v>16</v>
      </c>
      <c r="AG169" t="s">
        <v>31</v>
      </c>
      <c r="AM169" t="s">
        <v>16</v>
      </c>
      <c r="AN169" t="s">
        <v>31</v>
      </c>
      <c r="BA169" s="2"/>
      <c r="BB169" s="2"/>
      <c r="BC169" s="2"/>
      <c r="BD169" s="2"/>
      <c r="BE169" s="2"/>
      <c r="BF169" s="2"/>
      <c r="BG169" s="2"/>
    </row>
    <row r="170" spans="1:59">
      <c r="A170" t="s">
        <v>29</v>
      </c>
      <c r="I170" t="s">
        <v>32</v>
      </c>
      <c r="Q170" t="s">
        <v>33</v>
      </c>
      <c r="Y170" t="s">
        <v>29</v>
      </c>
      <c r="AF170" t="s">
        <v>32</v>
      </c>
      <c r="AM170" t="s">
        <v>33</v>
      </c>
      <c r="AS170" s="2"/>
      <c r="AT170" s="2"/>
      <c r="BA170" s="2"/>
      <c r="BB170" s="2"/>
      <c r="BC170" s="2"/>
      <c r="BD170" s="2"/>
      <c r="BE170" s="2"/>
      <c r="BF170" s="2"/>
      <c r="BG170" s="2"/>
    </row>
    <row r="171" spans="1:59">
      <c r="A171" t="s">
        <v>30</v>
      </c>
      <c r="C171" t="s">
        <v>0</v>
      </c>
      <c r="D171" t="s">
        <v>4</v>
      </c>
      <c r="E171" t="s">
        <v>6</v>
      </c>
      <c r="F171" t="s">
        <v>47</v>
      </c>
      <c r="I171" t="s">
        <v>30</v>
      </c>
      <c r="K171" t="s">
        <v>0</v>
      </c>
      <c r="L171" t="s">
        <v>4</v>
      </c>
      <c r="M171" t="s">
        <v>6</v>
      </c>
      <c r="N171" t="s">
        <v>47</v>
      </c>
      <c r="Q171" t="s">
        <v>30</v>
      </c>
      <c r="S171" t="s">
        <v>0</v>
      </c>
      <c r="T171" t="s">
        <v>4</v>
      </c>
      <c r="U171" t="s">
        <v>6</v>
      </c>
      <c r="V171" t="s">
        <v>47</v>
      </c>
      <c r="Y171" t="s">
        <v>30</v>
      </c>
      <c r="AA171" t="s">
        <v>0</v>
      </c>
      <c r="AB171" t="s">
        <v>4</v>
      </c>
      <c r="AC171" t="s">
        <v>6</v>
      </c>
      <c r="AD171" t="s">
        <v>47</v>
      </c>
      <c r="AF171" t="s">
        <v>30</v>
      </c>
      <c r="AH171" t="s">
        <v>0</v>
      </c>
      <c r="AI171" t="s">
        <v>4</v>
      </c>
      <c r="AJ171" t="s">
        <v>6</v>
      </c>
      <c r="AK171" t="s">
        <v>47</v>
      </c>
      <c r="AM171" t="s">
        <v>30</v>
      </c>
      <c r="AO171" t="s">
        <v>0</v>
      </c>
      <c r="AP171" t="s">
        <v>4</v>
      </c>
      <c r="AQ171" t="s">
        <v>6</v>
      </c>
      <c r="AR171" t="s">
        <v>47</v>
      </c>
      <c r="AU171" s="2"/>
      <c r="AV171" s="2"/>
      <c r="AW171" s="2"/>
      <c r="BA171" s="2"/>
      <c r="BB171" s="2"/>
      <c r="BC171" s="2"/>
      <c r="BD171" s="2"/>
      <c r="BE171" s="2"/>
      <c r="BF171" s="2"/>
      <c r="BG171" s="2"/>
    </row>
    <row r="172" spans="1:59">
      <c r="B172" t="s">
        <v>0</v>
      </c>
      <c r="C172" s="2">
        <v>0.49780000000000002</v>
      </c>
      <c r="D172" s="2">
        <v>0.51029999999999998</v>
      </c>
      <c r="E172" s="2">
        <v>0.51590000000000003</v>
      </c>
      <c r="F172" s="2">
        <v>0.55389999999999995</v>
      </c>
      <c r="G172" s="2"/>
      <c r="H172" s="2"/>
      <c r="J172" t="s">
        <v>0</v>
      </c>
      <c r="K172" s="2">
        <v>0.21679999999999999</v>
      </c>
      <c r="L172" s="2">
        <v>0.25180000000000002</v>
      </c>
      <c r="M172" s="2">
        <v>0.2571</v>
      </c>
      <c r="N172" s="2">
        <v>0.38080000000000003</v>
      </c>
      <c r="O172" s="2"/>
      <c r="R172" t="s">
        <v>0</v>
      </c>
      <c r="S172" s="2">
        <v>5.8400000000000001E-2</v>
      </c>
      <c r="T172" s="2">
        <v>8.7599999999999997E-2</v>
      </c>
      <c r="U172" s="2">
        <v>9.98E-2</v>
      </c>
      <c r="V172" s="2">
        <v>0.23119999999999999</v>
      </c>
      <c r="W172" s="2"/>
      <c r="Z172" t="s">
        <v>0</v>
      </c>
      <c r="AA172" s="2">
        <v>0.49530000000000002</v>
      </c>
      <c r="AB172" s="2">
        <v>0.50829999999999997</v>
      </c>
      <c r="AC172" s="2">
        <v>0.52029999999999998</v>
      </c>
      <c r="AD172" s="2">
        <v>0.56079999999999997</v>
      </c>
      <c r="AG172" t="s">
        <v>0</v>
      </c>
      <c r="AH172" s="2">
        <v>0.23</v>
      </c>
      <c r="AI172" s="2">
        <v>0.25530000000000003</v>
      </c>
      <c r="AJ172" s="2">
        <v>0.2944</v>
      </c>
      <c r="AK172" s="2">
        <v>0.41239999999999999</v>
      </c>
      <c r="AL172" s="2"/>
      <c r="AN172" t="s">
        <v>0</v>
      </c>
      <c r="AO172" s="2">
        <v>7.9799999999999996E-2</v>
      </c>
      <c r="AP172" s="2">
        <v>0.10199999999999999</v>
      </c>
      <c r="AQ172" s="2">
        <v>0.13789999999999999</v>
      </c>
      <c r="AR172" s="2">
        <v>0.27210000000000001</v>
      </c>
      <c r="AS172" s="2"/>
      <c r="AT172" s="2"/>
      <c r="AU172" s="2"/>
      <c r="AV172" s="2"/>
      <c r="AW172" s="2"/>
      <c r="BA172" s="2"/>
      <c r="BB172" s="2"/>
      <c r="BC172" s="2"/>
      <c r="BD172" s="2"/>
      <c r="BE172" s="2"/>
      <c r="BF172" s="2"/>
      <c r="BG172" s="2"/>
    </row>
    <row r="173" spans="1:59">
      <c r="B173" t="s">
        <v>4</v>
      </c>
      <c r="C173" s="2">
        <v>0.53769999999999996</v>
      </c>
      <c r="D173" s="2">
        <v>0.51470000000000005</v>
      </c>
      <c r="E173" s="2">
        <v>0.52359999999999995</v>
      </c>
      <c r="F173" s="2">
        <v>0.5776</v>
      </c>
      <c r="G173" s="2"/>
      <c r="H173" s="2"/>
      <c r="J173" t="s">
        <v>4</v>
      </c>
      <c r="K173" s="2">
        <v>0.2457</v>
      </c>
      <c r="L173" s="2">
        <v>0.18709999999999999</v>
      </c>
      <c r="M173" s="2">
        <v>0.20449999999999999</v>
      </c>
      <c r="N173" s="2">
        <v>0.38140000000000002</v>
      </c>
      <c r="O173" s="2"/>
      <c r="R173" t="s">
        <v>4</v>
      </c>
      <c r="S173" s="2">
        <v>7.1999999999999995E-2</v>
      </c>
      <c r="T173" s="2">
        <v>4.0300000000000002E-2</v>
      </c>
      <c r="U173" s="2">
        <v>5.5300000000000002E-2</v>
      </c>
      <c r="V173" s="2">
        <v>0.21060000000000001</v>
      </c>
      <c r="W173" s="2"/>
      <c r="Z173" t="s">
        <v>4</v>
      </c>
      <c r="AA173" s="2">
        <v>0.53349999999999997</v>
      </c>
      <c r="AB173" s="2">
        <v>0.51919999999999999</v>
      </c>
      <c r="AC173" s="2">
        <v>0.53469999999999995</v>
      </c>
      <c r="AD173" s="2">
        <v>0.58379999999999999</v>
      </c>
      <c r="AG173" t="s">
        <v>4</v>
      </c>
      <c r="AH173" s="2">
        <v>0.27989999999999998</v>
      </c>
      <c r="AI173" s="2">
        <v>0.2298</v>
      </c>
      <c r="AJ173" s="2">
        <v>0.27650000000000002</v>
      </c>
      <c r="AK173" s="2">
        <v>0.41099999999999998</v>
      </c>
      <c r="AL173" s="2"/>
      <c r="AN173" t="s">
        <v>4</v>
      </c>
      <c r="AO173" s="2">
        <v>0.1132</v>
      </c>
      <c r="AP173" s="2">
        <v>6.7699999999999996E-2</v>
      </c>
      <c r="AQ173" s="2">
        <v>0.1108</v>
      </c>
      <c r="AR173" s="2">
        <v>0.26350000000000001</v>
      </c>
    </row>
    <row r="174" spans="1:59">
      <c r="B174" t="s">
        <v>6</v>
      </c>
      <c r="C174" s="2">
        <v>0.62609999999999999</v>
      </c>
      <c r="D174" s="2">
        <v>0.60919999999999996</v>
      </c>
      <c r="E174" s="2">
        <v>0.56200000000000006</v>
      </c>
      <c r="F174" s="2">
        <v>0.62050000000000005</v>
      </c>
      <c r="G174" s="2"/>
      <c r="H174" s="2"/>
      <c r="J174" t="s">
        <v>6</v>
      </c>
      <c r="K174" s="2">
        <v>0.42259999999999998</v>
      </c>
      <c r="L174" s="2">
        <v>0.36149999999999999</v>
      </c>
      <c r="M174" s="2">
        <v>0.21790000000000001</v>
      </c>
      <c r="N174" s="2">
        <v>0.4239</v>
      </c>
      <c r="O174" s="2"/>
      <c r="R174" t="s">
        <v>6</v>
      </c>
      <c r="S174" s="2">
        <v>0.22450000000000001</v>
      </c>
      <c r="T174" s="2">
        <v>0.15820000000000001</v>
      </c>
      <c r="U174" s="2">
        <v>5.2200000000000003E-2</v>
      </c>
      <c r="V174" s="2">
        <v>0.24299999999999999</v>
      </c>
      <c r="W174" s="2"/>
      <c r="Z174" t="s">
        <v>6</v>
      </c>
      <c r="AA174" s="2">
        <v>0.63300000000000001</v>
      </c>
      <c r="AB174" s="2">
        <v>0.62219999999999998</v>
      </c>
      <c r="AC174" s="2">
        <v>0.58069999999999999</v>
      </c>
      <c r="AD174" s="2">
        <v>0.63009999999999999</v>
      </c>
      <c r="AG174" t="s">
        <v>6</v>
      </c>
      <c r="AH174" s="2">
        <v>0.44330000000000003</v>
      </c>
      <c r="AI174" s="2">
        <v>0.38740000000000002</v>
      </c>
      <c r="AJ174" s="2">
        <v>0.2601</v>
      </c>
      <c r="AK174" s="2">
        <v>0.40550000000000003</v>
      </c>
      <c r="AL174" s="2"/>
      <c r="AN174" t="s">
        <v>6</v>
      </c>
      <c r="AO174" s="2">
        <v>0.25409999999999999</v>
      </c>
      <c r="AP174" s="2">
        <v>0.1948</v>
      </c>
      <c r="AQ174" s="2">
        <v>7.3999999999999996E-2</v>
      </c>
      <c r="AR174" s="2">
        <v>0.21110000000000001</v>
      </c>
    </row>
    <row r="175" spans="1:59">
      <c r="B175" t="s">
        <v>47</v>
      </c>
      <c r="C175" s="2">
        <v>0.58679999999999999</v>
      </c>
      <c r="D175" s="2">
        <v>0.57699999999999996</v>
      </c>
      <c r="E175" s="2">
        <v>0.54530000000000001</v>
      </c>
      <c r="F175" s="2">
        <v>0.49270000000000003</v>
      </c>
      <c r="G175" s="2"/>
      <c r="H175" s="2"/>
      <c r="J175" t="s">
        <v>47</v>
      </c>
      <c r="K175" s="2">
        <v>0.4093</v>
      </c>
      <c r="L175" s="2">
        <v>0.37619999999999998</v>
      </c>
      <c r="M175" s="2">
        <v>0.26790000000000003</v>
      </c>
      <c r="N175" s="2">
        <v>0.16830000000000001</v>
      </c>
      <c r="O175" s="2"/>
      <c r="R175" t="s">
        <v>47</v>
      </c>
      <c r="S175" s="2">
        <v>0.2326</v>
      </c>
      <c r="T175" s="2">
        <v>0.18820000000000001</v>
      </c>
      <c r="U175" s="2">
        <v>9.35E-2</v>
      </c>
      <c r="V175" s="2">
        <v>3.7100000000000001E-2</v>
      </c>
      <c r="W175" s="2"/>
      <c r="Z175" t="s">
        <v>47</v>
      </c>
      <c r="AA175" s="2">
        <v>0.60829999999999995</v>
      </c>
      <c r="AB175" s="2">
        <v>0.60289999999999999</v>
      </c>
      <c r="AC175" s="2">
        <v>0.56310000000000004</v>
      </c>
      <c r="AD175" s="2">
        <v>0.53</v>
      </c>
      <c r="AG175" t="s">
        <v>47</v>
      </c>
      <c r="AH175" s="2">
        <v>0.45469999999999999</v>
      </c>
      <c r="AI175" s="2">
        <v>0.43259999999999998</v>
      </c>
      <c r="AJ175" s="2">
        <v>0.29630000000000001</v>
      </c>
      <c r="AK175" s="2">
        <v>0.19650000000000001</v>
      </c>
      <c r="AL175" s="2"/>
      <c r="AN175" t="s">
        <v>47</v>
      </c>
      <c r="AO175" s="2">
        <v>0.30280000000000001</v>
      </c>
      <c r="AP175" s="2">
        <v>0.27279999999999999</v>
      </c>
      <c r="AQ175" s="2">
        <v>0.1148</v>
      </c>
      <c r="AR175" s="2">
        <v>4.2799999999999998E-2</v>
      </c>
    </row>
    <row r="177" spans="1:59">
      <c r="C177" s="2"/>
      <c r="D177" s="2"/>
      <c r="E177" s="2"/>
      <c r="F177" s="2"/>
      <c r="G177" s="2"/>
      <c r="H177" s="2"/>
      <c r="I177" s="2"/>
      <c r="J177" s="2"/>
      <c r="M177" s="2"/>
      <c r="N177" s="2"/>
      <c r="O177" s="2"/>
      <c r="P177" s="2"/>
      <c r="Q177" s="2"/>
      <c r="R177" s="2"/>
      <c r="S177" s="2"/>
      <c r="T177" s="2"/>
      <c r="W177" s="2"/>
      <c r="X177" s="2"/>
      <c r="Y177" s="2"/>
      <c r="Z177" s="2"/>
      <c r="AA177" s="2"/>
      <c r="AB177" s="2"/>
      <c r="AC177" s="2"/>
      <c r="AD177" s="2"/>
      <c r="AG177" s="2"/>
      <c r="AH177" s="2"/>
      <c r="AI177" s="2"/>
      <c r="AJ177" s="2"/>
      <c r="AK177" s="2"/>
      <c r="AL177" s="2"/>
      <c r="AM177" s="2"/>
      <c r="AQ177" s="2"/>
      <c r="AR177" s="2"/>
      <c r="AS177" s="2"/>
      <c r="AT177" s="2"/>
      <c r="AU177" s="2"/>
      <c r="AV177" s="2"/>
      <c r="AW177" s="2"/>
      <c r="BA177" s="2"/>
      <c r="BB177" s="2"/>
      <c r="BC177" s="2"/>
      <c r="BD177" s="2"/>
      <c r="BE177" s="2"/>
      <c r="BF177" s="2"/>
      <c r="BG177" s="2"/>
    </row>
    <row r="178" spans="1:59">
      <c r="A178" t="s">
        <v>17</v>
      </c>
      <c r="B178" t="s">
        <v>31</v>
      </c>
      <c r="I178" t="s">
        <v>17</v>
      </c>
      <c r="J178" t="s">
        <v>31</v>
      </c>
      <c r="Q178" t="s">
        <v>17</v>
      </c>
      <c r="R178" t="s">
        <v>31</v>
      </c>
      <c r="Y178" t="s">
        <v>18</v>
      </c>
      <c r="Z178" t="s">
        <v>31</v>
      </c>
      <c r="AF178" t="s">
        <v>18</v>
      </c>
      <c r="AG178" t="s">
        <v>31</v>
      </c>
      <c r="AM178" t="s">
        <v>18</v>
      </c>
      <c r="AN178" t="s">
        <v>31</v>
      </c>
      <c r="AS178" s="2"/>
      <c r="AT178" s="2"/>
      <c r="AU178" s="2"/>
      <c r="AV178" s="2"/>
      <c r="AW178" s="2"/>
      <c r="BA178" s="2"/>
      <c r="BB178" s="2"/>
      <c r="BC178" s="2"/>
      <c r="BD178" s="2"/>
      <c r="BE178" s="2"/>
      <c r="BF178" s="2"/>
      <c r="BG178" s="2"/>
    </row>
    <row r="179" spans="1:59">
      <c r="A179" t="s">
        <v>29</v>
      </c>
      <c r="I179" t="s">
        <v>32</v>
      </c>
      <c r="Q179" t="s">
        <v>33</v>
      </c>
      <c r="Y179" t="s">
        <v>29</v>
      </c>
      <c r="AF179" t="s">
        <v>32</v>
      </c>
      <c r="AM179" t="s">
        <v>33</v>
      </c>
      <c r="AS179" s="2"/>
      <c r="AT179" s="2"/>
      <c r="AU179" s="2"/>
      <c r="AV179" s="2"/>
      <c r="AW179" s="2"/>
      <c r="BA179" s="2"/>
      <c r="BB179" s="2"/>
      <c r="BC179" s="2"/>
      <c r="BD179" s="2"/>
      <c r="BE179" s="2"/>
      <c r="BF179" s="2"/>
      <c r="BG179" s="2"/>
    </row>
    <row r="180" spans="1:59">
      <c r="A180" t="s">
        <v>30</v>
      </c>
      <c r="C180" t="s">
        <v>0</v>
      </c>
      <c r="D180" t="s">
        <v>4</v>
      </c>
      <c r="E180" t="s">
        <v>6</v>
      </c>
      <c r="F180" t="s">
        <v>47</v>
      </c>
      <c r="I180" t="s">
        <v>30</v>
      </c>
      <c r="K180" t="s">
        <v>0</v>
      </c>
      <c r="L180" t="s">
        <v>4</v>
      </c>
      <c r="M180" t="s">
        <v>6</v>
      </c>
      <c r="N180" t="s">
        <v>47</v>
      </c>
      <c r="Q180" t="s">
        <v>30</v>
      </c>
      <c r="S180" t="s">
        <v>0</v>
      </c>
      <c r="T180" t="s">
        <v>4</v>
      </c>
      <c r="U180" t="s">
        <v>6</v>
      </c>
      <c r="V180" t="s">
        <v>47</v>
      </c>
      <c r="Y180" t="s">
        <v>30</v>
      </c>
      <c r="AA180" t="s">
        <v>0</v>
      </c>
      <c r="AB180" t="s">
        <v>4</v>
      </c>
      <c r="AC180" t="s">
        <v>6</v>
      </c>
      <c r="AD180" t="s">
        <v>47</v>
      </c>
      <c r="AF180" t="s">
        <v>30</v>
      </c>
      <c r="AH180" t="s">
        <v>0</v>
      </c>
      <c r="AI180" t="s">
        <v>4</v>
      </c>
      <c r="AJ180" t="s">
        <v>6</v>
      </c>
      <c r="AK180" t="s">
        <v>47</v>
      </c>
      <c r="AM180" t="s">
        <v>30</v>
      </c>
      <c r="AO180" t="s">
        <v>0</v>
      </c>
      <c r="AP180" t="s">
        <v>4</v>
      </c>
      <c r="AQ180" t="s">
        <v>6</v>
      </c>
      <c r="AR180" t="s">
        <v>47</v>
      </c>
      <c r="AS180" s="2"/>
      <c r="AT180" s="2"/>
      <c r="AU180" s="2"/>
      <c r="AV180" s="2"/>
      <c r="AW180" s="2"/>
      <c r="BA180" s="2"/>
      <c r="BB180" s="2"/>
      <c r="BC180" s="2"/>
      <c r="BD180" s="2"/>
      <c r="BE180" s="2"/>
      <c r="BF180" s="2"/>
      <c r="BG180" s="2"/>
    </row>
    <row r="181" spans="1:59">
      <c r="B181" t="s">
        <v>0</v>
      </c>
      <c r="C181" s="2">
        <v>0.50960000000000005</v>
      </c>
      <c r="D181" s="2">
        <v>0.52149999999999996</v>
      </c>
      <c r="E181" s="2">
        <v>0.53749999999999998</v>
      </c>
      <c r="F181" s="2">
        <v>0.5736</v>
      </c>
      <c r="G181" s="2"/>
      <c r="H181" s="2"/>
      <c r="J181" t="s">
        <v>0</v>
      </c>
      <c r="K181" s="2">
        <v>0.26279999999999998</v>
      </c>
      <c r="L181" s="2">
        <v>0.28399999999999997</v>
      </c>
      <c r="M181" s="2">
        <v>0.31559999999999999</v>
      </c>
      <c r="N181" s="2">
        <v>0.43790000000000001</v>
      </c>
      <c r="O181" s="2"/>
      <c r="R181" t="s">
        <v>0</v>
      </c>
      <c r="S181" s="2">
        <v>9.2200000000000004E-2</v>
      </c>
      <c r="T181" s="2">
        <v>0.1085</v>
      </c>
      <c r="U181" s="2">
        <v>0.1323</v>
      </c>
      <c r="V181" s="2">
        <v>0.28889999999999999</v>
      </c>
      <c r="W181" s="2"/>
      <c r="Z181" t="s">
        <v>0</v>
      </c>
      <c r="AA181" s="2">
        <v>0.54139999999999999</v>
      </c>
      <c r="AB181" s="2">
        <v>0.5444</v>
      </c>
      <c r="AC181" s="2">
        <v>0.54979999999999996</v>
      </c>
      <c r="AD181" s="2">
        <v>0.57999999999999996</v>
      </c>
      <c r="AG181" t="s">
        <v>0</v>
      </c>
      <c r="AH181" s="2">
        <v>0.32229999999999998</v>
      </c>
      <c r="AI181" s="2">
        <v>0.33329999999999999</v>
      </c>
      <c r="AJ181" s="2">
        <v>0.33200000000000002</v>
      </c>
      <c r="AK181" s="2">
        <v>0.44309999999999999</v>
      </c>
      <c r="AL181" s="2"/>
      <c r="AN181" t="s">
        <v>0</v>
      </c>
      <c r="AO181" s="2">
        <v>0.1396</v>
      </c>
      <c r="AP181" s="2">
        <v>0.15509999999999999</v>
      </c>
      <c r="AQ181" s="2">
        <v>0.154</v>
      </c>
      <c r="AR181" s="2">
        <v>0.30020000000000002</v>
      </c>
      <c r="AS181" s="2"/>
      <c r="AT181" s="2"/>
      <c r="AU181" s="2"/>
      <c r="AV181" s="2"/>
      <c r="AW181" s="2"/>
      <c r="BA181" s="2"/>
      <c r="BB181" s="2"/>
      <c r="BC181" s="2"/>
      <c r="BD181" s="2"/>
      <c r="BE181" s="2"/>
      <c r="BF181" s="2"/>
      <c r="BG181" s="2"/>
    </row>
    <row r="182" spans="1:59">
      <c r="B182" t="s">
        <v>4</v>
      </c>
      <c r="C182" s="2">
        <v>0.55649999999999999</v>
      </c>
      <c r="D182" s="2">
        <v>0.54079999999999995</v>
      </c>
      <c r="E182" s="2">
        <v>0.55959999999999999</v>
      </c>
      <c r="F182" s="2">
        <v>0.59699999999999998</v>
      </c>
      <c r="G182" s="2"/>
      <c r="H182" s="2"/>
      <c r="J182" t="s">
        <v>4</v>
      </c>
      <c r="K182" s="2">
        <v>0.3135</v>
      </c>
      <c r="L182" s="2">
        <v>0.2676</v>
      </c>
      <c r="M182" s="2">
        <v>0.30790000000000001</v>
      </c>
      <c r="N182" s="2">
        <v>0.44230000000000003</v>
      </c>
      <c r="O182" s="2"/>
      <c r="R182" t="s">
        <v>4</v>
      </c>
      <c r="S182" s="2">
        <v>0.12970000000000001</v>
      </c>
      <c r="T182" s="2">
        <v>8.09E-2</v>
      </c>
      <c r="U182" s="2">
        <v>0.11840000000000001</v>
      </c>
      <c r="V182" s="2">
        <v>0.28599999999999998</v>
      </c>
      <c r="W182" s="2"/>
      <c r="Z182" t="s">
        <v>4</v>
      </c>
      <c r="AA182" s="2">
        <v>0.57609999999999995</v>
      </c>
      <c r="AB182" s="2">
        <v>0.55820000000000003</v>
      </c>
      <c r="AC182" s="2">
        <v>0.5625</v>
      </c>
      <c r="AD182" s="2">
        <v>0.60399999999999998</v>
      </c>
      <c r="AG182" t="s">
        <v>4</v>
      </c>
      <c r="AH182" s="2">
        <v>0.35449999999999998</v>
      </c>
      <c r="AI182" s="2">
        <v>0.3019</v>
      </c>
      <c r="AJ182" s="2">
        <v>0.30890000000000001</v>
      </c>
      <c r="AK182" s="2">
        <v>0.44280000000000003</v>
      </c>
      <c r="AL182" s="2"/>
      <c r="AN182" t="s">
        <v>4</v>
      </c>
      <c r="AO182" s="2">
        <v>0.16550000000000001</v>
      </c>
      <c r="AP182" s="2">
        <v>0.109</v>
      </c>
      <c r="AQ182" s="2">
        <v>0.1177</v>
      </c>
      <c r="AR182" s="2">
        <v>0.27950000000000003</v>
      </c>
      <c r="AS182" s="2"/>
      <c r="AT182" s="2"/>
      <c r="AU182" s="2"/>
      <c r="AV182" s="2"/>
      <c r="AW182" s="2"/>
      <c r="BA182" s="2"/>
      <c r="BB182" s="2"/>
      <c r="BC182" s="2"/>
      <c r="BD182" s="2"/>
      <c r="BE182" s="2"/>
      <c r="BF182" s="2"/>
      <c r="BG182" s="2"/>
    </row>
    <row r="183" spans="1:59">
      <c r="B183" t="s">
        <v>6</v>
      </c>
      <c r="C183" s="2">
        <v>0.6512</v>
      </c>
      <c r="D183" s="2">
        <v>0.6421</v>
      </c>
      <c r="E183" s="2">
        <v>0.54510000000000003</v>
      </c>
      <c r="F183" s="2">
        <v>0.61499999999999999</v>
      </c>
      <c r="G183" s="2"/>
      <c r="H183" s="2"/>
      <c r="J183" t="s">
        <v>6</v>
      </c>
      <c r="K183" s="2">
        <v>0.49409999999999998</v>
      </c>
      <c r="L183" s="2">
        <v>0.45269999999999999</v>
      </c>
      <c r="M183" s="2">
        <v>0.17180000000000001</v>
      </c>
      <c r="N183" s="2">
        <v>0.3624</v>
      </c>
      <c r="O183" s="2"/>
      <c r="R183" t="s">
        <v>6</v>
      </c>
      <c r="S183" s="2">
        <v>0.31659999999999999</v>
      </c>
      <c r="T183" s="2">
        <v>0.25159999999999999</v>
      </c>
      <c r="U183" s="2">
        <v>2.47E-2</v>
      </c>
      <c r="V183" s="2">
        <v>0.161</v>
      </c>
      <c r="W183" s="2"/>
      <c r="Z183" t="s">
        <v>6</v>
      </c>
      <c r="AA183" s="2">
        <v>0.65369999999999995</v>
      </c>
      <c r="AB183" s="2">
        <v>0.63780000000000003</v>
      </c>
      <c r="AC183" s="2">
        <v>0.58620000000000005</v>
      </c>
      <c r="AD183" s="2">
        <v>0.63580000000000003</v>
      </c>
      <c r="AG183" t="s">
        <v>6</v>
      </c>
      <c r="AH183" s="2">
        <v>0.4995</v>
      </c>
      <c r="AI183" s="2">
        <v>0.45190000000000002</v>
      </c>
      <c r="AJ183" s="2">
        <v>0.28299999999999997</v>
      </c>
      <c r="AK183" s="2">
        <v>0.44990000000000002</v>
      </c>
      <c r="AL183" s="2"/>
      <c r="AN183" t="s">
        <v>6</v>
      </c>
      <c r="AO183" s="2">
        <v>0.33389999999999997</v>
      </c>
      <c r="AP183" s="2">
        <v>0.26369999999999999</v>
      </c>
      <c r="AQ183" s="2">
        <v>9.4500000000000001E-2</v>
      </c>
      <c r="AR183" s="2">
        <v>0.27079999999999999</v>
      </c>
      <c r="AS183" s="2"/>
      <c r="AT183" s="2"/>
      <c r="AU183" s="2"/>
      <c r="AV183" s="2"/>
      <c r="AW183" s="2"/>
      <c r="BA183" s="2"/>
      <c r="BB183" s="2"/>
      <c r="BC183" s="2"/>
      <c r="BD183" s="2"/>
      <c r="BE183" s="2"/>
      <c r="BF183" s="2"/>
      <c r="BG183" s="2"/>
    </row>
    <row r="184" spans="1:59">
      <c r="B184" t="s">
        <v>47</v>
      </c>
      <c r="C184" s="2">
        <v>0.61939999999999995</v>
      </c>
      <c r="D184" s="2">
        <v>0.61009999999999998</v>
      </c>
      <c r="E184" s="2">
        <v>0.53510000000000002</v>
      </c>
      <c r="F184" s="2">
        <v>0.47470000000000001</v>
      </c>
      <c r="G184" s="2"/>
      <c r="H184" s="2"/>
      <c r="J184" t="s">
        <v>47</v>
      </c>
      <c r="K184" s="2">
        <v>0.49719999999999998</v>
      </c>
      <c r="L184" s="2">
        <v>0.4662</v>
      </c>
      <c r="M184" s="2">
        <v>0.23549999999999999</v>
      </c>
      <c r="N184" s="2">
        <v>0.1255</v>
      </c>
      <c r="O184" s="2"/>
      <c r="R184" t="s">
        <v>47</v>
      </c>
      <c r="S184" s="2">
        <v>0.35260000000000002</v>
      </c>
      <c r="T184" s="2">
        <v>0.30480000000000002</v>
      </c>
      <c r="U184" s="2">
        <v>6.59E-2</v>
      </c>
      <c r="V184" s="2">
        <v>1.5299999999999999E-2</v>
      </c>
      <c r="W184" s="2"/>
      <c r="Z184" t="s">
        <v>47</v>
      </c>
      <c r="AA184" s="2">
        <v>0.61529999999999996</v>
      </c>
      <c r="AB184" s="2">
        <v>0.60899999999999999</v>
      </c>
      <c r="AC184" s="2">
        <v>0.56459999999999999</v>
      </c>
      <c r="AD184" s="2">
        <v>0.53100000000000003</v>
      </c>
      <c r="AG184" t="s">
        <v>47</v>
      </c>
      <c r="AH184" s="2">
        <v>0.47939999999999999</v>
      </c>
      <c r="AI184" s="2">
        <v>0.45100000000000001</v>
      </c>
      <c r="AJ184" s="2">
        <v>0.31240000000000001</v>
      </c>
      <c r="AK184" s="2">
        <v>0.2445</v>
      </c>
      <c r="AL184" s="2"/>
      <c r="AN184" t="s">
        <v>47</v>
      </c>
      <c r="AO184" s="2">
        <v>0.32629999999999998</v>
      </c>
      <c r="AP184" s="2">
        <v>0.2777</v>
      </c>
      <c r="AQ184" s="2">
        <v>0.11990000000000001</v>
      </c>
      <c r="AR184" s="2">
        <v>7.4899999999999994E-2</v>
      </c>
    </row>
    <row r="185" spans="1:59">
      <c r="C185" s="2"/>
      <c r="D185" s="2"/>
      <c r="E185" s="2"/>
      <c r="F185" s="2"/>
      <c r="G185" s="2"/>
      <c r="H185" s="2"/>
      <c r="K185" s="2"/>
      <c r="L185" s="2"/>
      <c r="M185" s="2"/>
      <c r="N185" s="2"/>
      <c r="O185" s="2"/>
      <c r="S185" s="2"/>
      <c r="T185" s="2"/>
      <c r="U185" s="2"/>
      <c r="V185" s="2"/>
      <c r="W185" s="2"/>
      <c r="AA185" s="2"/>
      <c r="AB185" s="2"/>
      <c r="AC185" s="2"/>
      <c r="AD185" s="2"/>
      <c r="AH185" s="2"/>
      <c r="AI185" s="2"/>
      <c r="AJ185" s="2"/>
      <c r="AK185" s="2"/>
      <c r="AL185" s="2"/>
      <c r="AO185" s="2"/>
      <c r="AP185" s="2"/>
      <c r="AQ185" s="2"/>
      <c r="AR185" s="2"/>
    </row>
    <row r="186" spans="1:59">
      <c r="C186" s="2"/>
      <c r="D186" s="2"/>
      <c r="E186" s="2"/>
      <c r="F186" s="2"/>
      <c r="G186" s="2"/>
      <c r="H186" s="2"/>
      <c r="K186" s="2"/>
      <c r="L186" s="2"/>
      <c r="M186" s="2"/>
      <c r="N186" s="2"/>
      <c r="O186" s="2"/>
      <c r="S186" s="2"/>
      <c r="T186" s="2"/>
      <c r="U186" s="2"/>
      <c r="V186" s="2"/>
      <c r="W186" s="2"/>
      <c r="AA186" s="2"/>
      <c r="AB186" s="2"/>
      <c r="AC186" s="2"/>
      <c r="AD186" s="2"/>
      <c r="AH186" s="2"/>
      <c r="AI186" s="2"/>
      <c r="AJ186" s="2"/>
      <c r="AK186" s="2"/>
      <c r="AL186" s="2"/>
      <c r="AO186" s="2"/>
      <c r="AP186" s="2"/>
      <c r="AQ186" s="2"/>
      <c r="AR186" s="2"/>
    </row>
    <row r="187" spans="1:59">
      <c r="A187" t="s">
        <v>19</v>
      </c>
      <c r="B187" t="s">
        <v>31</v>
      </c>
      <c r="I187" t="s">
        <v>19</v>
      </c>
      <c r="J187" t="s">
        <v>31</v>
      </c>
      <c r="Q187" t="s">
        <v>19</v>
      </c>
      <c r="R187" t="s">
        <v>31</v>
      </c>
      <c r="Y187" t="s">
        <v>20</v>
      </c>
      <c r="Z187" t="s">
        <v>31</v>
      </c>
      <c r="AF187" t="s">
        <v>20</v>
      </c>
      <c r="AG187" t="s">
        <v>31</v>
      </c>
      <c r="AM187" t="s">
        <v>20</v>
      </c>
      <c r="AN187" t="s">
        <v>31</v>
      </c>
    </row>
    <row r="188" spans="1:59">
      <c r="A188" t="s">
        <v>29</v>
      </c>
      <c r="I188" t="s">
        <v>32</v>
      </c>
      <c r="Q188" t="s">
        <v>33</v>
      </c>
      <c r="Y188" t="s">
        <v>29</v>
      </c>
      <c r="AF188" t="s">
        <v>32</v>
      </c>
      <c r="AM188" t="s">
        <v>33</v>
      </c>
    </row>
    <row r="189" spans="1:59">
      <c r="A189" t="s">
        <v>30</v>
      </c>
      <c r="C189" t="s">
        <v>0</v>
      </c>
      <c r="D189" t="s">
        <v>4</v>
      </c>
      <c r="E189" t="s">
        <v>6</v>
      </c>
      <c r="F189" t="s">
        <v>47</v>
      </c>
      <c r="I189" t="s">
        <v>30</v>
      </c>
      <c r="K189" t="s">
        <v>0</v>
      </c>
      <c r="L189" t="s">
        <v>4</v>
      </c>
      <c r="M189" t="s">
        <v>6</v>
      </c>
      <c r="N189" t="s">
        <v>47</v>
      </c>
      <c r="Q189" t="s">
        <v>30</v>
      </c>
      <c r="S189" t="s">
        <v>0</v>
      </c>
      <c r="T189" t="s">
        <v>4</v>
      </c>
      <c r="U189" t="s">
        <v>6</v>
      </c>
      <c r="V189" t="s">
        <v>47</v>
      </c>
      <c r="Y189" t="s">
        <v>30</v>
      </c>
      <c r="AA189" t="s">
        <v>0</v>
      </c>
      <c r="AB189" t="s">
        <v>4</v>
      </c>
      <c r="AC189" t="s">
        <v>6</v>
      </c>
      <c r="AD189" t="s">
        <v>47</v>
      </c>
      <c r="AF189" t="s">
        <v>30</v>
      </c>
      <c r="AH189" t="s">
        <v>0</v>
      </c>
      <c r="AI189" t="s">
        <v>4</v>
      </c>
      <c r="AJ189" t="s">
        <v>6</v>
      </c>
      <c r="AK189" t="s">
        <v>47</v>
      </c>
      <c r="AM189" t="s">
        <v>30</v>
      </c>
      <c r="AO189" t="s">
        <v>0</v>
      </c>
      <c r="AP189" t="s">
        <v>4</v>
      </c>
      <c r="AQ189" t="s">
        <v>6</v>
      </c>
      <c r="AR189" t="s">
        <v>47</v>
      </c>
    </row>
    <row r="190" spans="1:59">
      <c r="B190" t="s">
        <v>0</v>
      </c>
      <c r="C190" s="2">
        <v>0.50119999999999998</v>
      </c>
      <c r="D190" s="2">
        <v>0.52070000000000005</v>
      </c>
      <c r="E190" s="2">
        <v>0.53649999999999998</v>
      </c>
      <c r="F190" s="2">
        <v>0.57740000000000002</v>
      </c>
      <c r="G190" s="2"/>
      <c r="H190" s="2"/>
      <c r="J190" t="s">
        <v>0</v>
      </c>
      <c r="K190" s="2">
        <v>0.23400000000000001</v>
      </c>
      <c r="L190" s="2">
        <v>0.2712</v>
      </c>
      <c r="M190" s="2">
        <v>0.30680000000000002</v>
      </c>
      <c r="N190" s="2">
        <v>0.43909999999999999</v>
      </c>
      <c r="O190" s="2"/>
      <c r="R190" t="s">
        <v>0</v>
      </c>
      <c r="S190" s="2">
        <v>7.5800000000000006E-2</v>
      </c>
      <c r="T190" s="2">
        <v>0.1026</v>
      </c>
      <c r="U190" s="2">
        <v>0.13220000000000001</v>
      </c>
      <c r="V190" s="2">
        <v>0.30209999999999998</v>
      </c>
      <c r="W190" s="2"/>
      <c r="Z190" t="s">
        <v>0</v>
      </c>
      <c r="AA190" s="2">
        <v>0.5373</v>
      </c>
      <c r="AB190" s="2">
        <v>0.54200000000000004</v>
      </c>
      <c r="AC190" s="2">
        <v>0.54549999999999998</v>
      </c>
      <c r="AD190" s="2">
        <v>0.57199999999999995</v>
      </c>
      <c r="AG190" t="s">
        <v>0</v>
      </c>
      <c r="AH190" s="2">
        <v>0.31759999999999999</v>
      </c>
      <c r="AI190" s="2">
        <v>0.33510000000000001</v>
      </c>
      <c r="AJ190" s="2">
        <v>0.34520000000000001</v>
      </c>
      <c r="AK190" s="2">
        <v>0.4355</v>
      </c>
      <c r="AL190" s="2"/>
      <c r="AN190" t="s">
        <v>0</v>
      </c>
      <c r="AO190" s="2">
        <v>0.1326</v>
      </c>
      <c r="AP190" s="2">
        <v>0.15570000000000001</v>
      </c>
      <c r="AQ190" s="2">
        <v>0.1764</v>
      </c>
      <c r="AR190" s="2">
        <v>0.29480000000000001</v>
      </c>
    </row>
    <row r="191" spans="1:59">
      <c r="B191" t="s">
        <v>4</v>
      </c>
      <c r="C191" s="2">
        <v>0.53949999999999998</v>
      </c>
      <c r="D191" s="2">
        <v>0.52149999999999996</v>
      </c>
      <c r="E191" s="2">
        <v>0.54379999999999995</v>
      </c>
      <c r="F191" s="2">
        <v>0.59440000000000004</v>
      </c>
      <c r="G191" s="2"/>
      <c r="H191" s="2"/>
      <c r="J191" t="s">
        <v>4</v>
      </c>
      <c r="K191" s="2">
        <v>0.27489999999999998</v>
      </c>
      <c r="L191" s="2">
        <v>0.22450000000000001</v>
      </c>
      <c r="M191" s="2">
        <v>0.27589999999999998</v>
      </c>
      <c r="N191" s="2">
        <v>0.43130000000000002</v>
      </c>
      <c r="O191" s="2"/>
      <c r="R191" t="s">
        <v>4</v>
      </c>
      <c r="S191" s="2">
        <v>0.1053</v>
      </c>
      <c r="T191" s="2">
        <v>6.1499999999999999E-2</v>
      </c>
      <c r="U191" s="2">
        <v>9.8100000000000007E-2</v>
      </c>
      <c r="V191" s="2">
        <v>0.27700000000000002</v>
      </c>
      <c r="W191" s="2"/>
      <c r="Z191" t="s">
        <v>4</v>
      </c>
      <c r="AA191" s="2">
        <v>0.5716</v>
      </c>
      <c r="AB191" s="2">
        <v>0.55559999999999998</v>
      </c>
      <c r="AC191" s="2">
        <v>0.55930000000000002</v>
      </c>
      <c r="AD191" s="2">
        <v>0.58979999999999999</v>
      </c>
      <c r="AG191" t="s">
        <v>4</v>
      </c>
      <c r="AH191" s="2">
        <v>0.36109999999999998</v>
      </c>
      <c r="AI191" s="2">
        <v>0.31469999999999998</v>
      </c>
      <c r="AJ191" s="2">
        <v>0.3296</v>
      </c>
      <c r="AK191" s="2">
        <v>0.43419999999999997</v>
      </c>
      <c r="AL191" s="2"/>
      <c r="AN191" t="s">
        <v>4</v>
      </c>
      <c r="AO191" s="2">
        <v>0.1663</v>
      </c>
      <c r="AP191" s="2">
        <v>0.1226</v>
      </c>
      <c r="AQ191" s="2">
        <v>0.1484</v>
      </c>
      <c r="AR191" s="2">
        <v>0.28220000000000001</v>
      </c>
    </row>
    <row r="192" spans="1:59">
      <c r="B192" t="s">
        <v>6</v>
      </c>
      <c r="C192" s="2">
        <v>0.62629999999999997</v>
      </c>
      <c r="D192" s="2">
        <v>0.61539999999999995</v>
      </c>
      <c r="E192" s="2">
        <v>0.55020000000000002</v>
      </c>
      <c r="F192" s="2">
        <v>0.61870000000000003</v>
      </c>
      <c r="G192" s="2"/>
      <c r="H192" s="2"/>
      <c r="J192" t="s">
        <v>6</v>
      </c>
      <c r="K192" s="2">
        <v>0.44890000000000002</v>
      </c>
      <c r="L192" s="2">
        <v>0.4012</v>
      </c>
      <c r="M192" s="2">
        <v>0.2024</v>
      </c>
      <c r="N192" s="2">
        <v>0.4123</v>
      </c>
      <c r="O192" s="2"/>
      <c r="R192" t="s">
        <v>6</v>
      </c>
      <c r="S192" s="2">
        <v>0.2656</v>
      </c>
      <c r="T192" s="2">
        <v>0.19650000000000001</v>
      </c>
      <c r="U192" s="2">
        <v>4.9099999999999998E-2</v>
      </c>
      <c r="V192" s="2">
        <v>0.23269999999999999</v>
      </c>
      <c r="W192" s="2"/>
      <c r="Z192" t="s">
        <v>6</v>
      </c>
      <c r="AA192" s="2">
        <v>0.64329999999999998</v>
      </c>
      <c r="AB192" s="2">
        <v>0.63200000000000001</v>
      </c>
      <c r="AC192" s="2">
        <v>0.57330000000000003</v>
      </c>
      <c r="AD192" s="2">
        <v>0.62080000000000002</v>
      </c>
      <c r="AG192" t="s">
        <v>6</v>
      </c>
      <c r="AH192" s="2">
        <v>0.49740000000000001</v>
      </c>
      <c r="AI192" s="2">
        <v>0.44669999999999999</v>
      </c>
      <c r="AJ192" s="2">
        <v>0.255</v>
      </c>
      <c r="AK192" s="2">
        <v>0.42849999999999999</v>
      </c>
      <c r="AL192" s="2"/>
      <c r="AN192" t="s">
        <v>6</v>
      </c>
      <c r="AO192" s="2">
        <v>0.312</v>
      </c>
      <c r="AP192" s="2">
        <v>0.25240000000000001</v>
      </c>
      <c r="AQ192" s="2">
        <v>8.1299999999999997E-2</v>
      </c>
      <c r="AR192" s="2">
        <v>0.25280000000000002</v>
      </c>
    </row>
    <row r="193" spans="1:59">
      <c r="B193" t="s">
        <v>47</v>
      </c>
      <c r="C193" s="2">
        <v>0.59840000000000004</v>
      </c>
      <c r="D193" s="2">
        <v>0.59440000000000004</v>
      </c>
      <c r="E193" s="2">
        <v>0.52890000000000004</v>
      </c>
      <c r="F193" s="2">
        <v>0.4864</v>
      </c>
      <c r="G193" s="2"/>
      <c r="H193" s="2"/>
      <c r="J193" t="s">
        <v>47</v>
      </c>
      <c r="K193" s="2">
        <v>0.45850000000000002</v>
      </c>
      <c r="L193" s="2">
        <v>0.41770000000000002</v>
      </c>
      <c r="M193" s="2">
        <v>0.24310000000000001</v>
      </c>
      <c r="N193" s="2">
        <v>0.15720000000000001</v>
      </c>
      <c r="O193" s="2"/>
      <c r="R193" t="s">
        <v>47</v>
      </c>
      <c r="S193" s="2">
        <v>0.30399999999999999</v>
      </c>
      <c r="T193" s="2">
        <v>0.24809999999999999</v>
      </c>
      <c r="U193" s="2">
        <v>8.5900000000000004E-2</v>
      </c>
      <c r="V193" s="2">
        <v>3.3399999999999999E-2</v>
      </c>
      <c r="W193" s="2"/>
      <c r="Z193" t="s">
        <v>47</v>
      </c>
      <c r="AA193" s="2">
        <v>0.6089</v>
      </c>
      <c r="AB193" s="2">
        <v>0.60170000000000001</v>
      </c>
      <c r="AC193" s="2">
        <v>0.55230000000000001</v>
      </c>
      <c r="AD193" s="2">
        <v>0.51090000000000002</v>
      </c>
      <c r="AG193" t="s">
        <v>47</v>
      </c>
      <c r="AH193" s="2">
        <v>0.46760000000000002</v>
      </c>
      <c r="AI193" s="2">
        <v>0.43969999999999998</v>
      </c>
      <c r="AJ193" s="2">
        <v>0.27700000000000002</v>
      </c>
      <c r="AK193" s="2">
        <v>0.19470000000000001</v>
      </c>
      <c r="AL193" s="2"/>
      <c r="AN193" t="s">
        <v>47</v>
      </c>
      <c r="AO193" s="2">
        <v>0.3054</v>
      </c>
      <c r="AP193" s="2">
        <v>0.26550000000000001</v>
      </c>
      <c r="AQ193" s="2">
        <v>0.1023</v>
      </c>
      <c r="AR193" s="2">
        <v>4.3900000000000002E-2</v>
      </c>
    </row>
    <row r="194" spans="1:59">
      <c r="C194" s="2"/>
      <c r="D194" s="2"/>
      <c r="E194" s="2"/>
      <c r="F194" s="2"/>
      <c r="G194" s="2"/>
      <c r="H194" s="2"/>
      <c r="K194" s="2"/>
      <c r="L194" s="2"/>
      <c r="M194" s="2"/>
      <c r="N194" s="2"/>
      <c r="O194" s="2"/>
      <c r="S194" s="2"/>
      <c r="T194" s="2"/>
      <c r="U194" s="2"/>
      <c r="V194" s="2"/>
      <c r="W194" s="2"/>
      <c r="AA194" s="2"/>
      <c r="AB194" s="2"/>
      <c r="AC194" s="2"/>
      <c r="AD194" s="2"/>
      <c r="AH194" s="2"/>
      <c r="AI194" s="2"/>
      <c r="AJ194" s="2"/>
      <c r="AK194" s="2"/>
      <c r="AL194" s="2"/>
      <c r="AO194" s="2"/>
      <c r="AP194" s="2"/>
      <c r="AQ194" s="2"/>
      <c r="AR194" s="2"/>
    </row>
    <row r="195" spans="1:59">
      <c r="C195" s="2"/>
      <c r="D195" s="2"/>
      <c r="E195" s="2"/>
      <c r="F195" s="2"/>
      <c r="G195" s="2"/>
      <c r="H195" s="2"/>
      <c r="K195" s="2"/>
      <c r="L195" s="2"/>
      <c r="M195" s="2"/>
      <c r="N195" s="2"/>
      <c r="O195" s="2"/>
      <c r="S195" s="2"/>
      <c r="T195" s="2"/>
      <c r="U195" s="2"/>
      <c r="V195" s="2"/>
      <c r="W195" s="2"/>
      <c r="AA195" s="2"/>
      <c r="AB195" s="2"/>
      <c r="AC195" s="2"/>
      <c r="AD195" s="2"/>
      <c r="AH195" s="2"/>
      <c r="AI195" s="2"/>
      <c r="AJ195" s="2"/>
      <c r="AK195" s="2"/>
      <c r="AL195" s="2"/>
      <c r="AO195" s="2"/>
      <c r="AP195" s="2"/>
      <c r="AQ195" s="2"/>
      <c r="AR195" s="2"/>
    </row>
    <row r="196" spans="1:59">
      <c r="A196" t="s">
        <v>53</v>
      </c>
    </row>
    <row r="197" spans="1:59">
      <c r="A197" t="s">
        <v>7</v>
      </c>
      <c r="B197" t="s">
        <v>28</v>
      </c>
      <c r="C197">
        <v>0</v>
      </c>
      <c r="D197">
        <v>0.01</v>
      </c>
      <c r="E197">
        <v>0.02</v>
      </c>
      <c r="F197">
        <v>0.03</v>
      </c>
      <c r="G197">
        <v>0.04</v>
      </c>
      <c r="H197">
        <v>0.05</v>
      </c>
      <c r="L197" t="s">
        <v>10</v>
      </c>
      <c r="M197" t="s">
        <v>28</v>
      </c>
      <c r="N197">
        <v>0</v>
      </c>
      <c r="O197">
        <v>0.01</v>
      </c>
      <c r="P197">
        <v>0.02</v>
      </c>
      <c r="Q197">
        <v>0.03</v>
      </c>
      <c r="R197">
        <v>0.04</v>
      </c>
      <c r="S197">
        <v>0.05</v>
      </c>
    </row>
    <row r="198" spans="1:59">
      <c r="A198">
        <v>1</v>
      </c>
      <c r="B198" t="s">
        <v>0</v>
      </c>
      <c r="C198">
        <f>6185/10000</f>
        <v>0.61850000000000005</v>
      </c>
      <c r="D198">
        <v>0.4083</v>
      </c>
      <c r="E198">
        <v>0.26669999999999999</v>
      </c>
      <c r="F198">
        <v>0.1769</v>
      </c>
      <c r="G198">
        <v>0.121</v>
      </c>
      <c r="H198">
        <v>8.2600000000000007E-2</v>
      </c>
      <c r="L198">
        <v>1</v>
      </c>
      <c r="M198" t="s">
        <v>0</v>
      </c>
      <c r="N198">
        <f>AVERAGE(H2:Q2)</f>
        <v>0.62750000000000006</v>
      </c>
      <c r="O198">
        <f>AVERAGE(K76,K87,K98,K109,K120,S76,S87,S98,S109,S120)</f>
        <v>0.41091</v>
      </c>
      <c r="P198">
        <f>AVERAGE(L76,L87,L98,L109,L120,T76,T87,T98,T109,T120)</f>
        <v>0.2661</v>
      </c>
      <c r="Q198">
        <f>AVERAGE(M76,M87,M98,M109,M120,U76,U87,U98,U109,U120)</f>
        <v>0.17461999999999997</v>
      </c>
      <c r="R198">
        <f>AVERAGE(N76,N87,N98,N109,N120,V76,V87,V98,V109,V120)</f>
        <v>0.11881</v>
      </c>
      <c r="S198">
        <f>AVERAGE(O76,O87,O98,O109,O120,W76,W87,W98,W109,W120)</f>
        <v>8.3739999999999995E-2</v>
      </c>
    </row>
    <row r="199" spans="1:59">
      <c r="A199">
        <v>2</v>
      </c>
      <c r="B199" t="s">
        <v>4</v>
      </c>
      <c r="C199">
        <f>6496/10000</f>
        <v>0.64959999999999996</v>
      </c>
      <c r="D199">
        <v>0.43580000000000002</v>
      </c>
      <c r="E199">
        <v>0.2913</v>
      </c>
      <c r="F199">
        <v>0.19040000000000001</v>
      </c>
      <c r="G199">
        <v>0.12559999999999999</v>
      </c>
      <c r="H199">
        <v>8.7499999999999994E-2</v>
      </c>
      <c r="L199">
        <v>2</v>
      </c>
      <c r="M199" t="s">
        <v>4</v>
      </c>
      <c r="N199">
        <f>AVERAGE(H6:Q6)</f>
        <v>0.65544999999999998</v>
      </c>
      <c r="O199">
        <f>AVERAGE(K78,K89,K100,K111,K122,S78,S89,S100,S111,S122)</f>
        <v>0.43636999999999998</v>
      </c>
      <c r="P199">
        <f>AVERAGE(L78,L89,L100,L111,L122,T78,T89,T100,T111,T122)</f>
        <v>0.28476000000000001</v>
      </c>
      <c r="Q199">
        <f>AVERAGE(M78,M89,M100,M111,M122,U78,U89,U100,U111,U122)</f>
        <v>0.18643000000000004</v>
      </c>
      <c r="R199">
        <f>AVERAGE(N78,N89,N100,N111,N122,V78,V89,V100,V111,V122)</f>
        <v>0.12539</v>
      </c>
      <c r="S199">
        <f>AVERAGE(O78,O89,O100,O111,O122,W78,W89,W100,W111,W122)</f>
        <v>8.6779999999999996E-2</v>
      </c>
      <c r="AG199" s="2"/>
      <c r="AH199" s="2"/>
      <c r="AI199" s="2"/>
      <c r="AJ199" s="2"/>
      <c r="AK199" s="2"/>
      <c r="AL199" s="2"/>
      <c r="AM199" s="2"/>
      <c r="AQ199" s="2"/>
      <c r="AR199" s="2"/>
      <c r="AS199" s="2"/>
      <c r="AT199" s="2"/>
      <c r="AU199" s="2"/>
      <c r="AV199" s="2"/>
      <c r="AW199" s="2"/>
      <c r="BA199" s="2"/>
      <c r="BB199" s="2"/>
      <c r="BC199" s="2"/>
      <c r="BD199" s="2"/>
      <c r="BE199" s="2"/>
      <c r="BF199" s="2"/>
      <c r="BG199" s="2"/>
    </row>
    <row r="200" spans="1:59">
      <c r="A200">
        <v>3</v>
      </c>
      <c r="B200" t="s">
        <v>6</v>
      </c>
      <c r="C200">
        <f>7011/10000</f>
        <v>0.70109999999999995</v>
      </c>
      <c r="D200">
        <v>0.52869999999999995</v>
      </c>
      <c r="E200">
        <v>0.38009999999999999</v>
      </c>
      <c r="F200">
        <v>0.27500000000000002</v>
      </c>
      <c r="G200">
        <v>0.19750000000000001</v>
      </c>
      <c r="H200">
        <v>0.14030000000000001</v>
      </c>
      <c r="L200">
        <v>3</v>
      </c>
      <c r="M200" t="s">
        <v>6</v>
      </c>
      <c r="N200">
        <f>AVERAGE(H8:Q8)</f>
        <v>0.70217999999999992</v>
      </c>
      <c r="O200">
        <f t="shared" ref="O200:S201" si="39">AVERAGE(K80,K91,K102,K113,K124,S80,S91,S102,S113,S124)</f>
        <v>0.52390999999999999</v>
      </c>
      <c r="P200">
        <f t="shared" si="39"/>
        <v>0.38067000000000001</v>
      </c>
      <c r="Q200">
        <f t="shared" si="39"/>
        <v>0.27110999999999996</v>
      </c>
      <c r="R200">
        <f t="shared" si="39"/>
        <v>0.19439999999999999</v>
      </c>
      <c r="S200">
        <f t="shared" si="39"/>
        <v>0.13982999999999998</v>
      </c>
      <c r="AG200" s="2"/>
      <c r="AH200" s="2"/>
      <c r="AI200" s="2"/>
      <c r="AJ200" s="2"/>
      <c r="AK200" s="2"/>
      <c r="AL200" s="2"/>
      <c r="AM200" s="2"/>
      <c r="AQ200" s="2"/>
      <c r="AR200" s="2"/>
      <c r="AS200" s="2"/>
      <c r="AT200" s="2"/>
      <c r="AU200" s="2"/>
      <c r="AV200" s="2"/>
      <c r="AW200" s="2"/>
      <c r="BA200" s="2"/>
      <c r="BB200" s="2"/>
      <c r="BC200" s="2"/>
      <c r="BD200" s="2"/>
      <c r="BE200" s="2"/>
      <c r="BF200" s="2"/>
      <c r="BG200" s="2"/>
    </row>
    <row r="201" spans="1:59">
      <c r="A201">
        <v>4</v>
      </c>
      <c r="B201" t="s">
        <v>47</v>
      </c>
      <c r="C201">
        <f>6682/10000</f>
        <v>0.66820000000000002</v>
      </c>
      <c r="D201">
        <v>0.41610000000000003</v>
      </c>
      <c r="E201">
        <v>0.2467</v>
      </c>
      <c r="F201">
        <v>0.14749999999999999</v>
      </c>
      <c r="G201">
        <v>9.2700000000000005E-2</v>
      </c>
      <c r="H201">
        <v>6.1499999999999999E-2</v>
      </c>
      <c r="L201">
        <v>4</v>
      </c>
      <c r="M201" t="s">
        <v>47</v>
      </c>
      <c r="N201">
        <f>AVERAGE(H9:Q9)</f>
        <v>0.66250999999999993</v>
      </c>
      <c r="O201">
        <f t="shared" si="39"/>
        <v>0.39998</v>
      </c>
      <c r="P201">
        <f t="shared" si="39"/>
        <v>0.23582999999999998</v>
      </c>
      <c r="Q201">
        <f t="shared" si="39"/>
        <v>0.14093</v>
      </c>
      <c r="R201">
        <f t="shared" si="39"/>
        <v>8.6569999999999994E-2</v>
      </c>
      <c r="S201">
        <f t="shared" si="39"/>
        <v>5.5310000000000005E-2</v>
      </c>
      <c r="AG201" s="2"/>
      <c r="AH201" s="2"/>
      <c r="AI201" s="2"/>
      <c r="AJ201" s="2"/>
      <c r="AK201" s="2"/>
      <c r="AL201" s="2"/>
      <c r="AM201" s="2"/>
      <c r="AQ201" s="2"/>
      <c r="AR201" s="2"/>
      <c r="AS201" s="2"/>
      <c r="AT201" s="2"/>
      <c r="AU201" s="2"/>
      <c r="AV201" s="2"/>
      <c r="AW201" s="2"/>
      <c r="BA201" s="2"/>
      <c r="BB201" s="2"/>
      <c r="BC201" s="2"/>
      <c r="BD201" s="2"/>
      <c r="BE201" s="2"/>
      <c r="BF201" s="2"/>
      <c r="BG201" s="2"/>
    </row>
    <row r="202" spans="1:59">
      <c r="B202" t="s">
        <v>37</v>
      </c>
      <c r="C202">
        <f>C199-C198</f>
        <v>3.1099999999999905E-2</v>
      </c>
      <c r="D202">
        <f t="shared" ref="D202:H202" si="40">D199-D198</f>
        <v>2.7500000000000024E-2</v>
      </c>
      <c r="E202">
        <f t="shared" si="40"/>
        <v>2.4600000000000011E-2</v>
      </c>
      <c r="F202">
        <f t="shared" si="40"/>
        <v>1.3500000000000012E-2</v>
      </c>
      <c r="G202">
        <f t="shared" si="40"/>
        <v>4.599999999999993E-3</v>
      </c>
      <c r="H202">
        <f t="shared" si="40"/>
        <v>4.8999999999999877E-3</v>
      </c>
      <c r="M202" t="s">
        <v>37</v>
      </c>
      <c r="N202">
        <f>N199-N198</f>
        <v>2.7949999999999919E-2</v>
      </c>
      <c r="O202">
        <f t="shared" ref="O202:S202" si="41">O199-O198</f>
        <v>2.5459999999999983E-2</v>
      </c>
      <c r="P202">
        <f t="shared" si="41"/>
        <v>1.866000000000001E-2</v>
      </c>
      <c r="Q202">
        <f t="shared" si="41"/>
        <v>1.181000000000007E-2</v>
      </c>
      <c r="R202">
        <f t="shared" si="41"/>
        <v>6.5800000000000025E-3</v>
      </c>
      <c r="S202">
        <f t="shared" si="41"/>
        <v>3.040000000000001E-3</v>
      </c>
      <c r="AG202" s="2"/>
      <c r="AH202" s="2"/>
      <c r="AI202" s="2"/>
      <c r="AJ202" s="2"/>
      <c r="AK202" s="2"/>
      <c r="AL202" s="2"/>
      <c r="AM202" s="2"/>
      <c r="AQ202" s="2"/>
      <c r="AR202" s="2"/>
      <c r="AS202" s="2"/>
      <c r="AT202" s="2"/>
      <c r="AU202" s="2"/>
      <c r="AV202" s="2"/>
      <c r="AW202" s="2"/>
      <c r="BA202" s="2"/>
      <c r="BB202" s="2"/>
      <c r="BC202" s="2"/>
      <c r="BD202" s="2"/>
      <c r="BE202" s="2"/>
      <c r="BF202" s="2"/>
      <c r="BG202" s="2"/>
    </row>
    <row r="203" spans="1:59">
      <c r="B203" t="s">
        <v>38</v>
      </c>
      <c r="C203">
        <f>C200-C198</f>
        <v>8.2599999999999896E-2</v>
      </c>
      <c r="D203">
        <f t="shared" ref="D203:H203" si="42">D200-D198</f>
        <v>0.12039999999999995</v>
      </c>
      <c r="E203">
        <f t="shared" si="42"/>
        <v>0.1134</v>
      </c>
      <c r="F203">
        <f t="shared" si="42"/>
        <v>9.8100000000000021E-2</v>
      </c>
      <c r="G203">
        <f t="shared" si="42"/>
        <v>7.6500000000000012E-2</v>
      </c>
      <c r="H203">
        <f t="shared" si="42"/>
        <v>5.7700000000000001E-2</v>
      </c>
      <c r="M203" t="s">
        <v>38</v>
      </c>
      <c r="N203">
        <f>N200-N198</f>
        <v>7.4679999999999858E-2</v>
      </c>
      <c r="O203">
        <f t="shared" ref="O203:S203" si="43">O200-O198</f>
        <v>0.11299999999999999</v>
      </c>
      <c r="P203">
        <f t="shared" si="43"/>
        <v>0.11457000000000001</v>
      </c>
      <c r="Q203">
        <f t="shared" si="43"/>
        <v>9.6489999999999992E-2</v>
      </c>
      <c r="R203">
        <f t="shared" si="43"/>
        <v>7.5589999999999991E-2</v>
      </c>
      <c r="S203">
        <f t="shared" si="43"/>
        <v>5.6089999999999987E-2</v>
      </c>
      <c r="AG203" s="2"/>
      <c r="AH203" s="2"/>
      <c r="AI203" s="2"/>
      <c r="AJ203" s="2"/>
      <c r="AK203" s="2"/>
      <c r="AL203" s="2"/>
      <c r="AM203" s="2"/>
      <c r="AQ203" s="2"/>
      <c r="AR203" s="2"/>
      <c r="AS203" s="2"/>
      <c r="AT203" s="2"/>
      <c r="AU203" s="2"/>
      <c r="AV203" s="2"/>
      <c r="AW203" s="2"/>
      <c r="BA203" s="2"/>
      <c r="BB203" s="2"/>
      <c r="BC203" s="2"/>
      <c r="BD203" s="2"/>
      <c r="BE203" s="2"/>
      <c r="BF203" s="2"/>
      <c r="BG203" s="2"/>
    </row>
    <row r="204" spans="1:59">
      <c r="B204" t="s">
        <v>39</v>
      </c>
      <c r="C204">
        <f>C201-C198</f>
        <v>4.9699999999999966E-2</v>
      </c>
      <c r="D204">
        <f t="shared" ref="D204:H204" si="44">D201-D198</f>
        <v>7.8000000000000291E-3</v>
      </c>
      <c r="E204">
        <f t="shared" si="44"/>
        <v>-1.999999999999999E-2</v>
      </c>
      <c r="F204">
        <f t="shared" si="44"/>
        <v>-2.9400000000000009E-2</v>
      </c>
      <c r="G204">
        <f t="shared" si="44"/>
        <v>-2.8299999999999992E-2</v>
      </c>
      <c r="H204">
        <f t="shared" si="44"/>
        <v>-2.1100000000000008E-2</v>
      </c>
      <c r="M204" t="s">
        <v>39</v>
      </c>
      <c r="N204">
        <f>N201-N198</f>
        <v>3.5009999999999875E-2</v>
      </c>
      <c r="O204">
        <f t="shared" ref="O204:S204" si="45">O201-O198</f>
        <v>-1.0929999999999995E-2</v>
      </c>
      <c r="P204">
        <f t="shared" si="45"/>
        <v>-3.0270000000000019E-2</v>
      </c>
      <c r="Q204">
        <f t="shared" si="45"/>
        <v>-3.368999999999997E-2</v>
      </c>
      <c r="R204">
        <f t="shared" si="45"/>
        <v>-3.2240000000000005E-2</v>
      </c>
      <c r="S204">
        <f t="shared" si="45"/>
        <v>-2.842999999999999E-2</v>
      </c>
      <c r="AG204" s="2"/>
      <c r="AH204" s="2"/>
      <c r="AI204" s="2"/>
      <c r="AJ204" s="2"/>
      <c r="AK204" s="2"/>
      <c r="AL204" s="2"/>
      <c r="AM204" s="2"/>
      <c r="AQ204" s="2"/>
      <c r="AR204" s="2"/>
      <c r="AS204" s="2"/>
      <c r="AT204" s="2"/>
      <c r="AU204" s="2"/>
      <c r="AV204" s="2"/>
      <c r="AW204" s="2"/>
      <c r="BA204" s="2"/>
      <c r="BB204" s="2"/>
      <c r="BC204" s="2"/>
      <c r="BD204" s="2"/>
      <c r="BE204" s="2"/>
      <c r="BF204" s="2"/>
      <c r="BG204" s="2"/>
    </row>
    <row r="205" spans="1:59">
      <c r="B205" t="s">
        <v>40</v>
      </c>
      <c r="C205">
        <f>C199/C198</f>
        <v>1.0502829426030718</v>
      </c>
      <c r="D205">
        <f t="shared" ref="D205:H205" si="46">D199/D198</f>
        <v>1.0673524369336274</v>
      </c>
      <c r="E205">
        <f t="shared" si="46"/>
        <v>1.0922384701912262</v>
      </c>
      <c r="F205">
        <f t="shared" si="46"/>
        <v>1.0763143018654608</v>
      </c>
      <c r="G205">
        <f t="shared" si="46"/>
        <v>1.0380165289256198</v>
      </c>
      <c r="H205">
        <f t="shared" si="46"/>
        <v>1.0593220338983049</v>
      </c>
      <c r="M205" t="s">
        <v>40</v>
      </c>
      <c r="N205">
        <f>N199/N198</f>
        <v>1.0445418326693225</v>
      </c>
      <c r="O205">
        <f t="shared" ref="O205:S205" si="47">O199/O198</f>
        <v>1.0619600399114162</v>
      </c>
      <c r="P205">
        <f t="shared" si="47"/>
        <v>1.0701240135287486</v>
      </c>
      <c r="Q205">
        <f t="shared" si="47"/>
        <v>1.0676325735883636</v>
      </c>
      <c r="R205">
        <f t="shared" si="47"/>
        <v>1.0553825435569397</v>
      </c>
      <c r="S205">
        <f t="shared" si="47"/>
        <v>1.0363028421304037</v>
      </c>
      <c r="AG205" s="2"/>
      <c r="AH205" s="2"/>
      <c r="AI205" s="2"/>
      <c r="AJ205" s="2"/>
      <c r="AK205" s="2"/>
      <c r="AL205" s="2"/>
      <c r="AM205" s="2"/>
      <c r="AQ205" s="2"/>
      <c r="AR205" s="2"/>
      <c r="AS205" s="2"/>
      <c r="AT205" s="2"/>
      <c r="AU205" s="2"/>
      <c r="AV205" s="2"/>
      <c r="AW205" s="2"/>
      <c r="BA205" s="2"/>
      <c r="BB205" s="2"/>
      <c r="BC205" s="2"/>
      <c r="BD205" s="2"/>
      <c r="BE205" s="2"/>
      <c r="BF205" s="2"/>
      <c r="BG205" s="2"/>
    </row>
    <row r="206" spans="1:59">
      <c r="B206" t="s">
        <v>41</v>
      </c>
      <c r="C206">
        <f>C200/C198</f>
        <v>1.1335489086499595</v>
      </c>
      <c r="D206">
        <f t="shared" ref="D206:H206" si="48">D200/D198</f>
        <v>1.2948812147930442</v>
      </c>
      <c r="E206">
        <f t="shared" si="48"/>
        <v>1.4251968503937007</v>
      </c>
      <c r="F206">
        <f t="shared" si="48"/>
        <v>1.5545505935556814</v>
      </c>
      <c r="G206">
        <f t="shared" si="48"/>
        <v>1.6322314049586779</v>
      </c>
      <c r="H206">
        <f t="shared" si="48"/>
        <v>1.6985472154963679</v>
      </c>
      <c r="M206" t="s">
        <v>41</v>
      </c>
      <c r="N206">
        <f>N200/N198</f>
        <v>1.1190119521912347</v>
      </c>
      <c r="O206">
        <f t="shared" ref="O206:S206" si="49">O200/O198</f>
        <v>1.2749993915942663</v>
      </c>
      <c r="P206">
        <f t="shared" si="49"/>
        <v>1.4305524239007892</v>
      </c>
      <c r="Q206">
        <f t="shared" si="49"/>
        <v>1.5525712976749513</v>
      </c>
      <c r="R206">
        <f t="shared" si="49"/>
        <v>1.6362259069101928</v>
      </c>
      <c r="S206">
        <f t="shared" si="49"/>
        <v>1.6698113207547169</v>
      </c>
    </row>
    <row r="207" spans="1:59">
      <c r="B207" t="s">
        <v>42</v>
      </c>
      <c r="C207">
        <f>C201/C198</f>
        <v>1.0803556992724332</v>
      </c>
      <c r="D207">
        <f t="shared" ref="D207:H207" si="50">D201/D198</f>
        <v>1.0191036002939016</v>
      </c>
      <c r="E207">
        <f t="shared" si="50"/>
        <v>0.92500937382827153</v>
      </c>
      <c r="F207">
        <f t="shared" si="50"/>
        <v>0.83380440927077437</v>
      </c>
      <c r="G207">
        <f t="shared" si="50"/>
        <v>0.76611570247933891</v>
      </c>
      <c r="H207">
        <f t="shared" si="50"/>
        <v>0.74455205811138003</v>
      </c>
      <c r="M207" t="s">
        <v>42</v>
      </c>
      <c r="N207">
        <f>N201/N198</f>
        <v>1.0557928286852587</v>
      </c>
      <c r="O207">
        <f t="shared" ref="O207:S207" si="51">O201/O198</f>
        <v>0.9734005013263245</v>
      </c>
      <c r="P207">
        <f t="shared" si="51"/>
        <v>0.88624577226606527</v>
      </c>
      <c r="Q207">
        <f t="shared" si="51"/>
        <v>0.80706677356545653</v>
      </c>
      <c r="R207">
        <f t="shared" si="51"/>
        <v>0.72864237017086098</v>
      </c>
      <c r="S207">
        <f t="shared" si="51"/>
        <v>0.66049677573441612</v>
      </c>
    </row>
    <row r="209" spans="1:59">
      <c r="A209" t="s">
        <v>54</v>
      </c>
    </row>
    <row r="210" spans="1:59">
      <c r="A210" t="s">
        <v>7</v>
      </c>
      <c r="B210" t="s">
        <v>28</v>
      </c>
      <c r="C210">
        <v>0</v>
      </c>
      <c r="D210">
        <v>0.01</v>
      </c>
      <c r="E210">
        <v>0.03</v>
      </c>
      <c r="F210">
        <v>0.05</v>
      </c>
      <c r="AG210" s="2"/>
      <c r="AH210" s="2"/>
      <c r="AI210" s="2"/>
      <c r="AJ210" s="2"/>
      <c r="AK210" s="2"/>
      <c r="AL210" s="2"/>
      <c r="AM210" s="2"/>
      <c r="AQ210" s="2"/>
      <c r="AR210" s="2"/>
      <c r="AS210" s="2"/>
      <c r="AT210" s="2"/>
      <c r="AU210" s="2"/>
      <c r="AV210" s="2"/>
      <c r="AW210" s="2"/>
      <c r="BA210" s="2"/>
      <c r="BB210" s="2"/>
      <c r="BC210" s="2"/>
      <c r="BD210" s="2"/>
      <c r="BE210" s="2"/>
      <c r="BF210" s="2"/>
      <c r="BG210" s="2"/>
    </row>
    <row r="211" spans="1:59">
      <c r="B211" t="s">
        <v>43</v>
      </c>
      <c r="C211" s="2">
        <v>0.61850000000000005</v>
      </c>
      <c r="D211" s="2">
        <v>0.52700000000000002</v>
      </c>
      <c r="E211" s="2">
        <v>0.30230000000000001</v>
      </c>
      <c r="F211" s="2">
        <v>0.12715000000000001</v>
      </c>
      <c r="H211" s="2">
        <v>0.52229999999999999</v>
      </c>
      <c r="I211" s="2">
        <v>0.53169999999999995</v>
      </c>
      <c r="J211" s="2">
        <f>AVERAGE(H211:I211)</f>
        <v>0.52699999999999991</v>
      </c>
      <c r="L211" s="2">
        <v>0.29310000000000003</v>
      </c>
      <c r="M211" s="2">
        <v>0.3115</v>
      </c>
      <c r="N211" s="2">
        <f>AVERAGE(L211:M211)</f>
        <v>0.30230000000000001</v>
      </c>
      <c r="P211" s="2">
        <v>0.11700000000000001</v>
      </c>
      <c r="Q211" s="2">
        <v>0.13730000000000001</v>
      </c>
      <c r="R211" s="2">
        <f>AVERAGE(P211:Q211)</f>
        <v>0.12715000000000001</v>
      </c>
      <c r="AG211" s="2"/>
      <c r="AH211" s="2"/>
      <c r="AI211" s="2"/>
      <c r="AJ211" s="2"/>
      <c r="AK211" s="2"/>
      <c r="AL211" s="2"/>
      <c r="AM211" s="2"/>
      <c r="AQ211" s="2"/>
      <c r="AR211" s="2"/>
      <c r="AS211" s="2"/>
      <c r="AT211" s="2"/>
      <c r="AU211" s="2"/>
      <c r="AV211" s="2"/>
      <c r="AW211" s="2"/>
      <c r="BA211" s="2"/>
      <c r="BB211" s="2"/>
      <c r="BC211" s="2"/>
      <c r="BD211" s="2"/>
      <c r="BE211" s="2"/>
      <c r="BF211" s="2"/>
      <c r="BG211" s="2"/>
    </row>
    <row r="212" spans="1:59">
      <c r="B212" t="s">
        <v>48</v>
      </c>
      <c r="C212" s="2">
        <v>0.64959999999999996</v>
      </c>
      <c r="D212" s="2">
        <v>0.55745</v>
      </c>
      <c r="E212" s="2">
        <v>0.32374999999999998</v>
      </c>
      <c r="F212" s="2">
        <v>0.13439999999999999</v>
      </c>
      <c r="H212" s="2">
        <v>0.56479999999999997</v>
      </c>
      <c r="I212" s="2">
        <v>0.55010000000000003</v>
      </c>
      <c r="J212" s="2">
        <f>AVERAGE(H212:I212)</f>
        <v>0.55745</v>
      </c>
      <c r="L212" s="2">
        <v>0.35149999999999998</v>
      </c>
      <c r="M212" s="2">
        <v>0.29599999999999999</v>
      </c>
      <c r="N212" s="2">
        <f>AVERAGE(L212:M212)</f>
        <v>0.32374999999999998</v>
      </c>
      <c r="P212" s="2">
        <v>0.161</v>
      </c>
      <c r="Q212" s="2">
        <v>0.10780000000000001</v>
      </c>
      <c r="R212" s="2">
        <f>AVERAGE(P212:Q212)</f>
        <v>0.13440000000000002</v>
      </c>
      <c r="AG212" s="2"/>
      <c r="AH212" s="2"/>
      <c r="AI212" s="2"/>
      <c r="AJ212" s="2"/>
      <c r="AK212" s="2"/>
      <c r="AL212" s="2"/>
      <c r="AM212" s="2"/>
      <c r="AQ212" s="2"/>
      <c r="AR212" s="2"/>
      <c r="AS212" s="2"/>
      <c r="AT212" s="2"/>
      <c r="AU212" s="2"/>
      <c r="AV212" s="2"/>
      <c r="AW212" s="2"/>
      <c r="BA212" s="2"/>
      <c r="BB212" s="2"/>
      <c r="BC212" s="2"/>
      <c r="BD212" s="2"/>
      <c r="BE212" s="2"/>
      <c r="BF212" s="2"/>
      <c r="BG212" s="2"/>
    </row>
    <row r="213" spans="1:59">
      <c r="B213" t="s">
        <v>35</v>
      </c>
      <c r="C213" s="2">
        <f>C212-C211</f>
        <v>3.1099999999999905E-2</v>
      </c>
      <c r="D213" s="2">
        <f t="shared" ref="D213:F213" si="52">D212-D211</f>
        <v>3.0449999999999977E-2</v>
      </c>
      <c r="E213" s="2">
        <f t="shared" si="52"/>
        <v>2.1449999999999969E-2</v>
      </c>
      <c r="F213" s="2">
        <f t="shared" si="52"/>
        <v>7.2499999999999787E-3</v>
      </c>
      <c r="AG213" s="2"/>
      <c r="AH213" s="2"/>
      <c r="AI213" s="2"/>
      <c r="AJ213" s="2"/>
      <c r="AK213" s="2"/>
      <c r="AL213" s="2"/>
      <c r="AM213" s="2"/>
      <c r="AQ213" s="2"/>
      <c r="AR213" s="2"/>
      <c r="AS213" s="2"/>
      <c r="AT213" s="2"/>
      <c r="AU213" s="2"/>
      <c r="AV213" s="2"/>
      <c r="AW213" s="2"/>
      <c r="BA213" s="2"/>
      <c r="BB213" s="2"/>
      <c r="BC213" s="2"/>
      <c r="BD213" s="2"/>
      <c r="BE213" s="2"/>
      <c r="BF213" s="2"/>
      <c r="BG213" s="2"/>
    </row>
    <row r="214" spans="1:59">
      <c r="B214" t="s">
        <v>36</v>
      </c>
      <c r="C214" s="3">
        <f>C212/C211</f>
        <v>1.0502829426030718</v>
      </c>
      <c r="D214" s="3">
        <f t="shared" ref="D214:F214" si="53">D212/D211</f>
        <v>1.0577798861480074</v>
      </c>
      <c r="E214" s="3">
        <f t="shared" si="53"/>
        <v>1.0709560039695665</v>
      </c>
      <c r="F214" s="3">
        <f t="shared" si="53"/>
        <v>1.0570192685804167</v>
      </c>
      <c r="AG214" s="2"/>
      <c r="AH214" s="2"/>
      <c r="AI214" s="2"/>
      <c r="AJ214" s="2"/>
      <c r="AK214" s="2"/>
      <c r="AL214" s="2"/>
      <c r="AM214" s="2"/>
      <c r="AQ214" s="2"/>
      <c r="AR214" s="2"/>
      <c r="AS214" s="2"/>
      <c r="AT214" s="2"/>
      <c r="AU214" s="2"/>
      <c r="AV214" s="2"/>
      <c r="AW214" s="2"/>
      <c r="BA214" s="2"/>
      <c r="BB214" s="2"/>
      <c r="BC214" s="2"/>
      <c r="BD214" s="2"/>
      <c r="BE214" s="2"/>
      <c r="BF214" s="2"/>
      <c r="BG214" s="2"/>
    </row>
    <row r="215" spans="1:59">
      <c r="AG215" s="2"/>
      <c r="AH215" s="2"/>
      <c r="AI215" s="2"/>
      <c r="AJ215" s="2"/>
      <c r="AK215" s="2"/>
      <c r="AL215" s="2"/>
      <c r="AM215" s="2"/>
      <c r="AQ215" s="2"/>
      <c r="AR215" s="2"/>
      <c r="AS215" s="2"/>
      <c r="AT215" s="2"/>
      <c r="AU215" s="2"/>
      <c r="AV215" s="2"/>
      <c r="AW215" s="2"/>
      <c r="BA215" s="2"/>
      <c r="BB215" s="2"/>
      <c r="BC215" s="2"/>
      <c r="BD215" s="2"/>
      <c r="BE215" s="2"/>
      <c r="BF215" s="2"/>
      <c r="BG215" s="2"/>
    </row>
    <row r="216" spans="1:59">
      <c r="A216" t="s">
        <v>7</v>
      </c>
      <c r="B216" t="s">
        <v>28</v>
      </c>
      <c r="C216">
        <v>0</v>
      </c>
      <c r="D216">
        <v>0.01</v>
      </c>
      <c r="E216">
        <v>0.03</v>
      </c>
      <c r="F216">
        <v>0.05</v>
      </c>
      <c r="AG216" s="2"/>
      <c r="AH216" s="2"/>
      <c r="AI216" s="2"/>
      <c r="AJ216" s="2"/>
      <c r="AK216" s="2"/>
      <c r="AL216" s="2"/>
      <c r="AM216" s="2"/>
      <c r="AQ216" s="2"/>
      <c r="AR216" s="2"/>
      <c r="AS216" s="2"/>
      <c r="AT216" s="2"/>
      <c r="AU216" s="2"/>
      <c r="AV216" s="2"/>
      <c r="AW216" s="2"/>
      <c r="BA216" s="2"/>
      <c r="BB216" s="2"/>
      <c r="BC216" s="2"/>
      <c r="BD216" s="2"/>
      <c r="BE216" s="2"/>
      <c r="BF216" s="2"/>
      <c r="BG216" s="2"/>
    </row>
    <row r="217" spans="1:59">
      <c r="B217" t="s">
        <v>43</v>
      </c>
      <c r="C217" s="2">
        <v>0.61850000000000005</v>
      </c>
      <c r="D217" s="2">
        <v>0.53139999999999998</v>
      </c>
      <c r="E217" s="2">
        <v>0.31619999999999998</v>
      </c>
      <c r="F217" s="2">
        <v>0.13944999999999999</v>
      </c>
      <c r="H217" s="2">
        <v>0.52229999999999999</v>
      </c>
      <c r="I217" s="2">
        <v>0.54049999999999998</v>
      </c>
      <c r="J217" s="2">
        <f>AVERAGE(H217:I217)</f>
        <v>0.53139999999999998</v>
      </c>
      <c r="L217" s="2">
        <v>0.29310000000000003</v>
      </c>
      <c r="M217" s="2">
        <v>0.33929999999999999</v>
      </c>
      <c r="N217" s="2">
        <f>AVERAGE(L217:M217)</f>
        <v>0.31620000000000004</v>
      </c>
      <c r="P217" s="2">
        <v>0.11700000000000001</v>
      </c>
      <c r="Q217" s="2">
        <v>0.16189999999999999</v>
      </c>
      <c r="R217" s="2">
        <f>AVERAGE(P217:Q217)</f>
        <v>0.13944999999999999</v>
      </c>
    </row>
    <row r="218" spans="1:59">
      <c r="B218" t="s">
        <v>6</v>
      </c>
      <c r="C218" s="2">
        <v>0.70109999999999995</v>
      </c>
      <c r="D218" s="2">
        <v>0.62239999999999995</v>
      </c>
      <c r="E218" s="2">
        <v>0.40989999999999999</v>
      </c>
      <c r="F218" s="2">
        <v>0.21845000000000001</v>
      </c>
      <c r="H218" s="2">
        <v>0.64859999999999995</v>
      </c>
      <c r="I218" s="2">
        <v>0.59619999999999995</v>
      </c>
      <c r="J218" s="2">
        <f>AVERAGE(H218:I218)</f>
        <v>0.62239999999999995</v>
      </c>
      <c r="L218" s="2">
        <v>0.50900000000000001</v>
      </c>
      <c r="M218" s="2">
        <v>0.31080000000000002</v>
      </c>
      <c r="N218" s="2">
        <f>AVERAGE(L218:M218)</f>
        <v>0.40990000000000004</v>
      </c>
      <c r="P218" s="2">
        <v>0.33360000000000001</v>
      </c>
      <c r="Q218" s="2">
        <v>0.1033</v>
      </c>
      <c r="R218" s="2">
        <f>AVERAGE(P218:Q218)</f>
        <v>0.21845000000000001</v>
      </c>
    </row>
    <row r="219" spans="1:59">
      <c r="B219" t="s">
        <v>35</v>
      </c>
      <c r="C219" s="2">
        <f>C218-C217</f>
        <v>8.2599999999999896E-2</v>
      </c>
      <c r="D219" s="2">
        <f t="shared" ref="D219:F219" si="54">D218-D217</f>
        <v>9.099999999999997E-2</v>
      </c>
      <c r="E219" s="2">
        <f t="shared" si="54"/>
        <v>9.3700000000000006E-2</v>
      </c>
      <c r="F219" s="2">
        <f t="shared" si="54"/>
        <v>7.9000000000000015E-2</v>
      </c>
    </row>
    <row r="220" spans="1:59">
      <c r="B220" t="s">
        <v>36</v>
      </c>
      <c r="C220" s="3">
        <f>C218/C217</f>
        <v>1.1335489086499595</v>
      </c>
      <c r="D220" s="3">
        <f t="shared" ref="D220:F220" si="55">D218/D217</f>
        <v>1.1712457659013924</v>
      </c>
      <c r="E220" s="3">
        <f t="shared" si="55"/>
        <v>1.2963314358001266</v>
      </c>
      <c r="F220" s="3">
        <f t="shared" si="55"/>
        <v>1.5665112943707424</v>
      </c>
    </row>
    <row r="221" spans="1:59">
      <c r="AG221" s="2"/>
      <c r="AH221" s="2"/>
      <c r="AI221" s="2"/>
      <c r="AJ221" s="2"/>
      <c r="AK221" s="2"/>
      <c r="AL221" s="2"/>
      <c r="AM221" s="2"/>
      <c r="AQ221" s="2"/>
      <c r="AR221" s="2"/>
      <c r="AS221" s="2"/>
      <c r="AT221" s="2"/>
      <c r="AU221" s="2"/>
      <c r="AV221" s="2"/>
      <c r="AW221" s="2"/>
      <c r="BA221" s="2"/>
      <c r="BB221" s="2"/>
      <c r="BC221" s="2"/>
      <c r="BD221" s="2"/>
      <c r="BE221" s="2"/>
      <c r="BF221" s="2"/>
      <c r="BG221" s="2"/>
    </row>
    <row r="222" spans="1:59">
      <c r="A222" t="s">
        <v>7</v>
      </c>
      <c r="B222" t="s">
        <v>28</v>
      </c>
      <c r="C222">
        <v>0</v>
      </c>
      <c r="D222">
        <v>0.01</v>
      </c>
      <c r="E222">
        <v>0.03</v>
      </c>
      <c r="F222">
        <v>0.05</v>
      </c>
      <c r="AG222" s="2"/>
      <c r="AH222" s="2"/>
      <c r="AI222" s="2"/>
      <c r="AJ222" s="2"/>
      <c r="AK222" s="2"/>
      <c r="AL222" s="2"/>
      <c r="AM222" s="2"/>
      <c r="AQ222" s="2"/>
      <c r="AR222" s="2"/>
      <c r="AS222" s="2"/>
      <c r="AT222" s="2"/>
      <c r="AU222" s="2"/>
      <c r="AV222" s="2"/>
      <c r="AW222" s="2"/>
      <c r="BA222" s="2"/>
      <c r="BB222" s="2"/>
      <c r="BC222" s="2"/>
      <c r="BD222" s="2"/>
      <c r="BE222" s="2"/>
      <c r="BF222" s="2"/>
      <c r="BG222" s="2"/>
    </row>
    <row r="223" spans="1:59">
      <c r="B223" t="s">
        <v>43</v>
      </c>
      <c r="C223" s="2">
        <v>0.61850000000000005</v>
      </c>
      <c r="D223" s="2">
        <v>0.54684999999999995</v>
      </c>
      <c r="E223" s="2">
        <v>0.36890000000000001</v>
      </c>
      <c r="F223" s="2">
        <v>0.2104</v>
      </c>
      <c r="H223" s="2">
        <v>0.52229999999999999</v>
      </c>
      <c r="I223" s="2">
        <v>0.57140000000000002</v>
      </c>
      <c r="J223" s="2">
        <f>AVERAGE(H223:I223)</f>
        <v>0.54685000000000006</v>
      </c>
      <c r="L223" s="2">
        <v>0.29310000000000003</v>
      </c>
      <c r="M223" s="2">
        <v>0.44469999999999998</v>
      </c>
      <c r="N223" s="2">
        <f>AVERAGE(L223:M223)</f>
        <v>0.36890000000000001</v>
      </c>
      <c r="P223" s="2">
        <v>0.11700000000000001</v>
      </c>
      <c r="Q223" s="2">
        <v>0.30380000000000001</v>
      </c>
      <c r="R223" s="2">
        <f>AVERAGE(P223:Q223)</f>
        <v>0.2104</v>
      </c>
      <c r="AG223" s="2"/>
      <c r="AH223" s="2"/>
      <c r="AI223" s="2"/>
      <c r="AJ223" s="2"/>
      <c r="AK223" s="2"/>
      <c r="AL223" s="2"/>
      <c r="AM223" s="2"/>
      <c r="AQ223" s="2"/>
      <c r="AR223" s="2"/>
      <c r="AS223" s="2"/>
      <c r="AT223" s="2"/>
      <c r="AU223" s="2"/>
      <c r="AV223" s="2"/>
      <c r="AW223" s="2"/>
      <c r="BA223" s="2"/>
      <c r="BB223" s="2"/>
      <c r="BC223" s="2"/>
      <c r="BD223" s="2"/>
      <c r="BE223" s="2"/>
      <c r="BF223" s="2"/>
      <c r="BG223" s="2"/>
    </row>
    <row r="224" spans="1:59">
      <c r="B224" t="s">
        <v>49</v>
      </c>
      <c r="C224" s="2">
        <v>0.66820000000000002</v>
      </c>
      <c r="D224" s="2">
        <v>0.57879999999999998</v>
      </c>
      <c r="E224" s="2">
        <v>0.36820000000000003</v>
      </c>
      <c r="F224" s="2">
        <v>0.20505000000000001</v>
      </c>
      <c r="H224" s="2">
        <v>0.62</v>
      </c>
      <c r="I224" s="2">
        <v>0.53759999999999997</v>
      </c>
      <c r="J224" s="2">
        <f>AVERAGE(H224:I224)</f>
        <v>0.57879999999999998</v>
      </c>
      <c r="L224" s="2">
        <v>0.50319999999999998</v>
      </c>
      <c r="M224" s="2">
        <v>0.23319999999999999</v>
      </c>
      <c r="N224" s="2">
        <f>AVERAGE(L224:M224)</f>
        <v>0.36819999999999997</v>
      </c>
      <c r="P224" s="2">
        <v>0.34949999999999998</v>
      </c>
      <c r="Q224" s="2">
        <v>6.0600000000000001E-2</v>
      </c>
      <c r="R224" s="2">
        <f>AVERAGE(P224:Q224)</f>
        <v>0.20504999999999998</v>
      </c>
      <c r="AG224" s="2"/>
      <c r="AH224" s="2"/>
      <c r="AI224" s="2"/>
      <c r="AJ224" s="2"/>
      <c r="AK224" s="2"/>
      <c r="AL224" s="2"/>
      <c r="AM224" s="2"/>
      <c r="AQ224" s="2"/>
      <c r="AR224" s="2"/>
      <c r="AS224" s="2"/>
      <c r="AT224" s="2"/>
      <c r="AU224" s="2"/>
      <c r="AV224" s="2"/>
      <c r="AW224" s="2"/>
      <c r="BA224" s="2"/>
      <c r="BB224" s="2"/>
      <c r="BC224" s="2"/>
      <c r="BD224" s="2"/>
      <c r="BE224" s="2"/>
      <c r="BF224" s="2"/>
      <c r="BG224" s="2"/>
    </row>
    <row r="225" spans="1:59">
      <c r="B225" t="s">
        <v>35</v>
      </c>
      <c r="C225" s="2">
        <f>C224-C223</f>
        <v>4.9699999999999966E-2</v>
      </c>
      <c r="D225" s="2">
        <f t="shared" ref="D225:F225" si="56">D224-D223</f>
        <v>3.1950000000000034E-2</v>
      </c>
      <c r="E225" s="2">
        <f t="shared" si="56"/>
        <v>-6.9999999999997842E-4</v>
      </c>
      <c r="F225" s="2">
        <f t="shared" si="56"/>
        <v>-5.3499999999999936E-3</v>
      </c>
      <c r="AG225" s="2"/>
      <c r="AH225" s="2"/>
      <c r="AI225" s="2"/>
      <c r="AJ225" s="2"/>
      <c r="AK225" s="2"/>
      <c r="AL225" s="2"/>
      <c r="AM225" s="2"/>
      <c r="AQ225" s="2"/>
      <c r="AR225" s="2"/>
      <c r="AS225" s="2"/>
      <c r="AT225" s="2"/>
      <c r="AU225" s="2"/>
      <c r="AV225" s="2"/>
      <c r="AW225" s="2"/>
      <c r="BA225" s="2"/>
      <c r="BB225" s="2"/>
      <c r="BC225" s="2"/>
      <c r="BD225" s="2"/>
      <c r="BE225" s="2"/>
      <c r="BF225" s="2"/>
      <c r="BG225" s="2"/>
    </row>
    <row r="226" spans="1:59">
      <c r="B226" t="s">
        <v>36</v>
      </c>
      <c r="C226" s="3">
        <f>C224/C223</f>
        <v>1.0803556992724332</v>
      </c>
      <c r="D226" s="3">
        <f t="shared" ref="D226:F226" si="57">D224/D223</f>
        <v>1.0584255280241384</v>
      </c>
      <c r="E226" s="3">
        <f t="shared" si="57"/>
        <v>0.99810246679316894</v>
      </c>
      <c r="F226" s="3">
        <f t="shared" si="57"/>
        <v>0.97457224334600767</v>
      </c>
      <c r="AG226" s="2"/>
      <c r="AH226" s="2"/>
      <c r="AI226" s="2"/>
      <c r="AJ226" s="2"/>
      <c r="AK226" s="2"/>
      <c r="AL226" s="2"/>
      <c r="AM226" s="2"/>
      <c r="AQ226" s="2"/>
      <c r="AR226" s="2"/>
      <c r="AS226" s="2"/>
      <c r="AT226" s="2"/>
      <c r="AU226" s="2"/>
      <c r="AV226" s="2"/>
      <c r="AW226" s="2"/>
      <c r="BA226" s="2"/>
      <c r="BB226" s="2"/>
      <c r="BC226" s="2"/>
      <c r="BD226" s="2"/>
      <c r="BE226" s="2"/>
      <c r="BF226" s="2"/>
      <c r="BG226" s="2"/>
    </row>
    <row r="227" spans="1:59">
      <c r="AG227" s="2"/>
      <c r="AH227" s="2"/>
      <c r="AI227" s="2"/>
      <c r="AJ227" s="2"/>
      <c r="AK227" s="2"/>
      <c r="AL227" s="2"/>
      <c r="AM227" s="2"/>
      <c r="AQ227" s="2"/>
      <c r="AR227" s="2"/>
      <c r="AS227" s="2"/>
      <c r="AT227" s="2"/>
      <c r="AU227" s="2"/>
      <c r="AV227" s="2"/>
      <c r="AW227" s="2"/>
      <c r="BA227" s="2"/>
      <c r="BB227" s="2"/>
      <c r="BC227" s="2"/>
      <c r="BD227" s="2"/>
      <c r="BE227" s="2"/>
      <c r="BF227" s="2"/>
      <c r="BG227" s="2"/>
    </row>
    <row r="229" spans="1:59">
      <c r="A229" t="s">
        <v>10</v>
      </c>
      <c r="B229" t="s">
        <v>28</v>
      </c>
      <c r="C229">
        <v>0</v>
      </c>
      <c r="D229">
        <v>0.01</v>
      </c>
      <c r="E229">
        <v>0.03</v>
      </c>
      <c r="F229">
        <v>0.05</v>
      </c>
    </row>
    <row r="230" spans="1:59">
      <c r="B230" t="s">
        <v>43</v>
      </c>
      <c r="C230" s="2">
        <f>AVERAGE(H2:Q2)</f>
        <v>0.62750000000000006</v>
      </c>
      <c r="D230" s="2">
        <f>AVERAGE(H230:I230)</f>
        <v>0.50900499999999993</v>
      </c>
      <c r="E230" s="2">
        <f>AVERAGE(L230:M230)</f>
        <v>0.25402000000000002</v>
      </c>
      <c r="F230" s="2">
        <f>AVERAGE(P230:Q230)</f>
        <v>9.1049999999999992E-2</v>
      </c>
      <c r="H230" s="2">
        <f>AVERAGE(AA133,AA143,AA153,AA163,C172,AA172,C181,AA181,C190,AA190)</f>
        <v>0.50305</v>
      </c>
      <c r="I230" s="2">
        <f>AVERAGE(AB133,AB143,AB153,AB163,D172,AB172,D181,AB181,D190,AB190)</f>
        <v>0.51495999999999997</v>
      </c>
      <c r="J230" s="2">
        <f>AVERAGE(H230:I230)</f>
        <v>0.50900499999999993</v>
      </c>
      <c r="L230" s="2">
        <f>AVERAGE(AH133,AH143,AH153,AH163,K172,AH172,K181,AH181,K190,AH190)</f>
        <v>0.24202000000000004</v>
      </c>
      <c r="M230" s="2">
        <f>AVERAGE(AI133,AI143,AI153,AI163,L172,AI172,L181,AI181,L190,AI190)</f>
        <v>0.26602000000000003</v>
      </c>
      <c r="N230" s="2">
        <f>AVERAGE(L230:M230)</f>
        <v>0.25402000000000002</v>
      </c>
      <c r="P230" s="2">
        <f>AVERAGE(AO133,AO143,AO153,AO163,S172,AO172,S181,AO181,S190,AO190)</f>
        <v>8.0189999999999984E-2</v>
      </c>
      <c r="Q230" s="2">
        <f>AVERAGE(AP133,AP143,AP153,AP163,T172,AP172,T181,AP181,T190,AP190)</f>
        <v>0.10191000000000001</v>
      </c>
      <c r="R230" s="2">
        <f>AVERAGE(P230:Q230)</f>
        <v>9.1049999999999992E-2</v>
      </c>
    </row>
    <row r="231" spans="1:59">
      <c r="B231" t="s">
        <v>48</v>
      </c>
      <c r="C231" s="2">
        <f>AVERAGE(H6:Q6)</f>
        <v>0.65544999999999998</v>
      </c>
      <c r="D231" s="2">
        <f>AVERAGE(H231:I231)</f>
        <v>0.53504499999999999</v>
      </c>
      <c r="E231" s="2">
        <f>AVERAGE(L231:M231)</f>
        <v>0.26256000000000002</v>
      </c>
      <c r="F231" s="2">
        <f>AVERAGE(P231:Q231)</f>
        <v>8.9374999999999982E-2</v>
      </c>
      <c r="H231" s="2">
        <f>AVERAGE(AA134,AA144,AA154,AA164,C173,AA173,C182,AA182,C191,AA191)</f>
        <v>0.54539000000000004</v>
      </c>
      <c r="I231" s="2">
        <f>AVERAGE(AB134,AB144,AB154,AB164,D173,AB173,D182,AB182,D191,AB191)</f>
        <v>0.52469999999999994</v>
      </c>
      <c r="J231" s="2">
        <f>AVERAGE(H231:I231)</f>
        <v>0.53504499999999999</v>
      </c>
      <c r="L231" s="2">
        <f>AVERAGE(AH134,AH144,AH154,AH164,K173,AH173,K182,AH182,K191,AH191)</f>
        <v>0.2898</v>
      </c>
      <c r="M231" s="2">
        <f>AVERAGE(AI134,AI144,AI154,AI164,L173,AI173,L182,AI182,L191,AI191)</f>
        <v>0.23532000000000003</v>
      </c>
      <c r="N231" s="2">
        <f>AVERAGE(L231:M231)</f>
        <v>0.26256000000000002</v>
      </c>
      <c r="P231" s="2">
        <f>AVERAGE(AO134,AO144,AO154,AO164,S173,AO173,S182,AO182,S191,AO191)</f>
        <v>0.11084999999999998</v>
      </c>
      <c r="Q231" s="2">
        <f>AVERAGE(AP134,AP144,AP154,AP164,T173,AP173,T182,AP182,T191,AP191)</f>
        <v>6.7900000000000002E-2</v>
      </c>
      <c r="R231" s="2">
        <f>AVERAGE(P231:Q231)</f>
        <v>8.9374999999999982E-2</v>
      </c>
    </row>
    <row r="232" spans="1:59">
      <c r="B232" t="s">
        <v>35</v>
      </c>
      <c r="C232" s="2">
        <f>C231-C230</f>
        <v>2.7949999999999919E-2</v>
      </c>
      <c r="D232" s="2">
        <f t="shared" ref="D232:F232" si="58">D231-D230</f>
        <v>2.6040000000000063E-2</v>
      </c>
      <c r="E232" s="2">
        <f t="shared" si="58"/>
        <v>8.539999999999992E-3</v>
      </c>
      <c r="F232" s="2">
        <f t="shared" si="58"/>
        <v>-1.6750000000000098E-3</v>
      </c>
      <c r="AG232" s="2"/>
      <c r="AH232" s="2"/>
      <c r="AI232" s="2"/>
      <c r="AJ232" s="2"/>
      <c r="AK232" s="2"/>
      <c r="AL232" s="2"/>
      <c r="AM232" s="2"/>
      <c r="AQ232" s="2"/>
      <c r="AR232" s="2"/>
      <c r="AS232" s="2"/>
      <c r="AT232" s="2"/>
      <c r="AU232" s="2"/>
      <c r="AV232" s="2"/>
      <c r="AW232" s="2"/>
      <c r="BA232" s="2"/>
      <c r="BB232" s="2"/>
      <c r="BC232" s="2"/>
      <c r="BD232" s="2"/>
      <c r="BE232" s="2"/>
      <c r="BF232" s="2"/>
      <c r="BG232" s="2"/>
    </row>
    <row r="233" spans="1:59">
      <c r="B233" t="s">
        <v>36</v>
      </c>
      <c r="C233" s="3">
        <f>C231/C230</f>
        <v>1.0445418326693225</v>
      </c>
      <c r="D233" s="3">
        <f t="shared" ref="D233:F233" si="59">D231/D230</f>
        <v>1.0511586330193221</v>
      </c>
      <c r="E233" s="3">
        <f t="shared" si="59"/>
        <v>1.0336194000472403</v>
      </c>
      <c r="F233" s="3">
        <f t="shared" si="59"/>
        <v>0.98160351455244366</v>
      </c>
      <c r="AG233" s="2"/>
      <c r="AH233" s="2"/>
      <c r="AI233" s="2"/>
      <c r="AJ233" s="2"/>
      <c r="AK233" s="2"/>
      <c r="AL233" s="2"/>
      <c r="AM233" s="2"/>
      <c r="AQ233" s="2"/>
      <c r="AR233" s="2"/>
      <c r="AS233" s="2"/>
      <c r="AT233" s="2"/>
      <c r="AU233" s="2"/>
      <c r="AV233" s="2"/>
      <c r="AW233" s="2"/>
      <c r="BA233" s="2"/>
      <c r="BB233" s="2"/>
      <c r="BC233" s="2"/>
      <c r="BD233" s="2"/>
      <c r="BE233" s="2"/>
      <c r="BF233" s="2"/>
      <c r="BG233" s="2"/>
    </row>
    <row r="234" spans="1:59">
      <c r="AG234" s="2"/>
      <c r="AH234" s="2"/>
      <c r="AI234" s="2"/>
      <c r="AJ234" s="2"/>
      <c r="AK234" s="2"/>
      <c r="AL234" s="2"/>
      <c r="AM234" s="2"/>
      <c r="AQ234" s="2"/>
      <c r="AR234" s="2"/>
      <c r="AS234" s="2"/>
      <c r="AT234" s="2"/>
      <c r="AU234" s="2"/>
      <c r="AV234" s="2"/>
      <c r="AW234" s="2"/>
      <c r="BA234" s="2"/>
      <c r="BB234" s="2"/>
      <c r="BC234" s="2"/>
      <c r="BD234" s="2"/>
      <c r="BE234" s="2"/>
      <c r="BF234" s="2"/>
      <c r="BG234" s="2"/>
    </row>
    <row r="235" spans="1:59">
      <c r="A235" t="s">
        <v>10</v>
      </c>
      <c r="B235" t="s">
        <v>28</v>
      </c>
      <c r="C235">
        <v>0</v>
      </c>
      <c r="D235">
        <v>0.01</v>
      </c>
      <c r="E235">
        <v>0.03</v>
      </c>
      <c r="F235">
        <v>0.05</v>
      </c>
      <c r="AG235" s="2"/>
      <c r="AH235" s="2"/>
      <c r="AI235" s="2"/>
      <c r="AJ235" s="2"/>
      <c r="AK235" s="2"/>
      <c r="AL235" s="2"/>
      <c r="AM235" s="2"/>
      <c r="AQ235" s="2"/>
      <c r="AR235" s="2"/>
      <c r="AS235" s="2"/>
      <c r="AT235" s="2"/>
      <c r="AU235" s="2"/>
      <c r="AV235" s="2"/>
      <c r="AW235" s="2"/>
      <c r="BA235" s="2"/>
      <c r="BB235" s="2"/>
      <c r="BC235" s="2"/>
      <c r="BD235" s="2"/>
      <c r="BE235" s="2"/>
      <c r="BF235" s="2"/>
      <c r="BG235" s="2"/>
    </row>
    <row r="236" spans="1:59">
      <c r="B236" t="s">
        <v>43</v>
      </c>
      <c r="C236" s="2">
        <f>AVERAGE(H2:Q2)</f>
        <v>0.62750000000000006</v>
      </c>
      <c r="D236" s="2">
        <f>AVERAGE(H236:I236)</f>
        <v>0.51458999999999999</v>
      </c>
      <c r="E236" s="2">
        <f>AVERAGE(L236:M236)</f>
        <v>0.267565</v>
      </c>
      <c r="F236" s="2">
        <f>AVERAGE(P236:Q236)</f>
        <v>0.10272999999999999</v>
      </c>
      <c r="H236" s="2">
        <f>AVERAGE(AA133,AA143,AA153,AA163,C172,AA172,C181,AA181,C190,AA190)</f>
        <v>0.50305</v>
      </c>
      <c r="I236" s="2">
        <f>AVERAGE(AC133,AC143,AC153,AC163,E172,AC172,E181,AC181,E190,AC190)</f>
        <v>0.52612999999999999</v>
      </c>
      <c r="J236" s="2">
        <f>AVERAGE(H236:I236)</f>
        <v>0.51458999999999999</v>
      </c>
      <c r="L236" s="2">
        <f>AVERAGE(AH133,AH143,AH153,AH163,K172,AH172,K181,AH181,K190,AH190)</f>
        <v>0.24202000000000004</v>
      </c>
      <c r="M236" s="2">
        <f>AVERAGE(AJ133,AJ143,AJ153,AJ163,M172,AJ172,M181,AJ181,M190,AJ190)</f>
        <v>0.29310999999999998</v>
      </c>
      <c r="N236" s="2">
        <f>AVERAGE(L236:M236)</f>
        <v>0.267565</v>
      </c>
      <c r="P236" s="2">
        <f>AVERAGE(AO133,AO143,AO153,AO163,S172,AO172,S181,AO181,S190,AO190)</f>
        <v>8.0189999999999984E-2</v>
      </c>
      <c r="Q236" s="2">
        <f>AVERAGE(AQ133,AQ143,AQ153,AQ163,U172,AQ172,U181,AQ181,U190,AQ190)</f>
        <v>0.12526999999999999</v>
      </c>
      <c r="R236" s="2">
        <f>AVERAGE(P236:Q236)</f>
        <v>0.10272999999999999</v>
      </c>
      <c r="AG236" s="2"/>
      <c r="AH236" s="2"/>
      <c r="AI236" s="2"/>
      <c r="AJ236" s="2"/>
      <c r="AK236" s="2"/>
      <c r="AL236" s="2"/>
      <c r="AM236" s="2"/>
      <c r="AQ236" s="2"/>
      <c r="AR236" s="2"/>
      <c r="AS236" s="2"/>
      <c r="AT236" s="2"/>
      <c r="AU236" s="2"/>
      <c r="AV236" s="2"/>
      <c r="AW236" s="2"/>
      <c r="BA236" s="2"/>
      <c r="BB236" s="2"/>
      <c r="BC236" s="2"/>
      <c r="BD236" s="2"/>
      <c r="BE236" s="2"/>
      <c r="BF236" s="2"/>
      <c r="BG236" s="2"/>
    </row>
    <row r="237" spans="1:59">
      <c r="B237" t="s">
        <v>44</v>
      </c>
      <c r="C237" s="2">
        <f>AVERAGE(H8:Q8)</f>
        <v>0.70217999999999992</v>
      </c>
      <c r="D237" s="2">
        <f>AVERAGE(H237:I237)</f>
        <v>0.60282499999999994</v>
      </c>
      <c r="E237" s="2">
        <f>AVERAGE(L237:M237)</f>
        <v>0.35433499999999996</v>
      </c>
      <c r="F237" s="2">
        <f>AVERAGE(P237:Q237)</f>
        <v>0.17257500000000001</v>
      </c>
      <c r="H237" s="2">
        <f>AVERAGE(AA135,AA145,AA155,AA165,C174,AA174,C183,AA183,C192,AA192)</f>
        <v>0.63420999999999994</v>
      </c>
      <c r="I237" s="2">
        <f>AVERAGE(AC135,AC145,AC155,AC165,E174,AC174,E183,AC183,E192,AC192)</f>
        <v>0.57144000000000006</v>
      </c>
      <c r="J237" s="2">
        <f>AVERAGE(H237:I237)</f>
        <v>0.60282499999999994</v>
      </c>
      <c r="L237" s="2">
        <f>AVERAGE(AH135,AH145,AH155,AH165,K174,AH174,K183,AH183,K192,AH192)</f>
        <v>0.45583999999999997</v>
      </c>
      <c r="M237" s="2">
        <f>AVERAGE(AJ135,AJ145,AJ155,AJ165,M174,AJ174,M183,AJ183,M192,AJ192)</f>
        <v>0.25283</v>
      </c>
      <c r="N237" s="2">
        <f>AVERAGE(L237:M237)</f>
        <v>0.35433499999999996</v>
      </c>
      <c r="P237" s="2">
        <f>AVERAGE(AO135,AO145,AO155,AO165,S174,AO174,S183,AO183,S192,AO192)</f>
        <v>0.27090999999999998</v>
      </c>
      <c r="Q237" s="2">
        <f>AVERAGE(AQ135,AQ145,AQ155,AQ165,U174,AQ174,U183,AQ183,U192,AQ192)</f>
        <v>7.4240000000000014E-2</v>
      </c>
      <c r="R237" s="2">
        <f>AVERAGE(P237:Q237)</f>
        <v>0.17257500000000001</v>
      </c>
      <c r="AG237" s="2"/>
      <c r="AH237" s="2"/>
      <c r="AI237" s="2"/>
      <c r="AJ237" s="2"/>
      <c r="AK237" s="2"/>
      <c r="AL237" s="2"/>
      <c r="AM237" s="2"/>
      <c r="AQ237" s="2"/>
      <c r="AR237" s="2"/>
      <c r="AS237" s="2"/>
      <c r="AT237" s="2"/>
      <c r="AU237" s="2"/>
      <c r="AV237" s="2"/>
      <c r="AW237" s="2"/>
      <c r="BA237" s="2"/>
      <c r="BB237" s="2"/>
      <c r="BC237" s="2"/>
      <c r="BD237" s="2"/>
      <c r="BE237" s="2"/>
      <c r="BF237" s="2"/>
      <c r="BG237" s="2"/>
    </row>
    <row r="238" spans="1:59">
      <c r="B238" t="s">
        <v>35</v>
      </c>
      <c r="C238" s="2">
        <f>C237-C236</f>
        <v>7.4679999999999858E-2</v>
      </c>
      <c r="D238" s="2">
        <f t="shared" ref="D238:F238" si="60">D237-D236</f>
        <v>8.8234999999999952E-2</v>
      </c>
      <c r="E238" s="2">
        <f t="shared" si="60"/>
        <v>8.6769999999999958E-2</v>
      </c>
      <c r="F238" s="2">
        <f t="shared" si="60"/>
        <v>6.9845000000000018E-2</v>
      </c>
      <c r="AG238" s="2"/>
      <c r="AH238" s="2"/>
      <c r="AI238" s="2"/>
      <c r="AJ238" s="2"/>
      <c r="AK238" s="2"/>
      <c r="AL238" s="2"/>
      <c r="AM238" s="2"/>
      <c r="AQ238" s="2"/>
      <c r="AR238" s="2"/>
      <c r="AS238" s="2"/>
      <c r="AT238" s="2"/>
      <c r="AU238" s="2"/>
      <c r="AV238" s="2"/>
      <c r="AW238" s="2"/>
      <c r="BA238" s="2"/>
      <c r="BB238" s="2"/>
      <c r="BC238" s="2"/>
      <c r="BD238" s="2"/>
      <c r="BE238" s="2"/>
      <c r="BF238" s="2"/>
      <c r="BG238" s="2"/>
    </row>
    <row r="239" spans="1:59">
      <c r="B239" t="s">
        <v>36</v>
      </c>
      <c r="C239" s="3">
        <f>C237/C236</f>
        <v>1.1190119521912347</v>
      </c>
      <c r="D239" s="3">
        <f t="shared" ref="D239:F239" si="61">D237/D236</f>
        <v>1.1714666044812374</v>
      </c>
      <c r="E239" s="3">
        <f t="shared" si="61"/>
        <v>1.3242950311139348</v>
      </c>
      <c r="F239" s="3">
        <f t="shared" si="61"/>
        <v>1.6798890294947924</v>
      </c>
    </row>
    <row r="241" spans="1:59">
      <c r="A241" t="s">
        <v>10</v>
      </c>
      <c r="B241" t="s">
        <v>28</v>
      </c>
      <c r="C241">
        <v>0</v>
      </c>
      <c r="D241">
        <v>0.01</v>
      </c>
      <c r="E241">
        <v>0.03</v>
      </c>
      <c r="F241">
        <v>0.05</v>
      </c>
    </row>
    <row r="242" spans="1:59">
      <c r="B242" t="s">
        <v>43</v>
      </c>
      <c r="C242" s="2">
        <f>AVERAGE(H2:Q2)</f>
        <v>0.62750000000000006</v>
      </c>
      <c r="D242" s="2">
        <f>AVERAGE(H242:I242)</f>
        <v>0.53388000000000002</v>
      </c>
      <c r="E242" s="2">
        <f>AVERAGE(L242:M242)</f>
        <v>0.32884999999999998</v>
      </c>
      <c r="F242" s="2">
        <f>AVERAGE(P242:Q242)</f>
        <v>0.17610499999999998</v>
      </c>
      <c r="H242" s="2">
        <f>AVERAGE(AA133,AA143,AA153,AA163,C172,AA172,C181,AA181,C190,AA190)</f>
        <v>0.50305</v>
      </c>
      <c r="I242" s="2">
        <f>AVERAGE(AD133,AD143,AD153,AD163,F172,AD172,F181,AD181,F190,AD190)</f>
        <v>0.56471000000000005</v>
      </c>
      <c r="J242" s="2">
        <f>AVERAGE(H242:I242)</f>
        <v>0.53388000000000002</v>
      </c>
      <c r="L242" s="2">
        <f>AVERAGE(AH133,AH143,AH153,AH163,K172,AH172,K181,AH181,K190,AH190)</f>
        <v>0.24202000000000004</v>
      </c>
      <c r="M242" s="2">
        <f>AVERAGE(AK133,AK143,AK153,AK163,N172,AK172,N181,AK181,N190,AK190)</f>
        <v>0.41567999999999994</v>
      </c>
      <c r="N242" s="2">
        <f>AVERAGE(L242:M242)</f>
        <v>0.32884999999999998</v>
      </c>
      <c r="P242" s="2">
        <f>AVERAGE(AO133,AO143,AO153,AO163,S172,AO172,S181,AO181,S190,AO190)</f>
        <v>8.0189999999999984E-2</v>
      </c>
      <c r="Q242" s="2">
        <f>AVERAGE(AR133,AR143,AR153,AR163,V172,AR172,V181,AR181,V190,AR190)</f>
        <v>0.27201999999999998</v>
      </c>
      <c r="R242" s="2">
        <f>AVERAGE(P242:Q242)</f>
        <v>0.17610499999999998</v>
      </c>
    </row>
    <row r="243" spans="1:59">
      <c r="B243" t="s">
        <v>49</v>
      </c>
      <c r="C243" s="2">
        <f>AVERAGE(H9:Q9)</f>
        <v>0.66250999999999993</v>
      </c>
      <c r="D243" s="2">
        <f>AVERAGE(H243:I243)</f>
        <v>0.55654000000000003</v>
      </c>
      <c r="E243" s="2">
        <f>AVERAGE(L243:M243)</f>
        <v>0.32635499999999995</v>
      </c>
      <c r="F243" s="2">
        <f>AVERAGE(P243:Q243)</f>
        <v>0.17278499999999997</v>
      </c>
      <c r="H243" s="2">
        <f>AVERAGE(AA136,AA146,AA156,AA166,C175,AA175,C184,AA184,C193,AA193)</f>
        <v>0.60288000000000008</v>
      </c>
      <c r="I243" s="2">
        <f>AVERAGE(AD136,AD146,AD156,AD166,F175,AD175,F184,AD184,F193,AD193)</f>
        <v>0.51019999999999999</v>
      </c>
      <c r="J243" s="2">
        <f>AVERAGE(H243:I243)</f>
        <v>0.55654000000000003</v>
      </c>
      <c r="L243" s="2">
        <f>AVERAGE(AH136,AH146,AH156,AH166,K175,AH175,K184,AH184,K193,AH193)</f>
        <v>0.45428999999999997</v>
      </c>
      <c r="M243" s="2">
        <f>AVERAGE(AK136,AK146,AK156,AK166,N175,AK175,N184,AK184,N193,AK193)</f>
        <v>0.19841999999999999</v>
      </c>
      <c r="N243" s="2">
        <f>AVERAGE(L243:M243)</f>
        <v>0.32635499999999995</v>
      </c>
      <c r="P243" s="2">
        <f>AVERAGE(AO136,AO146,AO156,AO166,S175,AO175,S184,AO184,S193,AO193)</f>
        <v>0.29507999999999995</v>
      </c>
      <c r="Q243" s="2">
        <f>AVERAGE(AR136,AR146,AR156,AR166,V175,AR175,V184,AR184,V193,AR193)</f>
        <v>5.049E-2</v>
      </c>
      <c r="R243" s="2">
        <f>AVERAGE(P243:Q243)</f>
        <v>0.17278499999999997</v>
      </c>
      <c r="AG243" s="2"/>
      <c r="AH243" s="2"/>
      <c r="AI243" s="2"/>
      <c r="AJ243" s="2"/>
      <c r="AK243" s="2"/>
      <c r="AL243" s="2"/>
      <c r="AM243" s="2"/>
      <c r="AQ243" s="2"/>
      <c r="AR243" s="2"/>
      <c r="AS243" s="2"/>
      <c r="AT243" s="2"/>
      <c r="AU243" s="2"/>
      <c r="AV243" s="2"/>
      <c r="AW243" s="2"/>
      <c r="BA243" s="2"/>
      <c r="BB243" s="2"/>
      <c r="BC243" s="2"/>
      <c r="BD243" s="2"/>
      <c r="BE243" s="2"/>
      <c r="BF243" s="2"/>
      <c r="BG243" s="2"/>
    </row>
    <row r="244" spans="1:59">
      <c r="B244" t="s">
        <v>35</v>
      </c>
      <c r="C244" s="2">
        <f>C243-C242</f>
        <v>3.5009999999999875E-2</v>
      </c>
      <c r="D244" s="2">
        <f t="shared" ref="D244:F244" si="62">D243-D242</f>
        <v>2.2660000000000013E-2</v>
      </c>
      <c r="E244" s="2">
        <f t="shared" si="62"/>
        <v>-2.495000000000025E-3</v>
      </c>
      <c r="F244" s="2">
        <f t="shared" si="62"/>
        <v>-3.3200000000000174E-3</v>
      </c>
      <c r="AG244" s="2"/>
      <c r="AH244" s="2"/>
      <c r="AI244" s="2"/>
      <c r="AJ244" s="2"/>
      <c r="AK244" s="2"/>
      <c r="AL244" s="2"/>
      <c r="AM244" s="2"/>
      <c r="AQ244" s="2"/>
      <c r="AR244" s="2"/>
      <c r="AS244" s="2"/>
      <c r="AT244" s="2"/>
      <c r="AU244" s="2"/>
      <c r="AV244" s="2"/>
      <c r="AW244" s="2"/>
      <c r="BA244" s="2"/>
      <c r="BB244" s="2"/>
      <c r="BC244" s="2"/>
      <c r="BD244" s="2"/>
      <c r="BE244" s="2"/>
      <c r="BF244" s="2"/>
      <c r="BG244" s="2"/>
    </row>
    <row r="245" spans="1:59">
      <c r="B245" t="s">
        <v>36</v>
      </c>
      <c r="C245" s="3">
        <f>C243/C242</f>
        <v>1.0557928286852587</v>
      </c>
      <c r="D245" s="3">
        <f t="shared" ref="D245:F245" si="63">D243/D242</f>
        <v>1.0424439949052222</v>
      </c>
      <c r="E245" s="3">
        <f t="shared" si="63"/>
        <v>0.9924129542344533</v>
      </c>
      <c r="F245" s="3">
        <f t="shared" si="63"/>
        <v>0.98114761080037471</v>
      </c>
      <c r="AG245" s="2"/>
      <c r="AH245" s="2"/>
      <c r="AI245" s="2"/>
      <c r="AJ245" s="2"/>
      <c r="AK245" s="2"/>
      <c r="AL245" s="2"/>
      <c r="AM245" s="2"/>
      <c r="AQ245" s="2"/>
      <c r="AR245" s="2"/>
      <c r="AS245" s="2"/>
      <c r="AT245" s="2"/>
      <c r="AU245" s="2"/>
      <c r="AV245" s="2"/>
      <c r="AW245" s="2"/>
      <c r="BA245" s="2"/>
      <c r="BB245" s="2"/>
      <c r="BC245" s="2"/>
      <c r="BD245" s="2"/>
      <c r="BE245" s="2"/>
      <c r="BF245" s="2"/>
      <c r="BG245" s="2"/>
    </row>
    <row r="246" spans="1:59">
      <c r="AG246" s="2"/>
      <c r="AH246" s="2"/>
      <c r="AI246" s="2"/>
      <c r="AJ246" s="2"/>
      <c r="AK246" s="2"/>
      <c r="AL246" s="2"/>
      <c r="AM246" s="2"/>
      <c r="AQ246" s="2"/>
      <c r="AR246" s="2"/>
      <c r="AS246" s="2"/>
      <c r="AT246" s="2"/>
      <c r="AU246" s="2"/>
      <c r="AV246" s="2"/>
      <c r="AW246" s="2"/>
      <c r="BA246" s="2"/>
      <c r="BB246" s="2"/>
      <c r="BC246" s="2"/>
      <c r="BD246" s="2"/>
      <c r="BE246" s="2"/>
      <c r="BF246" s="2"/>
      <c r="BG246" s="2"/>
    </row>
    <row r="247" spans="1:59">
      <c r="AG247" s="2"/>
      <c r="AH247" s="2"/>
      <c r="AI247" s="2"/>
      <c r="AJ247" s="2"/>
      <c r="AK247" s="2"/>
      <c r="AL247" s="2"/>
      <c r="AM247" s="2"/>
      <c r="AQ247" s="2"/>
      <c r="AR247" s="2"/>
      <c r="AS247" s="2"/>
      <c r="AT247" s="2"/>
      <c r="AU247" s="2"/>
      <c r="AV247" s="2"/>
      <c r="AW247" s="2"/>
      <c r="BA247" s="2"/>
      <c r="BB247" s="2"/>
      <c r="BC247" s="2"/>
      <c r="BD247" s="2"/>
      <c r="BE247" s="2"/>
      <c r="BF247" s="2"/>
      <c r="BG247" s="2"/>
    </row>
    <row r="248" spans="1:59">
      <c r="AG248" s="2"/>
      <c r="AH248" s="2"/>
      <c r="AI248" s="2"/>
      <c r="AJ248" s="2"/>
      <c r="AK248" s="2"/>
      <c r="AL248" s="2"/>
      <c r="AM248" s="2"/>
      <c r="AQ248" s="2"/>
      <c r="AR248" s="2"/>
      <c r="AS248" s="2"/>
      <c r="AT248" s="2"/>
      <c r="AU248" s="2"/>
      <c r="AV248" s="2"/>
      <c r="AW248" s="2"/>
      <c r="BA248" s="2"/>
      <c r="BB248" s="2"/>
      <c r="BC248" s="2"/>
      <c r="BD248" s="2"/>
      <c r="BE248" s="2"/>
      <c r="BF248" s="2"/>
      <c r="BG248" s="2"/>
    </row>
    <row r="249" spans="1:59">
      <c r="AG249" s="2"/>
      <c r="AH249" s="2"/>
      <c r="AI249" s="2"/>
      <c r="AJ249" s="2"/>
      <c r="AK249" s="2"/>
      <c r="AL249" s="2"/>
      <c r="AM249" s="2"/>
      <c r="AQ249" s="2"/>
      <c r="AR249" s="2"/>
      <c r="AS249" s="2"/>
      <c r="AT249" s="2"/>
      <c r="AU249" s="2"/>
      <c r="AV249" s="2"/>
      <c r="AW249" s="2"/>
      <c r="BA249" s="2"/>
      <c r="BB249" s="2"/>
      <c r="BC249" s="2"/>
      <c r="BD249" s="2"/>
      <c r="BE249" s="2"/>
      <c r="BF249" s="2"/>
      <c r="BG249" s="2"/>
    </row>
    <row r="253" spans="1:59">
      <c r="C253" s="2"/>
      <c r="D253" s="2"/>
      <c r="E253" s="2"/>
      <c r="F253" s="2"/>
      <c r="H253" s="2"/>
      <c r="I253" s="2"/>
      <c r="J253" s="2"/>
      <c r="L253" s="2"/>
      <c r="M253" s="2"/>
      <c r="N253" s="2"/>
      <c r="P253" s="2"/>
      <c r="Q253" s="2"/>
      <c r="R253" s="2"/>
    </row>
    <row r="254" spans="1:59">
      <c r="C254" s="2"/>
      <c r="D254" s="2"/>
      <c r="E254" s="2"/>
      <c r="F254" s="2"/>
      <c r="H254" s="2"/>
      <c r="I254" s="2"/>
      <c r="J254" s="2"/>
      <c r="L254" s="2"/>
      <c r="M254" s="2"/>
      <c r="N254" s="2"/>
      <c r="P254" s="2"/>
      <c r="Q254" s="2"/>
      <c r="R254" s="2"/>
    </row>
    <row r="255" spans="1:59">
      <c r="C255" s="2"/>
      <c r="D255" s="2"/>
      <c r="E255" s="2"/>
      <c r="F255" s="2"/>
    </row>
    <row r="256" spans="1:59">
      <c r="C256" s="3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2023-09-20T08:53:46Z</dcterms:modified>
</cp:coreProperties>
</file>