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U101" i="1"/>
  <c r="U102"/>
  <c r="U103"/>
  <c r="U100"/>
  <c r="N101"/>
  <c r="N102"/>
  <c r="N103"/>
  <c r="N100"/>
  <c r="G101"/>
  <c r="G102"/>
  <c r="G103"/>
  <c r="G100"/>
  <c r="U93"/>
  <c r="U94"/>
  <c r="U95"/>
  <c r="U92"/>
  <c r="N93"/>
  <c r="N94"/>
  <c r="N95"/>
  <c r="N92"/>
  <c r="G93"/>
  <c r="G94"/>
  <c r="G95"/>
  <c r="G92"/>
  <c r="U85"/>
  <c r="U86"/>
  <c r="U87"/>
  <c r="U84"/>
  <c r="N85"/>
  <c r="N86"/>
  <c r="N87"/>
  <c r="N84"/>
  <c r="G85"/>
  <c r="G86"/>
  <c r="G87"/>
  <c r="G84"/>
  <c r="U77"/>
  <c r="U78"/>
  <c r="U79"/>
  <c r="U76"/>
  <c r="N77"/>
  <c r="N78"/>
  <c r="N79"/>
  <c r="N76"/>
  <c r="G77"/>
  <c r="G78"/>
  <c r="G79"/>
  <c r="G76"/>
  <c r="F129"/>
  <c r="E129"/>
  <c r="D129"/>
  <c r="C129"/>
  <c r="D128"/>
  <c r="E128"/>
  <c r="F128"/>
  <c r="C128"/>
  <c r="S127"/>
  <c r="S126"/>
  <c r="O127"/>
  <c r="O126"/>
  <c r="K127"/>
  <c r="K126"/>
  <c r="F123"/>
  <c r="E123"/>
  <c r="D123"/>
  <c r="C123"/>
  <c r="D122"/>
  <c r="E122"/>
  <c r="F122"/>
  <c r="C122"/>
  <c r="S121"/>
  <c r="O121"/>
  <c r="K121"/>
  <c r="S120"/>
  <c r="O120"/>
  <c r="K120"/>
  <c r="D116"/>
  <c r="E116"/>
  <c r="F116"/>
  <c r="G116"/>
  <c r="H116"/>
  <c r="C116"/>
  <c r="D115"/>
  <c r="E115"/>
  <c r="F115"/>
  <c r="G115"/>
  <c r="H115"/>
  <c r="C115"/>
  <c r="D110"/>
  <c r="E110"/>
  <c r="F110"/>
  <c r="G110"/>
  <c r="H110"/>
  <c r="C110"/>
  <c r="D109"/>
  <c r="E109"/>
  <c r="F109"/>
  <c r="G109"/>
  <c r="H109"/>
  <c r="C109"/>
  <c r="H108"/>
  <c r="G108"/>
  <c r="F108"/>
  <c r="E108"/>
  <c r="D108"/>
  <c r="C108"/>
  <c r="H107"/>
  <c r="G107"/>
  <c r="F107"/>
  <c r="E107"/>
  <c r="D107"/>
  <c r="C107"/>
  <c r="R103"/>
  <c r="S103"/>
  <c r="T103"/>
  <c r="R102"/>
  <c r="S102"/>
  <c r="T102"/>
  <c r="R101"/>
  <c r="S101"/>
  <c r="T101"/>
  <c r="R100"/>
  <c r="S100"/>
  <c r="T100"/>
  <c r="Q101"/>
  <c r="Q102"/>
  <c r="Q103"/>
  <c r="Q100"/>
  <c r="K103"/>
  <c r="L103"/>
  <c r="M103"/>
  <c r="K102"/>
  <c r="L102"/>
  <c r="M102"/>
  <c r="K101"/>
  <c r="L101"/>
  <c r="M101"/>
  <c r="K100"/>
  <c r="L100"/>
  <c r="M100"/>
  <c r="J101"/>
  <c r="J102"/>
  <c r="J103"/>
  <c r="J100"/>
  <c r="F101"/>
  <c r="F102"/>
  <c r="F103"/>
  <c r="E101"/>
  <c r="E102"/>
  <c r="E103"/>
  <c r="D101"/>
  <c r="D102"/>
  <c r="D103"/>
  <c r="C101"/>
  <c r="C102"/>
  <c r="C103"/>
  <c r="D100"/>
  <c r="E100"/>
  <c r="F100"/>
  <c r="C100"/>
  <c r="R95"/>
  <c r="S95"/>
  <c r="T95"/>
  <c r="R94"/>
  <c r="S94"/>
  <c r="T94"/>
  <c r="R93"/>
  <c r="S93"/>
  <c r="T93"/>
  <c r="R92"/>
  <c r="S92"/>
  <c r="T92"/>
  <c r="Q93"/>
  <c r="Q94"/>
  <c r="Q95"/>
  <c r="Q92"/>
  <c r="K95"/>
  <c r="L95"/>
  <c r="M95"/>
  <c r="K94"/>
  <c r="L94"/>
  <c r="M94"/>
  <c r="K93"/>
  <c r="L93"/>
  <c r="M93"/>
  <c r="K92"/>
  <c r="L92"/>
  <c r="M92"/>
  <c r="J93"/>
  <c r="J94"/>
  <c r="J95"/>
  <c r="J92"/>
  <c r="D95"/>
  <c r="E95"/>
  <c r="F95"/>
  <c r="D94"/>
  <c r="E94"/>
  <c r="F94"/>
  <c r="D93"/>
  <c r="E93"/>
  <c r="F93"/>
  <c r="D92"/>
  <c r="E92"/>
  <c r="F92"/>
  <c r="C93"/>
  <c r="C94"/>
  <c r="C95"/>
  <c r="C92"/>
  <c r="R87"/>
  <c r="S87"/>
  <c r="T87"/>
  <c r="R86"/>
  <c r="S86"/>
  <c r="T86"/>
  <c r="R85"/>
  <c r="S85"/>
  <c r="T85"/>
  <c r="R84"/>
  <c r="S84"/>
  <c r="T84"/>
  <c r="Q85"/>
  <c r="Q86"/>
  <c r="Q87"/>
  <c r="Q84"/>
  <c r="K87"/>
  <c r="L87"/>
  <c r="M87"/>
  <c r="K86"/>
  <c r="L86"/>
  <c r="M86"/>
  <c r="K85"/>
  <c r="L85"/>
  <c r="M85"/>
  <c r="K84"/>
  <c r="L84"/>
  <c r="M84"/>
  <c r="J85"/>
  <c r="J86"/>
  <c r="J87"/>
  <c r="J84"/>
  <c r="D87"/>
  <c r="E87"/>
  <c r="F87"/>
  <c r="D86"/>
  <c r="E86"/>
  <c r="F86"/>
  <c r="D85"/>
  <c r="E85"/>
  <c r="F85"/>
  <c r="D84"/>
  <c r="E84"/>
  <c r="F84"/>
  <c r="C85"/>
  <c r="C86"/>
  <c r="C87"/>
  <c r="C84"/>
  <c r="D71"/>
  <c r="E71"/>
  <c r="F71"/>
  <c r="G71"/>
  <c r="H71"/>
  <c r="I71"/>
  <c r="J71"/>
  <c r="D70"/>
  <c r="E70"/>
  <c r="F70"/>
  <c r="G70"/>
  <c r="H70"/>
  <c r="I70"/>
  <c r="J70"/>
  <c r="D69"/>
  <c r="E69"/>
  <c r="F69"/>
  <c r="G69"/>
  <c r="H69"/>
  <c r="I69"/>
  <c r="J69"/>
  <c r="D68"/>
  <c r="E68"/>
  <c r="F68"/>
  <c r="G68"/>
  <c r="H68"/>
  <c r="I68"/>
  <c r="J68"/>
  <c r="D67"/>
  <c r="E67"/>
  <c r="F67"/>
  <c r="G67"/>
  <c r="H67"/>
  <c r="I67"/>
  <c r="J67"/>
  <c r="C67"/>
  <c r="C68"/>
  <c r="C69"/>
  <c r="C70"/>
  <c r="C71"/>
  <c r="D66"/>
  <c r="E66"/>
  <c r="F66"/>
  <c r="G66"/>
  <c r="H66"/>
  <c r="I66"/>
  <c r="J66"/>
  <c r="C66"/>
  <c r="D64"/>
  <c r="E64"/>
  <c r="F64"/>
  <c r="G64"/>
  <c r="H64"/>
  <c r="I64"/>
  <c r="J64"/>
  <c r="D63"/>
  <c r="E63"/>
  <c r="F63"/>
  <c r="G63"/>
  <c r="H63"/>
  <c r="I63"/>
  <c r="J63"/>
  <c r="D62"/>
  <c r="E62"/>
  <c r="F62"/>
  <c r="G62"/>
  <c r="H62"/>
  <c r="I62"/>
  <c r="J62"/>
  <c r="D61"/>
  <c r="E61"/>
  <c r="F61"/>
  <c r="G61"/>
  <c r="H61"/>
  <c r="I61"/>
  <c r="J61"/>
  <c r="D60"/>
  <c r="E60"/>
  <c r="F60"/>
  <c r="G60"/>
  <c r="H60"/>
  <c r="I60"/>
  <c r="J60"/>
  <c r="C60"/>
  <c r="C61"/>
  <c r="C62"/>
  <c r="C63"/>
  <c r="C64"/>
  <c r="D59"/>
  <c r="E59"/>
  <c r="F59"/>
  <c r="G59"/>
  <c r="H59"/>
  <c r="I59"/>
  <c r="J59"/>
  <c r="C59"/>
  <c r="D57"/>
  <c r="E57"/>
  <c r="F57"/>
  <c r="G57"/>
  <c r="H57"/>
  <c r="I57"/>
  <c r="J57"/>
  <c r="D56"/>
  <c r="E56"/>
  <c r="F56"/>
  <c r="G56"/>
  <c r="H56"/>
  <c r="I56"/>
  <c r="J56"/>
  <c r="D55"/>
  <c r="E55"/>
  <c r="F55"/>
  <c r="G55"/>
  <c r="H55"/>
  <c r="I55"/>
  <c r="J55"/>
  <c r="D54"/>
  <c r="E54"/>
  <c r="F54"/>
  <c r="G54"/>
  <c r="H54"/>
  <c r="I54"/>
  <c r="J54"/>
  <c r="D53"/>
  <c r="E53"/>
  <c r="F53"/>
  <c r="G53"/>
  <c r="H53"/>
  <c r="I53"/>
  <c r="J53"/>
  <c r="C53"/>
  <c r="C54"/>
  <c r="C55"/>
  <c r="C56"/>
  <c r="C57"/>
  <c r="D52"/>
  <c r="E52"/>
  <c r="F52"/>
  <c r="G52"/>
  <c r="H52"/>
  <c r="I52"/>
  <c r="J52"/>
  <c r="C52"/>
  <c r="S50"/>
  <c r="R50"/>
  <c r="Q50"/>
  <c r="P50"/>
  <c r="O50"/>
  <c r="N50"/>
  <c r="M50"/>
  <c r="L50"/>
  <c r="S49"/>
  <c r="R49"/>
  <c r="Q49"/>
  <c r="P49"/>
  <c r="O49"/>
  <c r="N49"/>
  <c r="M49"/>
  <c r="L49"/>
  <c r="S48"/>
  <c r="R48"/>
  <c r="Q48"/>
  <c r="P48"/>
  <c r="O48"/>
  <c r="N48"/>
  <c r="M48"/>
  <c r="L48"/>
  <c r="S47"/>
  <c r="R47"/>
  <c r="Q47"/>
  <c r="P47"/>
  <c r="O47"/>
  <c r="N47"/>
  <c r="M47"/>
  <c r="L47"/>
  <c r="S46"/>
  <c r="R46"/>
  <c r="Q46"/>
  <c r="P46"/>
  <c r="O46"/>
  <c r="N46"/>
  <c r="M46"/>
  <c r="L46"/>
  <c r="S45"/>
  <c r="R45"/>
  <c r="Q45"/>
  <c r="P45"/>
  <c r="O45"/>
  <c r="N45"/>
  <c r="M45"/>
  <c r="L45"/>
  <c r="J50"/>
  <c r="I50"/>
  <c r="H50"/>
  <c r="G50"/>
  <c r="F50"/>
  <c r="E50"/>
  <c r="D50"/>
  <c r="C50"/>
  <c r="J49"/>
  <c r="I49"/>
  <c r="H49"/>
  <c r="G49"/>
  <c r="F49"/>
  <c r="E49"/>
  <c r="D49"/>
  <c r="C49"/>
  <c r="J48"/>
  <c r="I48"/>
  <c r="H48"/>
  <c r="G48"/>
  <c r="F48"/>
  <c r="E48"/>
  <c r="D48"/>
  <c r="C48"/>
  <c r="J47"/>
  <c r="I47"/>
  <c r="H47"/>
  <c r="G47"/>
  <c r="F47"/>
  <c r="E47"/>
  <c r="D47"/>
  <c r="C47"/>
  <c r="J46"/>
  <c r="I46"/>
  <c r="H46"/>
  <c r="G46"/>
  <c r="F46"/>
  <c r="E46"/>
  <c r="D46"/>
  <c r="C46"/>
  <c r="J45"/>
  <c r="I45"/>
  <c r="H45"/>
  <c r="G45"/>
  <c r="F45"/>
  <c r="E45"/>
  <c r="D45"/>
  <c r="C45"/>
  <c r="D42"/>
  <c r="E42"/>
  <c r="F42"/>
  <c r="G42"/>
  <c r="H42"/>
  <c r="I42"/>
  <c r="J42"/>
  <c r="D41"/>
  <c r="E41"/>
  <c r="F41"/>
  <c r="G41"/>
  <c r="H41"/>
  <c r="I41"/>
  <c r="J41"/>
  <c r="D40"/>
  <c r="E40"/>
  <c r="F40"/>
  <c r="G40"/>
  <c r="H40"/>
  <c r="I40"/>
  <c r="J40"/>
  <c r="D39"/>
  <c r="E39"/>
  <c r="F39"/>
  <c r="G39"/>
  <c r="H39"/>
  <c r="I39"/>
  <c r="J39"/>
  <c r="D38"/>
  <c r="E38"/>
  <c r="F38"/>
  <c r="G38"/>
  <c r="H38"/>
  <c r="I38"/>
  <c r="J38"/>
  <c r="D37"/>
  <c r="E37"/>
  <c r="F37"/>
  <c r="G37"/>
  <c r="H37"/>
  <c r="I37"/>
  <c r="J37"/>
  <c r="C37"/>
  <c r="C38"/>
  <c r="C39"/>
  <c r="C40"/>
  <c r="C41"/>
  <c r="C42"/>
  <c r="D36"/>
  <c r="E36"/>
  <c r="F36"/>
  <c r="G36"/>
  <c r="H36"/>
  <c r="I36"/>
  <c r="J36"/>
  <c r="C36"/>
  <c r="D34"/>
  <c r="E34"/>
  <c r="F34"/>
  <c r="G34"/>
  <c r="H34"/>
  <c r="I34"/>
  <c r="J34"/>
  <c r="D33"/>
  <c r="E33"/>
  <c r="F33"/>
  <c r="G33"/>
  <c r="H33"/>
  <c r="I33"/>
  <c r="J33"/>
  <c r="D32"/>
  <c r="E32"/>
  <c r="F32"/>
  <c r="G32"/>
  <c r="H32"/>
  <c r="I32"/>
  <c r="J32"/>
  <c r="D31"/>
  <c r="E31"/>
  <c r="F31"/>
  <c r="G31"/>
  <c r="H31"/>
  <c r="I31"/>
  <c r="J31"/>
  <c r="D30"/>
  <c r="E30"/>
  <c r="F30"/>
  <c r="G30"/>
  <c r="H30"/>
  <c r="I30"/>
  <c r="J30"/>
  <c r="D29"/>
  <c r="E29"/>
  <c r="F29"/>
  <c r="G29"/>
  <c r="H29"/>
  <c r="I29"/>
  <c r="J29"/>
  <c r="C29"/>
  <c r="C30"/>
  <c r="C31"/>
  <c r="C32"/>
  <c r="C33"/>
  <c r="C34"/>
  <c r="D28"/>
  <c r="E28"/>
  <c r="F28"/>
  <c r="G28"/>
  <c r="H28"/>
  <c r="I28"/>
  <c r="J28"/>
  <c r="C28"/>
  <c r="C20"/>
  <c r="D26"/>
  <c r="E26"/>
  <c r="F26"/>
  <c r="G26"/>
  <c r="H26"/>
  <c r="I26"/>
  <c r="J26"/>
  <c r="C26"/>
  <c r="D25"/>
  <c r="E25"/>
  <c r="F25"/>
  <c r="G25"/>
  <c r="H25"/>
  <c r="I25"/>
  <c r="J25"/>
  <c r="C25"/>
  <c r="D24"/>
  <c r="E24"/>
  <c r="F24"/>
  <c r="G24"/>
  <c r="H24"/>
  <c r="I24"/>
  <c r="J24"/>
  <c r="C24"/>
  <c r="D23"/>
  <c r="E23"/>
  <c r="F23"/>
  <c r="G23"/>
  <c r="H23"/>
  <c r="I23"/>
  <c r="J23"/>
  <c r="C23"/>
  <c r="D22"/>
  <c r="E22"/>
  <c r="F22"/>
  <c r="G22"/>
  <c r="H22"/>
  <c r="I22"/>
  <c r="J22"/>
  <c r="C22"/>
  <c r="D21"/>
  <c r="E21"/>
  <c r="F21"/>
  <c r="G21"/>
  <c r="H21"/>
  <c r="I21"/>
  <c r="J21"/>
  <c r="C21"/>
  <c r="E20"/>
  <c r="F20"/>
  <c r="G20"/>
  <c r="H20"/>
  <c r="I20"/>
  <c r="J20"/>
  <c r="D20"/>
  <c r="AK26"/>
  <c r="AJ26"/>
  <c r="AI26"/>
  <c r="AH26"/>
  <c r="AG26"/>
  <c r="AF26"/>
  <c r="AE26"/>
  <c r="AD26"/>
  <c r="AK25"/>
  <c r="AJ25"/>
  <c r="AI25"/>
  <c r="AH25"/>
  <c r="AG25"/>
  <c r="AF25"/>
  <c r="AE25"/>
  <c r="AD25"/>
  <c r="AK24"/>
  <c r="AJ24"/>
  <c r="AI24"/>
  <c r="AH24"/>
  <c r="AG24"/>
  <c r="AF24"/>
  <c r="AE24"/>
  <c r="AD24"/>
  <c r="AK23"/>
  <c r="AJ23"/>
  <c r="AI23"/>
  <c r="AH23"/>
  <c r="AG23"/>
  <c r="AF23"/>
  <c r="AE23"/>
  <c r="AD23"/>
  <c r="AK22"/>
  <c r="AJ22"/>
  <c r="AI22"/>
  <c r="AH22"/>
  <c r="AG22"/>
  <c r="AF22"/>
  <c r="AE22"/>
  <c r="AD22"/>
  <c r="AK21"/>
  <c r="AJ21"/>
  <c r="AI21"/>
  <c r="AH21"/>
  <c r="AG21"/>
  <c r="AF21"/>
  <c r="AE21"/>
  <c r="AD21"/>
  <c r="AK20"/>
  <c r="AJ20"/>
  <c r="AI20"/>
  <c r="AH20"/>
  <c r="AG20"/>
  <c r="AF20"/>
  <c r="AE20"/>
  <c r="AD20"/>
  <c r="AK18"/>
  <c r="AJ18"/>
  <c r="AI18"/>
  <c r="AH18"/>
  <c r="AG18"/>
  <c r="AF18"/>
  <c r="AE18"/>
  <c r="AD18"/>
  <c r="AK17"/>
  <c r="AJ17"/>
  <c r="AI17"/>
  <c r="AH17"/>
  <c r="AG17"/>
  <c r="AF17"/>
  <c r="AE17"/>
  <c r="AD17"/>
  <c r="AK16"/>
  <c r="AJ16"/>
  <c r="AI16"/>
  <c r="AH16"/>
  <c r="AG16"/>
  <c r="AF16"/>
  <c r="AE16"/>
  <c r="AD16"/>
  <c r="AK15"/>
  <c r="AJ15"/>
  <c r="AI15"/>
  <c r="AH15"/>
  <c r="AG15"/>
  <c r="AF15"/>
  <c r="AE15"/>
  <c r="AD15"/>
  <c r="AK14"/>
  <c r="AJ14"/>
  <c r="AI14"/>
  <c r="AH14"/>
  <c r="AG14"/>
  <c r="AF14"/>
  <c r="AE14"/>
  <c r="AD14"/>
  <c r="AK13"/>
  <c r="AJ13"/>
  <c r="AI13"/>
  <c r="AH13"/>
  <c r="AG13"/>
  <c r="AF13"/>
  <c r="AE13"/>
  <c r="AD13"/>
  <c r="AK12"/>
  <c r="AJ12"/>
  <c r="AI12"/>
  <c r="AH12"/>
  <c r="AG12"/>
  <c r="AF12"/>
  <c r="AE12"/>
  <c r="AD12"/>
  <c r="AB42"/>
  <c r="AA42"/>
  <c r="Z42"/>
  <c r="Y42"/>
  <c r="X42"/>
  <c r="W42"/>
  <c r="V42"/>
  <c r="U42"/>
  <c r="AB41"/>
  <c r="AA41"/>
  <c r="Z41"/>
  <c r="Y41"/>
  <c r="X41"/>
  <c r="W41"/>
  <c r="V41"/>
  <c r="U41"/>
  <c r="AB40"/>
  <c r="AA40"/>
  <c r="Z40"/>
  <c r="Y40"/>
  <c r="X40"/>
  <c r="W40"/>
  <c r="V40"/>
  <c r="U40"/>
  <c r="AB39"/>
  <c r="AA39"/>
  <c r="Z39"/>
  <c r="Y39"/>
  <c r="X39"/>
  <c r="W39"/>
  <c r="V39"/>
  <c r="U39"/>
  <c r="AB38"/>
  <c r="AA38"/>
  <c r="Z38"/>
  <c r="Y38"/>
  <c r="X38"/>
  <c r="W38"/>
  <c r="V38"/>
  <c r="U38"/>
  <c r="AB37"/>
  <c r="AA37"/>
  <c r="Z37"/>
  <c r="Y37"/>
  <c r="X37"/>
  <c r="W37"/>
  <c r="V37"/>
  <c r="U37"/>
  <c r="AB36"/>
  <c r="AA36"/>
  <c r="Z36"/>
  <c r="Y36"/>
  <c r="X36"/>
  <c r="W36"/>
  <c r="V36"/>
  <c r="U36"/>
  <c r="AB34"/>
  <c r="AA34"/>
  <c r="Z34"/>
  <c r="Y34"/>
  <c r="X34"/>
  <c r="W34"/>
  <c r="V34"/>
  <c r="U34"/>
  <c r="AB33"/>
  <c r="AA33"/>
  <c r="Z33"/>
  <c r="Y33"/>
  <c r="X33"/>
  <c r="W33"/>
  <c r="V33"/>
  <c r="U33"/>
  <c r="AB32"/>
  <c r="AA32"/>
  <c r="Z32"/>
  <c r="Y32"/>
  <c r="X32"/>
  <c r="W32"/>
  <c r="V32"/>
  <c r="U32"/>
  <c r="AB31"/>
  <c r="AA31"/>
  <c r="Z31"/>
  <c r="Y31"/>
  <c r="X31"/>
  <c r="W31"/>
  <c r="V31"/>
  <c r="U31"/>
  <c r="AB30"/>
  <c r="AA30"/>
  <c r="Z30"/>
  <c r="Y30"/>
  <c r="X30"/>
  <c r="W30"/>
  <c r="V30"/>
  <c r="U30"/>
  <c r="AB29"/>
  <c r="AA29"/>
  <c r="Z29"/>
  <c r="Y29"/>
  <c r="X29"/>
  <c r="W29"/>
  <c r="V29"/>
  <c r="U29"/>
  <c r="AB28"/>
  <c r="AA28"/>
  <c r="Z28"/>
  <c r="Y28"/>
  <c r="X28"/>
  <c r="W28"/>
  <c r="V28"/>
  <c r="U28"/>
  <c r="AB26"/>
  <c r="AA26"/>
  <c r="Z26"/>
  <c r="Y26"/>
  <c r="X26"/>
  <c r="W26"/>
  <c r="V26"/>
  <c r="U26"/>
  <c r="AB25"/>
  <c r="AA25"/>
  <c r="Z25"/>
  <c r="Y25"/>
  <c r="X25"/>
  <c r="W25"/>
  <c r="V25"/>
  <c r="U25"/>
  <c r="AB24"/>
  <c r="AA24"/>
  <c r="Z24"/>
  <c r="Y24"/>
  <c r="X24"/>
  <c r="W24"/>
  <c r="V24"/>
  <c r="U24"/>
  <c r="AB23"/>
  <c r="AA23"/>
  <c r="Z23"/>
  <c r="Y23"/>
  <c r="X23"/>
  <c r="W23"/>
  <c r="V23"/>
  <c r="U23"/>
  <c r="AB22"/>
  <c r="AA22"/>
  <c r="Z22"/>
  <c r="Y22"/>
  <c r="X22"/>
  <c r="W22"/>
  <c r="V22"/>
  <c r="U22"/>
  <c r="AB21"/>
  <c r="AA21"/>
  <c r="Z21"/>
  <c r="Y21"/>
  <c r="X21"/>
  <c r="W21"/>
  <c r="V21"/>
  <c r="U21"/>
  <c r="AB20"/>
  <c r="AA20"/>
  <c r="Z20"/>
  <c r="Y20"/>
  <c r="X20"/>
  <c r="W20"/>
  <c r="V20"/>
  <c r="U20"/>
  <c r="AB18"/>
  <c r="AA18"/>
  <c r="Z18"/>
  <c r="Y18"/>
  <c r="X18"/>
  <c r="W18"/>
  <c r="V18"/>
  <c r="U18"/>
  <c r="AB17"/>
  <c r="AA17"/>
  <c r="Z17"/>
  <c r="Y17"/>
  <c r="X17"/>
  <c r="W17"/>
  <c r="V17"/>
  <c r="U17"/>
  <c r="AB16"/>
  <c r="AA16"/>
  <c r="Z16"/>
  <c r="Y16"/>
  <c r="X16"/>
  <c r="W16"/>
  <c r="V16"/>
  <c r="U16"/>
  <c r="AB15"/>
  <c r="AA15"/>
  <c r="Z15"/>
  <c r="Y15"/>
  <c r="X15"/>
  <c r="W15"/>
  <c r="V15"/>
  <c r="U15"/>
  <c r="AB14"/>
  <c r="AA14"/>
  <c r="Z14"/>
  <c r="Y14"/>
  <c r="X14"/>
  <c r="W14"/>
  <c r="V14"/>
  <c r="U14"/>
  <c r="AB13"/>
  <c r="AA13"/>
  <c r="Z13"/>
  <c r="Y13"/>
  <c r="X13"/>
  <c r="W13"/>
  <c r="V13"/>
  <c r="U13"/>
  <c r="AB12"/>
  <c r="AA12"/>
  <c r="Z12"/>
  <c r="Y12"/>
  <c r="X12"/>
  <c r="W12"/>
  <c r="V12"/>
  <c r="U12"/>
  <c r="S42"/>
  <c r="R42"/>
  <c r="Q42"/>
  <c r="P42"/>
  <c r="O42"/>
  <c r="N42"/>
  <c r="M42"/>
  <c r="L42"/>
  <c r="S41"/>
  <c r="R41"/>
  <c r="Q41"/>
  <c r="P41"/>
  <c r="O41"/>
  <c r="N41"/>
  <c r="M41"/>
  <c r="L41"/>
  <c r="S40"/>
  <c r="R40"/>
  <c r="Q40"/>
  <c r="P40"/>
  <c r="O40"/>
  <c r="N40"/>
  <c r="M40"/>
  <c r="L40"/>
  <c r="S39"/>
  <c r="R39"/>
  <c r="Q39"/>
  <c r="P39"/>
  <c r="O39"/>
  <c r="N39"/>
  <c r="M39"/>
  <c r="L39"/>
  <c r="S38"/>
  <c r="R38"/>
  <c r="Q38"/>
  <c r="P38"/>
  <c r="O38"/>
  <c r="N38"/>
  <c r="M38"/>
  <c r="L38"/>
  <c r="S37"/>
  <c r="R37"/>
  <c r="Q37"/>
  <c r="P37"/>
  <c r="O37"/>
  <c r="N37"/>
  <c r="M37"/>
  <c r="L37"/>
  <c r="S36"/>
  <c r="R36"/>
  <c r="Q36"/>
  <c r="P36"/>
  <c r="O36"/>
  <c r="N36"/>
  <c r="M36"/>
  <c r="L36"/>
  <c r="S34"/>
  <c r="R34"/>
  <c r="Q34"/>
  <c r="P34"/>
  <c r="O34"/>
  <c r="N34"/>
  <c r="M34"/>
  <c r="L34"/>
  <c r="S33"/>
  <c r="R33"/>
  <c r="Q33"/>
  <c r="P33"/>
  <c r="O33"/>
  <c r="N33"/>
  <c r="M33"/>
  <c r="L33"/>
  <c r="S32"/>
  <c r="R32"/>
  <c r="Q32"/>
  <c r="P32"/>
  <c r="O32"/>
  <c r="N32"/>
  <c r="M32"/>
  <c r="L32"/>
  <c r="S31"/>
  <c r="R31"/>
  <c r="Q31"/>
  <c r="P31"/>
  <c r="O31"/>
  <c r="N31"/>
  <c r="M31"/>
  <c r="L31"/>
  <c r="S30"/>
  <c r="R30"/>
  <c r="Q30"/>
  <c r="P30"/>
  <c r="O30"/>
  <c r="N30"/>
  <c r="M30"/>
  <c r="L30"/>
  <c r="S29"/>
  <c r="R29"/>
  <c r="Q29"/>
  <c r="P29"/>
  <c r="O29"/>
  <c r="N29"/>
  <c r="M29"/>
  <c r="L29"/>
  <c r="S28"/>
  <c r="R28"/>
  <c r="Q28"/>
  <c r="P28"/>
  <c r="O28"/>
  <c r="N28"/>
  <c r="M28"/>
  <c r="L28"/>
  <c r="S26"/>
  <c r="R26"/>
  <c r="Q26"/>
  <c r="P26"/>
  <c r="O26"/>
  <c r="N26"/>
  <c r="M26"/>
  <c r="L26"/>
  <c r="S25"/>
  <c r="R25"/>
  <c r="Q25"/>
  <c r="P25"/>
  <c r="O25"/>
  <c r="N25"/>
  <c r="M25"/>
  <c r="L25"/>
  <c r="S24"/>
  <c r="R24"/>
  <c r="Q24"/>
  <c r="P24"/>
  <c r="O24"/>
  <c r="N24"/>
  <c r="M24"/>
  <c r="L24"/>
  <c r="S23"/>
  <c r="R23"/>
  <c r="Q23"/>
  <c r="P23"/>
  <c r="O23"/>
  <c r="N23"/>
  <c r="M23"/>
  <c r="L23"/>
  <c r="S22"/>
  <c r="R22"/>
  <c r="Q22"/>
  <c r="P22"/>
  <c r="O22"/>
  <c r="N22"/>
  <c r="M22"/>
  <c r="L22"/>
  <c r="S21"/>
  <c r="R21"/>
  <c r="Q21"/>
  <c r="N21"/>
  <c r="P21"/>
  <c r="O21"/>
  <c r="M21"/>
  <c r="L21"/>
  <c r="S20"/>
  <c r="R20"/>
  <c r="Q20"/>
  <c r="P20"/>
  <c r="O20"/>
  <c r="N20"/>
  <c r="M20"/>
  <c r="L20"/>
  <c r="S18"/>
  <c r="R18"/>
  <c r="Q18"/>
  <c r="P18"/>
  <c r="O18"/>
  <c r="N18"/>
  <c r="M18"/>
  <c r="L18"/>
  <c r="S17"/>
  <c r="R17"/>
  <c r="Q17"/>
  <c r="P17"/>
  <c r="O17"/>
  <c r="N17"/>
  <c r="M17"/>
  <c r="L17"/>
  <c r="S16"/>
  <c r="R16"/>
  <c r="Q16"/>
  <c r="P16"/>
  <c r="O16"/>
  <c r="N16"/>
  <c r="M16"/>
  <c r="L16"/>
  <c r="S15"/>
  <c r="R15"/>
  <c r="Q15"/>
  <c r="P15"/>
  <c r="O15"/>
  <c r="N15"/>
  <c r="M15"/>
  <c r="L15"/>
  <c r="S14"/>
  <c r="R14"/>
  <c r="Q14"/>
  <c r="P14"/>
  <c r="O14"/>
  <c r="N14"/>
  <c r="M14"/>
  <c r="L14"/>
  <c r="S13"/>
  <c r="R13"/>
  <c r="Q13"/>
  <c r="P13"/>
  <c r="O13"/>
  <c r="N13"/>
  <c r="M13"/>
  <c r="L13"/>
  <c r="S12"/>
  <c r="R12"/>
  <c r="Q12"/>
  <c r="P12"/>
  <c r="O12"/>
  <c r="N12"/>
  <c r="M12"/>
  <c r="L12"/>
  <c r="J18"/>
  <c r="I18"/>
  <c r="H18"/>
  <c r="G18"/>
  <c r="F18"/>
  <c r="E18"/>
  <c r="D18"/>
  <c r="C18"/>
  <c r="J17"/>
  <c r="I17"/>
  <c r="H17"/>
  <c r="G17"/>
  <c r="F17"/>
  <c r="E17"/>
  <c r="D17"/>
  <c r="C17"/>
  <c r="J16"/>
  <c r="I16"/>
  <c r="H16"/>
  <c r="G16"/>
  <c r="F16"/>
  <c r="E16"/>
  <c r="D16"/>
  <c r="C16"/>
  <c r="J15"/>
  <c r="I15"/>
  <c r="H15"/>
  <c r="G15"/>
  <c r="F15"/>
  <c r="E15"/>
  <c r="D15"/>
  <c r="C15"/>
  <c r="J14"/>
  <c r="I14"/>
  <c r="H14"/>
  <c r="G14"/>
  <c r="F14"/>
  <c r="E14"/>
  <c r="D14"/>
  <c r="C14"/>
  <c r="J13"/>
  <c r="I13"/>
  <c r="H13"/>
  <c r="G13"/>
  <c r="F13"/>
  <c r="E13"/>
  <c r="D13"/>
  <c r="C13"/>
  <c r="J12"/>
  <c r="I12"/>
  <c r="H12"/>
  <c r="G12"/>
  <c r="F12"/>
  <c r="E12"/>
  <c r="D12"/>
  <c r="C12"/>
  <c r="T3"/>
  <c r="T4"/>
  <c r="T5"/>
  <c r="T6"/>
  <c r="T7"/>
  <c r="T8"/>
  <c r="T9"/>
  <c r="T2"/>
  <c r="S3"/>
  <c r="S4"/>
  <c r="S5"/>
  <c r="S6"/>
  <c r="S7"/>
  <c r="S8"/>
  <c r="S9"/>
  <c r="S2"/>
  <c r="R5"/>
  <c r="R3"/>
  <c r="R4"/>
  <c r="R6"/>
  <c r="R7"/>
  <c r="R8"/>
  <c r="R9"/>
  <c r="R2"/>
  <c r="P9"/>
  <c r="P8"/>
  <c r="P7"/>
  <c r="P6"/>
  <c r="P5"/>
  <c r="P4"/>
  <c r="P3"/>
  <c r="P2"/>
  <c r="O9"/>
  <c r="O8"/>
  <c r="O7"/>
  <c r="O6"/>
  <c r="O5"/>
  <c r="O4"/>
  <c r="O3"/>
  <c r="O2"/>
  <c r="N9"/>
  <c r="N8"/>
  <c r="N7"/>
  <c r="N6"/>
  <c r="N5"/>
  <c r="N4"/>
  <c r="N3"/>
  <c r="N2"/>
  <c r="M9"/>
  <c r="M8"/>
  <c r="M7"/>
  <c r="M6"/>
  <c r="M5"/>
  <c r="M4"/>
  <c r="M3"/>
  <c r="M2"/>
  <c r="L9"/>
  <c r="L8"/>
  <c r="L7"/>
  <c r="L6"/>
  <c r="L5"/>
  <c r="L4"/>
  <c r="L3"/>
  <c r="L2"/>
  <c r="K9"/>
  <c r="K8"/>
  <c r="K7"/>
  <c r="K6"/>
  <c r="K5"/>
  <c r="K4"/>
  <c r="K3"/>
  <c r="K2"/>
  <c r="J9"/>
  <c r="J8"/>
  <c r="J7"/>
  <c r="J6"/>
  <c r="J5"/>
  <c r="J4"/>
  <c r="J3"/>
  <c r="J2"/>
  <c r="I9"/>
  <c r="I8"/>
  <c r="I7"/>
  <c r="I6"/>
  <c r="I5"/>
  <c r="I4"/>
  <c r="I3"/>
  <c r="I2"/>
  <c r="H9"/>
  <c r="H8"/>
  <c r="H7"/>
  <c r="H6"/>
  <c r="H5"/>
  <c r="H4"/>
  <c r="H3"/>
  <c r="H2"/>
  <c r="G9"/>
  <c r="G8"/>
  <c r="G7"/>
  <c r="G6"/>
  <c r="G5"/>
  <c r="G4"/>
  <c r="G3"/>
  <c r="G2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<sst xmlns="http://schemas.openxmlformats.org/spreadsheetml/2006/main" count="801" uniqueCount="46">
  <si>
    <t>nor</t>
  </si>
  <si>
    <t>neg</t>
  </si>
  <si>
    <t>h_nor</t>
  </si>
  <si>
    <t>h_neg</t>
  </si>
  <si>
    <t>s_nor</t>
  </si>
  <si>
    <t>s_neg</t>
  </si>
  <si>
    <t>s_all</t>
  </si>
  <si>
    <t>t_s_all</t>
  </si>
  <si>
    <t>det</t>
  </si>
  <si>
    <t>avg rnd</t>
  </si>
  <si>
    <t>min rnd</t>
  </si>
  <si>
    <t>max rnd</t>
  </si>
  <si>
    <t>C1</t>
  </si>
  <si>
    <t>C2</t>
  </si>
  <si>
    <t>C3</t>
  </si>
  <si>
    <t>SSK</t>
  </si>
  <si>
    <t>SSKR</t>
  </si>
  <si>
    <t>MSK</t>
  </si>
  <si>
    <t>MSKR</t>
  </si>
  <si>
    <t>eps</t>
  </si>
  <si>
    <t>eps=0.01</t>
  </si>
  <si>
    <t>att</t>
  </si>
  <si>
    <t>model</t>
  </si>
  <si>
    <t>eps=0.03</t>
  </si>
  <si>
    <t>eps=0.05</t>
  </si>
  <si>
    <t>rnd1</t>
  </si>
  <si>
    <t>rnd2</t>
  </si>
  <si>
    <t>rnd3</t>
  </si>
  <si>
    <t>rnd4</t>
  </si>
  <si>
    <t>rnd5</t>
  </si>
  <si>
    <t>rnd6</t>
  </si>
  <si>
    <t>rnd7</t>
  </si>
  <si>
    <t>rnd8</t>
  </si>
  <si>
    <t>rnd9</t>
  </si>
  <si>
    <t>rnd10</t>
  </si>
  <si>
    <t>diff</t>
  </si>
  <si>
    <t>ratio</t>
  </si>
  <si>
    <t>avg nor</t>
  </si>
  <si>
    <t>avg s_all</t>
  </si>
  <si>
    <t>avg</t>
  </si>
  <si>
    <t>FGSM</t>
  </si>
  <si>
    <t>PGD</t>
  </si>
  <si>
    <t>Original data set</t>
  </si>
  <si>
    <t>Damaged data sets</t>
  </si>
  <si>
    <t>FGSM-Analyisis</t>
  </si>
  <si>
    <t>PGD-Analysis</t>
  </si>
</sst>
</file>

<file path=xl/styles.xml><?xml version="1.0" encoding="utf-8"?>
<styleSheet xmlns="http://schemas.openxmlformats.org/spreadsheetml/2006/main">
  <numFmts count="1">
    <numFmt numFmtId="164" formatCode="0.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151"/>
  <sheetViews>
    <sheetView tabSelected="1" workbookViewId="0">
      <selection activeCell="A119" sqref="A119"/>
    </sheetView>
  </sheetViews>
  <sheetFormatPr defaultRowHeight="15"/>
  <cols>
    <col min="1" max="1" width="19.5703125" customWidth="1"/>
    <col min="2" max="2" width="11.42578125" customWidth="1"/>
    <col min="3" max="3" width="9.42578125" customWidth="1"/>
  </cols>
  <sheetData>
    <row r="1" spans="1:37">
      <c r="A1" t="s">
        <v>42</v>
      </c>
      <c r="B1" t="s">
        <v>8</v>
      </c>
      <c r="C1" t="s">
        <v>10</v>
      </c>
      <c r="D1" t="s">
        <v>11</v>
      </c>
      <c r="E1" t="s">
        <v>9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</row>
    <row r="2" spans="1:37">
      <c r="A2" t="s">
        <v>0</v>
      </c>
      <c r="B2">
        <f>16444/18800</f>
        <v>0.87468085106382976</v>
      </c>
      <c r="C2">
        <v>0.86629999999999996</v>
      </c>
      <c r="D2">
        <v>0.87909999999999999</v>
      </c>
      <c r="E2">
        <v>0.86980000000000002</v>
      </c>
      <c r="G2">
        <f>16340/18800</f>
        <v>0.86914893617021272</v>
      </c>
      <c r="H2">
        <f>16292/18800</f>
        <v>0.8665957446808511</v>
      </c>
      <c r="I2">
        <f>16407/18800</f>
        <v>0.87271276595744685</v>
      </c>
      <c r="J2">
        <f>16287/18800</f>
        <v>0.86632978723404253</v>
      </c>
      <c r="K2">
        <f>16302/18800</f>
        <v>0.86712765957446813</v>
      </c>
      <c r="L2">
        <f>16419/18800</f>
        <v>0.87335106382978722</v>
      </c>
      <c r="M2">
        <f>16290/18800</f>
        <v>0.86648936170212765</v>
      </c>
      <c r="N2">
        <f>16340/18800</f>
        <v>0.86914893617021272</v>
      </c>
      <c r="O2">
        <f>16527/18800</f>
        <v>0.87909574468085105</v>
      </c>
      <c r="P2">
        <f>16312/18800</f>
        <v>0.86765957446808506</v>
      </c>
      <c r="R2">
        <f>MIN(G2:P2)</f>
        <v>0.86632978723404253</v>
      </c>
      <c r="S2">
        <f>MAX(G2:P2)</f>
        <v>0.87909574468085105</v>
      </c>
      <c r="T2">
        <f>AVERAGE(G2:P2)</f>
        <v>0.8697659574468084</v>
      </c>
    </row>
    <row r="3" spans="1:37">
      <c r="A3" t="s">
        <v>1</v>
      </c>
      <c r="B3">
        <f>16423/18800</f>
        <v>0.87356382978723401</v>
      </c>
      <c r="C3">
        <v>0.87009999999999998</v>
      </c>
      <c r="D3">
        <v>0.87690000000000001</v>
      </c>
      <c r="E3">
        <v>0.874</v>
      </c>
      <c r="G3">
        <f>16479/18800</f>
        <v>0.87654255319148933</v>
      </c>
      <c r="H3">
        <f>16484/18800</f>
        <v>0.8768085106382979</v>
      </c>
      <c r="I3">
        <f>16485/18800</f>
        <v>0.87686170212765957</v>
      </c>
      <c r="J3">
        <f>16480/18800</f>
        <v>0.87659574468085111</v>
      </c>
      <c r="K3">
        <f>16358/18800</f>
        <v>0.87010638297872345</v>
      </c>
      <c r="L3">
        <f>16372/18800</f>
        <v>0.87085106382978728</v>
      </c>
      <c r="M3">
        <f>16409/18800</f>
        <v>0.87281914893617019</v>
      </c>
      <c r="N3">
        <f>16357/18800</f>
        <v>0.87005319148936167</v>
      </c>
      <c r="O3">
        <f>16460/18800</f>
        <v>0.87553191489361704</v>
      </c>
      <c r="P3">
        <f>16419/18800</f>
        <v>0.87335106382978722</v>
      </c>
      <c r="R3">
        <f t="shared" ref="R3:R9" si="0">MIN(G3:P3)</f>
        <v>0.87005319148936167</v>
      </c>
      <c r="S3">
        <f t="shared" ref="S3:S9" si="1">MAX(G3:P3)</f>
        <v>0.87686170212765957</v>
      </c>
      <c r="T3">
        <f t="shared" ref="T3:T9" si="2">AVERAGE(G3:P3)</f>
        <v>0.87395212765957453</v>
      </c>
    </row>
    <row r="4" spans="1:37">
      <c r="A4" t="s">
        <v>2</v>
      </c>
      <c r="B4">
        <f>16514/18800</f>
        <v>0.8784042553191489</v>
      </c>
      <c r="C4">
        <v>0.872</v>
      </c>
      <c r="D4">
        <v>0.87690000000000001</v>
      </c>
      <c r="E4">
        <v>0.87490000000000001</v>
      </c>
      <c r="G4">
        <f>16477/18800</f>
        <v>0.87643617021276599</v>
      </c>
      <c r="H4">
        <f>16465/18800</f>
        <v>0.8757978723404255</v>
      </c>
      <c r="I4">
        <f>16480/18800</f>
        <v>0.87659574468085111</v>
      </c>
      <c r="J4">
        <f>16426/18800</f>
        <v>0.87372340425531914</v>
      </c>
      <c r="K4">
        <f>16410/18800</f>
        <v>0.87287234042553197</v>
      </c>
      <c r="L4">
        <f>16460/18800</f>
        <v>0.87553191489361704</v>
      </c>
      <c r="M4">
        <f>16393/18800</f>
        <v>0.87196808510638302</v>
      </c>
      <c r="N4">
        <f>16489/18800</f>
        <v>0.87707446808510636</v>
      </c>
      <c r="O4">
        <f>16426/18800</f>
        <v>0.87372340425531914</v>
      </c>
      <c r="P4">
        <f>16449/18800</f>
        <v>0.87494680851063833</v>
      </c>
      <c r="R4">
        <f t="shared" si="0"/>
        <v>0.87196808510638302</v>
      </c>
      <c r="S4">
        <f t="shared" si="1"/>
        <v>0.87707446808510636</v>
      </c>
      <c r="T4">
        <f t="shared" si="2"/>
        <v>0.87486702127659566</v>
      </c>
    </row>
    <row r="5" spans="1:37">
      <c r="A5" t="s">
        <v>3</v>
      </c>
      <c r="B5">
        <f>16485/18800</f>
        <v>0.87686170212765957</v>
      </c>
      <c r="C5">
        <v>0.87139999999999995</v>
      </c>
      <c r="D5">
        <v>0.87839999999999996</v>
      </c>
      <c r="E5">
        <v>0.87570000000000003</v>
      </c>
      <c r="G5">
        <f>16437/18800</f>
        <v>0.87430851063829784</v>
      </c>
      <c r="H5">
        <f>16509/18800</f>
        <v>0.87813829787234043</v>
      </c>
      <c r="I5">
        <f>16450/18800</f>
        <v>0.875</v>
      </c>
      <c r="J5">
        <f>16496/18800</f>
        <v>0.87744680851063828</v>
      </c>
      <c r="K5">
        <f>16429/18800</f>
        <v>0.87388297872340426</v>
      </c>
      <c r="L5">
        <f>16467/18800</f>
        <v>0.87590425531914895</v>
      </c>
      <c r="M5">
        <f>16494/18800</f>
        <v>0.87734042553191494</v>
      </c>
      <c r="N5">
        <f>16383/18800</f>
        <v>0.87143617021276598</v>
      </c>
      <c r="O5">
        <f>16513/18800</f>
        <v>0.87835106382978723</v>
      </c>
      <c r="P5">
        <f>16459/18800</f>
        <v>0.87547872340425537</v>
      </c>
      <c r="R5">
        <f>MIN(G5:P5)</f>
        <v>0.87143617021276598</v>
      </c>
      <c r="S5">
        <f t="shared" si="1"/>
        <v>0.87835106382978723</v>
      </c>
      <c r="T5">
        <f t="shared" si="2"/>
        <v>0.87572872340425545</v>
      </c>
    </row>
    <row r="6" spans="1:37">
      <c r="A6" t="s">
        <v>4</v>
      </c>
      <c r="B6">
        <f>16601/18800</f>
        <v>0.88303191489361699</v>
      </c>
      <c r="C6">
        <v>0.87770000000000004</v>
      </c>
      <c r="D6">
        <v>0.8831</v>
      </c>
      <c r="E6">
        <v>0.88019999999999998</v>
      </c>
      <c r="G6">
        <f>16531/18800</f>
        <v>0.87930851063829785</v>
      </c>
      <c r="H6">
        <f>16543/18800</f>
        <v>0.87994680851063833</v>
      </c>
      <c r="I6">
        <f>16593/18800</f>
        <v>0.8826063829787234</v>
      </c>
      <c r="J6">
        <f>16500/18800</f>
        <v>0.87765957446808507</v>
      </c>
      <c r="K6">
        <f>16526/18800</f>
        <v>0.87904255319148938</v>
      </c>
      <c r="L6">
        <f>16578/18800</f>
        <v>0.8818085106382979</v>
      </c>
      <c r="M6">
        <f>16518/18800</f>
        <v>0.8786170212765958</v>
      </c>
      <c r="N6">
        <f>16582/18800</f>
        <v>0.8820212765957447</v>
      </c>
      <c r="O6">
        <f>16603/18800</f>
        <v>0.88313829787234044</v>
      </c>
      <c r="P6">
        <f>16504/18800</f>
        <v>0.87787234042553186</v>
      </c>
      <c r="R6">
        <f t="shared" si="0"/>
        <v>0.87765957446808507</v>
      </c>
      <c r="S6">
        <f t="shared" si="1"/>
        <v>0.88313829787234044</v>
      </c>
      <c r="T6">
        <f t="shared" si="2"/>
        <v>0.88020212765957451</v>
      </c>
    </row>
    <row r="7" spans="1:37">
      <c r="A7" t="s">
        <v>5</v>
      </c>
      <c r="B7">
        <f>16616/18800</f>
        <v>0.8838297872340426</v>
      </c>
      <c r="C7">
        <v>0.88080000000000003</v>
      </c>
      <c r="D7">
        <v>0.88360000000000005</v>
      </c>
      <c r="E7">
        <v>0.88239999999999996</v>
      </c>
      <c r="G7">
        <f>16599/18800</f>
        <v>0.88292553191489365</v>
      </c>
      <c r="H7">
        <f>16597/18800</f>
        <v>0.88281914893617019</v>
      </c>
      <c r="I7">
        <f>16590/18800</f>
        <v>0.88244680851063828</v>
      </c>
      <c r="J7">
        <f>16611/18800</f>
        <v>0.88356382978723402</v>
      </c>
      <c r="K7">
        <f>16583/18800</f>
        <v>0.88207446808510637</v>
      </c>
      <c r="L7">
        <f>16559/18800</f>
        <v>0.8807978723404255</v>
      </c>
      <c r="M7">
        <f>16590/18800</f>
        <v>0.88244680851063828</v>
      </c>
      <c r="N7">
        <f>16570/18800</f>
        <v>0.88138297872340421</v>
      </c>
      <c r="O7">
        <f>16601/18800</f>
        <v>0.88303191489361699</v>
      </c>
      <c r="P7">
        <f>16591/18800</f>
        <v>0.88249999999999995</v>
      </c>
      <c r="R7">
        <f t="shared" si="0"/>
        <v>0.8807978723404255</v>
      </c>
      <c r="S7">
        <f t="shared" si="1"/>
        <v>0.88356382978723402</v>
      </c>
      <c r="T7">
        <f t="shared" si="2"/>
        <v>0.8823989361702127</v>
      </c>
    </row>
    <row r="8" spans="1:37">
      <c r="A8" t="s">
        <v>6</v>
      </c>
      <c r="B8">
        <f>16663/18800</f>
        <v>0.88632978723404254</v>
      </c>
      <c r="C8">
        <v>0.88429999999999997</v>
      </c>
      <c r="D8">
        <v>0.88770000000000004</v>
      </c>
      <c r="E8">
        <v>0.88629999999999998</v>
      </c>
      <c r="G8">
        <f>16689/18800</f>
        <v>0.88771276595744686</v>
      </c>
      <c r="H8">
        <f>16664/18800</f>
        <v>0.88638297872340421</v>
      </c>
      <c r="I8">
        <f>16636/18800</f>
        <v>0.88489361702127656</v>
      </c>
      <c r="J8">
        <f>16656/18800</f>
        <v>0.88595744680851063</v>
      </c>
      <c r="K8">
        <f>16640/18800</f>
        <v>0.88510638297872335</v>
      </c>
      <c r="L8">
        <f>16684/18800</f>
        <v>0.88744680851063829</v>
      </c>
      <c r="M8">
        <f>16661/18800</f>
        <v>0.8862234042553192</v>
      </c>
      <c r="N8">
        <f>16685/18800</f>
        <v>0.88749999999999996</v>
      </c>
      <c r="O8">
        <f>16687/18800</f>
        <v>0.88760638297872341</v>
      </c>
      <c r="P8">
        <f>16625/18800</f>
        <v>0.88430851063829785</v>
      </c>
      <c r="R8">
        <f t="shared" si="0"/>
        <v>0.88430851063829785</v>
      </c>
      <c r="S8">
        <f t="shared" si="1"/>
        <v>0.88771276595744686</v>
      </c>
      <c r="T8">
        <f t="shared" si="2"/>
        <v>0.88631382978723416</v>
      </c>
    </row>
    <row r="9" spans="1:37">
      <c r="A9" t="s">
        <v>7</v>
      </c>
      <c r="B9">
        <f>16415/18800</f>
        <v>0.87313829787234043</v>
      </c>
      <c r="C9">
        <v>0.87119999999999997</v>
      </c>
      <c r="D9">
        <v>0.87909999999999999</v>
      </c>
      <c r="E9">
        <v>0.87549999999999994</v>
      </c>
      <c r="G9">
        <f>16473/18800</f>
        <v>0.87622340425531919</v>
      </c>
      <c r="H9">
        <f>16456/18800</f>
        <v>0.87531914893617024</v>
      </c>
      <c r="I9">
        <f>16443/18800</f>
        <v>0.87462765957446809</v>
      </c>
      <c r="J9">
        <f>16490/18800</f>
        <v>0.87712765957446803</v>
      </c>
      <c r="K9">
        <f>16488/18800</f>
        <v>0.87702127659574469</v>
      </c>
      <c r="L9">
        <f>16528/18800</f>
        <v>0.87914893617021272</v>
      </c>
      <c r="M9">
        <f>16380/18800</f>
        <v>0.87127659574468086</v>
      </c>
      <c r="N9">
        <f>16520/18800</f>
        <v>0.87872340425531914</v>
      </c>
      <c r="O9">
        <f>16378/18800</f>
        <v>0.87117021276595741</v>
      </c>
      <c r="P9">
        <f>16431/18800</f>
        <v>0.87398936170212771</v>
      </c>
      <c r="R9">
        <f t="shared" si="0"/>
        <v>0.87117021276595741</v>
      </c>
      <c r="S9">
        <f t="shared" si="1"/>
        <v>0.87914893617021272</v>
      </c>
      <c r="T9">
        <f t="shared" si="2"/>
        <v>0.87546276595744676</v>
      </c>
    </row>
    <row r="10" spans="1:37">
      <c r="A10" t="s">
        <v>43</v>
      </c>
    </row>
    <row r="11" spans="1:37">
      <c r="C11" t="s">
        <v>0</v>
      </c>
      <c r="D11" t="s">
        <v>1</v>
      </c>
      <c r="E11" t="s">
        <v>2</v>
      </c>
      <c r="F11" t="s">
        <v>3</v>
      </c>
      <c r="G11" t="s">
        <v>4</v>
      </c>
      <c r="H11" t="s">
        <v>5</v>
      </c>
      <c r="I11" t="s">
        <v>6</v>
      </c>
      <c r="J11" t="s">
        <v>7</v>
      </c>
      <c r="L11" t="s">
        <v>0</v>
      </c>
      <c r="M11" t="s">
        <v>1</v>
      </c>
      <c r="N11" t="s">
        <v>2</v>
      </c>
      <c r="O11" t="s">
        <v>3</v>
      </c>
      <c r="P11" t="s">
        <v>4</v>
      </c>
      <c r="Q11" t="s">
        <v>5</v>
      </c>
      <c r="R11" t="s">
        <v>6</v>
      </c>
      <c r="S11" t="s">
        <v>7</v>
      </c>
      <c r="U11" t="s">
        <v>0</v>
      </c>
      <c r="V11" t="s">
        <v>1</v>
      </c>
      <c r="W11" t="s">
        <v>2</v>
      </c>
      <c r="X11" t="s">
        <v>3</v>
      </c>
      <c r="Y11" t="s">
        <v>4</v>
      </c>
      <c r="Z11" t="s">
        <v>5</v>
      </c>
      <c r="AA11" t="s">
        <v>6</v>
      </c>
      <c r="AB11" t="s">
        <v>7</v>
      </c>
      <c r="AD11" t="s">
        <v>0</v>
      </c>
      <c r="AE11" t="s">
        <v>1</v>
      </c>
      <c r="AF11" t="s">
        <v>2</v>
      </c>
      <c r="AG11" t="s">
        <v>3</v>
      </c>
      <c r="AH11" t="s">
        <v>4</v>
      </c>
      <c r="AI11" t="s">
        <v>5</v>
      </c>
      <c r="AJ11" t="s">
        <v>6</v>
      </c>
      <c r="AK11" t="s">
        <v>7</v>
      </c>
    </row>
    <row r="12" spans="1:37">
      <c r="B12" t="s">
        <v>12</v>
      </c>
      <c r="C12">
        <f>16446/18800</f>
        <v>0.87478723404255321</v>
      </c>
      <c r="D12">
        <f>16423/18800</f>
        <v>0.87356382978723401</v>
      </c>
      <c r="E12">
        <f>16515/18800</f>
        <v>0.87845744680851068</v>
      </c>
      <c r="F12">
        <f>16484/18800</f>
        <v>0.8768085106382979</v>
      </c>
      <c r="G12">
        <f>16601/18800</f>
        <v>0.88303191489361699</v>
      </c>
      <c r="H12">
        <f>16616/18800</f>
        <v>0.8838297872340426</v>
      </c>
      <c r="I12">
        <f>16663/18800</f>
        <v>0.88632978723404254</v>
      </c>
      <c r="J12">
        <f>16412/18800</f>
        <v>0.87297872340425531</v>
      </c>
      <c r="L12">
        <f>16343/18800</f>
        <v>0.86930851063829784</v>
      </c>
      <c r="M12">
        <f>16479/18800</f>
        <v>0.87654255319148933</v>
      </c>
      <c r="N12">
        <f>16476/18800</f>
        <v>0.8763829787234042</v>
      </c>
      <c r="O12">
        <f>16431/18800</f>
        <v>0.87398936170212771</v>
      </c>
      <c r="P12">
        <f>16533/18800</f>
        <v>0.8794148936170213</v>
      </c>
      <c r="Q12">
        <f>16596/18800</f>
        <v>0.88276595744680852</v>
      </c>
      <c r="R12">
        <f>16687/18800</f>
        <v>0.88760638297872341</v>
      </c>
      <c r="S12">
        <f>16473/18800</f>
        <v>0.87622340425531919</v>
      </c>
      <c r="U12">
        <f>16305/18800</f>
        <v>0.86728723404255315</v>
      </c>
      <c r="V12">
        <f>16358/18800</f>
        <v>0.87010638297872345</v>
      </c>
      <c r="W12">
        <f>16411/18800</f>
        <v>0.87292553191489364</v>
      </c>
      <c r="X12">
        <f>16429/18800</f>
        <v>0.87388297872340426</v>
      </c>
      <c r="Y12">
        <f>16523/18800</f>
        <v>0.87888297872340426</v>
      </c>
      <c r="Z12">
        <f>16586/18800</f>
        <v>0.88223404255319149</v>
      </c>
      <c r="AA12">
        <f>16639/18800</f>
        <v>0.88505319148936168</v>
      </c>
      <c r="AB12">
        <f>16484/18800</f>
        <v>0.8768085106382979</v>
      </c>
      <c r="AD12">
        <f>16529/18800</f>
        <v>0.87920212765957451</v>
      </c>
      <c r="AE12">
        <f>16462/18800</f>
        <v>0.87563829787234038</v>
      </c>
      <c r="AF12">
        <f>16427/18800</f>
        <v>0.87377659574468081</v>
      </c>
      <c r="AG12">
        <f>16511/18800</f>
        <v>0.87824468085106377</v>
      </c>
      <c r="AH12">
        <f>16605/18800</f>
        <v>0.88324468085106378</v>
      </c>
      <c r="AI12">
        <f>16603/18800</f>
        <v>0.88313829787234044</v>
      </c>
      <c r="AJ12">
        <f>16690/18800</f>
        <v>0.88776595744680853</v>
      </c>
      <c r="AK12">
        <f>16381/18800</f>
        <v>0.87132978723404253</v>
      </c>
    </row>
    <row r="13" spans="1:37">
      <c r="B13" t="s">
        <v>13</v>
      </c>
      <c r="C13">
        <f>16441/18800</f>
        <v>0.87452127659574463</v>
      </c>
      <c r="D13">
        <f>16406/18800</f>
        <v>0.87265957446808506</v>
      </c>
      <c r="E13">
        <f>16501/18800</f>
        <v>0.87771276595744685</v>
      </c>
      <c r="F13">
        <f>16457/18800</f>
        <v>0.87537234042553191</v>
      </c>
      <c r="G13">
        <f>16600/18800</f>
        <v>0.88297872340425532</v>
      </c>
      <c r="H13">
        <f>16599/18800</f>
        <v>0.88292553191489365</v>
      </c>
      <c r="I13">
        <f>16645/18800</f>
        <v>0.88537234042553192</v>
      </c>
      <c r="J13">
        <f>16395/18800</f>
        <v>0.87207446808510636</v>
      </c>
      <c r="L13">
        <f>16330/18800</f>
        <v>0.86861702127659579</v>
      </c>
      <c r="M13">
        <f>16455/18800</f>
        <v>0.87526595744680846</v>
      </c>
      <c r="N13">
        <f>16455/18800</f>
        <v>0.87526595744680846</v>
      </c>
      <c r="O13">
        <f>16412/18800</f>
        <v>0.87297872340425531</v>
      </c>
      <c r="P13">
        <f>16533/18800</f>
        <v>0.8794148936170213</v>
      </c>
      <c r="Q13">
        <f>16590/18800</f>
        <v>0.88244680851063828</v>
      </c>
      <c r="R13">
        <f>16670/18800</f>
        <v>0.88670212765957446</v>
      </c>
      <c r="S13">
        <f>16442/18800</f>
        <v>0.87457446808510642</v>
      </c>
      <c r="U13">
        <f>16286/18800</f>
        <v>0.86627659574468086</v>
      </c>
      <c r="V13">
        <f>16323/18800</f>
        <v>0.86824468085106388</v>
      </c>
      <c r="W13">
        <f>16374/18800</f>
        <v>0.87095744680851062</v>
      </c>
      <c r="X13">
        <f>16402/18800</f>
        <v>0.87244680851063827</v>
      </c>
      <c r="Y13">
        <f>16494/18800</f>
        <v>0.87734042553191494</v>
      </c>
      <c r="Z13">
        <f>16559/18800</f>
        <v>0.8807978723404255</v>
      </c>
      <c r="AA13">
        <f>16624/18800</f>
        <v>0.88425531914893618</v>
      </c>
      <c r="AB13">
        <f>16466/18800</f>
        <v>0.87585106382978728</v>
      </c>
      <c r="AD13">
        <f>16496/18800</f>
        <v>0.87744680851063828</v>
      </c>
      <c r="AE13">
        <f>16446/18800</f>
        <v>0.87478723404255321</v>
      </c>
      <c r="AF13">
        <f>16403/18800</f>
        <v>0.87250000000000005</v>
      </c>
      <c r="AG13">
        <f>16509/18800</f>
        <v>0.87813829787234043</v>
      </c>
      <c r="AH13">
        <f>16579/18800</f>
        <v>0.88186170212765957</v>
      </c>
      <c r="AI13">
        <f>16583/18800</f>
        <v>0.88207446808510637</v>
      </c>
      <c r="AJ13">
        <f>16705/18800</f>
        <v>0.88856382978723403</v>
      </c>
      <c r="AK13">
        <f>16373/18800</f>
        <v>0.87090425531914895</v>
      </c>
    </row>
    <row r="14" spans="1:37">
      <c r="B14" t="s">
        <v>14</v>
      </c>
      <c r="C14">
        <f>15522/18800</f>
        <v>0.82563829787234044</v>
      </c>
      <c r="D14">
        <f>15566/18800</f>
        <v>0.82797872340425527</v>
      </c>
      <c r="E14">
        <f>15504/18800</f>
        <v>0.82468085106382982</v>
      </c>
      <c r="F14">
        <f>15515/18800</f>
        <v>0.82526595744680853</v>
      </c>
      <c r="G14">
        <f>15719/18800</f>
        <v>0.83611702127659571</v>
      </c>
      <c r="H14">
        <f>15751/18800</f>
        <v>0.83781914893617027</v>
      </c>
      <c r="I14">
        <f>15829/18800</f>
        <v>0.84196808510638299</v>
      </c>
      <c r="J14">
        <f>15485/18800</f>
        <v>0.82367021276595742</v>
      </c>
      <c r="L14">
        <f>15389/18800</f>
        <v>0.81856382978723408</v>
      </c>
      <c r="M14">
        <f>15489/18800</f>
        <v>0.82388297872340421</v>
      </c>
      <c r="N14">
        <f>15539/18800</f>
        <v>0.82654255319148939</v>
      </c>
      <c r="O14">
        <f>15486/18800</f>
        <v>0.8237234042553192</v>
      </c>
      <c r="P14">
        <f>15665/18800</f>
        <v>0.83324468085106385</v>
      </c>
      <c r="Q14">
        <f>15712/18800</f>
        <v>0.83574468085106379</v>
      </c>
      <c r="R14">
        <f>15835/18800</f>
        <v>0.84228723404255323</v>
      </c>
      <c r="S14">
        <f>15553/18800</f>
        <v>0.82728723404255322</v>
      </c>
      <c r="U14">
        <f>15379/18800</f>
        <v>0.81803191489361704</v>
      </c>
      <c r="V14">
        <f>15443/18800</f>
        <v>0.82143617021276594</v>
      </c>
      <c r="W14">
        <f>15435/18800</f>
        <v>0.82101063829787235</v>
      </c>
      <c r="X14">
        <f>15365/18800</f>
        <v>0.81728723404255321</v>
      </c>
      <c r="Y14">
        <f>15627/18800</f>
        <v>0.83122340425531915</v>
      </c>
      <c r="Z14">
        <f>15616/18800</f>
        <v>0.83063829787234045</v>
      </c>
      <c r="AA14">
        <f>15768/18800</f>
        <v>0.8387234042553191</v>
      </c>
      <c r="AB14">
        <f>15540/18800</f>
        <v>0.82659574468085106</v>
      </c>
      <c r="AD14">
        <f>15693/18800</f>
        <v>0.8347340425531915</v>
      </c>
      <c r="AE14">
        <f>15522/18800</f>
        <v>0.82563829787234044</v>
      </c>
      <c r="AF14">
        <f>15488/18800</f>
        <v>0.82382978723404254</v>
      </c>
      <c r="AG14">
        <f>15589/18800</f>
        <v>0.82920212765957446</v>
      </c>
      <c r="AH14" s="1">
        <f>15763/18800</f>
        <v>0.83845744680851064</v>
      </c>
      <c r="AI14">
        <f>15729/18800</f>
        <v>0.83664893617021274</v>
      </c>
      <c r="AJ14">
        <f>15898/18800</f>
        <v>0.84563829787234046</v>
      </c>
      <c r="AK14">
        <f>15450/18800</f>
        <v>0.82180851063829785</v>
      </c>
    </row>
    <row r="15" spans="1:37">
      <c r="A15" t="s">
        <v>8</v>
      </c>
      <c r="B15" t="s">
        <v>15</v>
      </c>
      <c r="C15">
        <f>12958/18800</f>
        <v>0.68925531914893612</v>
      </c>
      <c r="D15">
        <f>13348/18800</f>
        <v>0.71</v>
      </c>
      <c r="E15">
        <f>13107/18800</f>
        <v>0.69718085106382977</v>
      </c>
      <c r="F15">
        <f>13030/18800</f>
        <v>0.69308510638297871</v>
      </c>
      <c r="G15">
        <f>13327/18800</f>
        <v>0.70888297872340422</v>
      </c>
      <c r="H15">
        <f>13507/18800</f>
        <v>0.71845744680851065</v>
      </c>
      <c r="I15">
        <f>13622/18800</f>
        <v>0.72457446808510639</v>
      </c>
      <c r="J15">
        <f>13311/18800</f>
        <v>0.70803191489361705</v>
      </c>
      <c r="K15" t="s">
        <v>25</v>
      </c>
      <c r="L15">
        <f>12388/18800</f>
        <v>0.65893617021276596</v>
      </c>
      <c r="M15">
        <f>13337/18800</f>
        <v>0.70941489361702126</v>
      </c>
      <c r="N15">
        <f>12654/18800</f>
        <v>0.67308510638297869</v>
      </c>
      <c r="O15">
        <f>12862/18800</f>
        <v>0.68414893617021277</v>
      </c>
      <c r="P15">
        <f>12796/18800</f>
        <v>0.68063829787234043</v>
      </c>
      <c r="Q15">
        <f>13432/18800</f>
        <v>0.71446808510638293</v>
      </c>
      <c r="R15">
        <f>13350/18800</f>
        <v>0.71010638297872342</v>
      </c>
      <c r="S15">
        <f>13118/18800</f>
        <v>0.69776595744680847</v>
      </c>
      <c r="T15" t="s">
        <v>29</v>
      </c>
      <c r="U15">
        <f>12743/18800</f>
        <v>0.67781914893617023</v>
      </c>
      <c r="V15">
        <f>13125/18800</f>
        <v>0.69813829787234039</v>
      </c>
      <c r="W15">
        <f>13266/18800</f>
        <v>0.70563829787234045</v>
      </c>
      <c r="X15">
        <f>12964/18800</f>
        <v>0.68957446808510636</v>
      </c>
      <c r="Y15">
        <f>13369/18800</f>
        <v>0.71111702127659571</v>
      </c>
      <c r="Z15">
        <f>13410/18800</f>
        <v>0.71329787234042552</v>
      </c>
      <c r="AA15">
        <f>13631/18800</f>
        <v>0.72505319148936165</v>
      </c>
      <c r="AB15">
        <f>13493/18800</f>
        <v>0.71771276595744682</v>
      </c>
      <c r="AC15" t="s">
        <v>33</v>
      </c>
      <c r="AD15">
        <f>13192/18800</f>
        <v>0.70170212765957451</v>
      </c>
      <c r="AE15">
        <f>13187/18800</f>
        <v>0.70143617021276594</v>
      </c>
      <c r="AF15">
        <f>13192/18800</f>
        <v>0.70170212765957451</v>
      </c>
      <c r="AG15">
        <f>13076/18800</f>
        <v>0.69553191489361699</v>
      </c>
      <c r="AH15">
        <f>13456/18800</f>
        <v>0.7157446808510638</v>
      </c>
      <c r="AI15">
        <f>13452/18800</f>
        <v>0.715531914893617</v>
      </c>
      <c r="AJ15">
        <f>13672/18800</f>
        <v>0.72723404255319146</v>
      </c>
      <c r="AK15">
        <f>13268/18800</f>
        <v>0.70574468085106379</v>
      </c>
    </row>
    <row r="16" spans="1:37">
      <c r="B16" t="s">
        <v>16</v>
      </c>
      <c r="C16">
        <f>11281/18800</f>
        <v>0.60005319148936165</v>
      </c>
      <c r="D16">
        <f>11916/18800</f>
        <v>0.6338297872340426</v>
      </c>
      <c r="E16">
        <f>11609/18800</f>
        <v>0.61750000000000005</v>
      </c>
      <c r="F16">
        <f>12034/18800</f>
        <v>0.64010638297872335</v>
      </c>
      <c r="G16">
        <f>11697/18800</f>
        <v>0.62218085106382981</v>
      </c>
      <c r="H16">
        <f>12273/18800</f>
        <v>0.65281914893617021</v>
      </c>
      <c r="I16">
        <f>12200/18800</f>
        <v>0.64893617021276595</v>
      </c>
      <c r="J16">
        <f>11667/18800</f>
        <v>0.6205851063829787</v>
      </c>
      <c r="L16">
        <f>11413/18800</f>
        <v>0.60707446808510634</v>
      </c>
      <c r="M16">
        <f>11488/18800</f>
        <v>0.61106382978723406</v>
      </c>
      <c r="N16">
        <f>11709/18800</f>
        <v>0.62281914893617019</v>
      </c>
      <c r="O16">
        <f>11440/18800</f>
        <v>0.60851063829787233</v>
      </c>
      <c r="P16">
        <f>11868/18800</f>
        <v>0.63127659574468087</v>
      </c>
      <c r="Q16">
        <f>11713/18800</f>
        <v>0.62303191489361698</v>
      </c>
      <c r="R16">
        <f>12013/18800</f>
        <v>0.63898936170212761</v>
      </c>
      <c r="S16">
        <f>11489/18800</f>
        <v>0.61111702127659573</v>
      </c>
      <c r="U16">
        <f>11689/18800</f>
        <v>0.62175531914893623</v>
      </c>
      <c r="V16">
        <f>11477/18800</f>
        <v>0.61047872340425535</v>
      </c>
      <c r="W16">
        <f>11814/18800</f>
        <v>0.6284042553191489</v>
      </c>
      <c r="X16">
        <f>11545/18800</f>
        <v>0.61409574468085104</v>
      </c>
      <c r="Y16">
        <f>12106/18800</f>
        <v>0.64393617021276595</v>
      </c>
      <c r="Z16">
        <f>11774/18800</f>
        <v>0.62627659574468086</v>
      </c>
      <c r="AA16">
        <f>12090/18800</f>
        <v>0.64308510638297878</v>
      </c>
      <c r="AB16">
        <f>11812/18800</f>
        <v>0.62829787234042556</v>
      </c>
      <c r="AD16">
        <f>11588/18800</f>
        <v>0.61638297872340431</v>
      </c>
      <c r="AE16">
        <f>11250/18800</f>
        <v>0.59840425531914898</v>
      </c>
      <c r="AF16">
        <f>11709/18800</f>
        <v>0.62281914893617019</v>
      </c>
      <c r="AG16">
        <f>11102/18800</f>
        <v>0.590531914893617</v>
      </c>
      <c r="AH16">
        <f>11944/18800</f>
        <v>0.63531914893617025</v>
      </c>
      <c r="AI16">
        <f>11471/18800</f>
        <v>0.61015957446808511</v>
      </c>
      <c r="AJ16">
        <f>11905/18800</f>
        <v>0.63324468085106378</v>
      </c>
      <c r="AK16">
        <f>11564/18800</f>
        <v>0.61510638297872344</v>
      </c>
    </row>
    <row r="17" spans="1:37">
      <c r="B17" t="s">
        <v>17</v>
      </c>
      <c r="C17">
        <f>15974/18800</f>
        <v>0.84968085106382973</v>
      </c>
      <c r="D17">
        <f>16107/18800</f>
        <v>0.85675531914893621</v>
      </c>
      <c r="E17">
        <f>16083/18800</f>
        <v>0.85547872340425535</v>
      </c>
      <c r="F17">
        <f>15975/18800</f>
        <v>0.84973404255319152</v>
      </c>
      <c r="G17">
        <f>16241/18800</f>
        <v>0.86388297872340425</v>
      </c>
      <c r="H17">
        <f>16250/18800</f>
        <v>0.86436170212765961</v>
      </c>
      <c r="I17">
        <f>16374/18800</f>
        <v>0.87095744680851062</v>
      </c>
      <c r="J17">
        <f>16082/18800</f>
        <v>0.85542553191489357</v>
      </c>
      <c r="L17">
        <f>15950/18800</f>
        <v>0.84840425531914898</v>
      </c>
      <c r="M17">
        <f>16114/18800</f>
        <v>0.85712765957446813</v>
      </c>
      <c r="N17">
        <f>16017/18800</f>
        <v>0.851968085106383</v>
      </c>
      <c r="O17">
        <f>16053/18800</f>
        <v>0.85388297872340424</v>
      </c>
      <c r="P17">
        <f>16164/18800</f>
        <v>0.85978723404255319</v>
      </c>
      <c r="Q17">
        <f>16295/18800</f>
        <v>0.86675531914893622</v>
      </c>
      <c r="R17">
        <f>16386/18800</f>
        <v>0.8715957446808511</v>
      </c>
      <c r="S17">
        <f>16088/18800</f>
        <v>0.85574468085106381</v>
      </c>
      <c r="U17">
        <f>15910/18800</f>
        <v>0.84627659574468084</v>
      </c>
      <c r="V17">
        <f>15944/18800</f>
        <v>0.84808510638297874</v>
      </c>
      <c r="W17">
        <f>16063/18800</f>
        <v>0.85441489361702128</v>
      </c>
      <c r="X17">
        <f>15970/18800</f>
        <v>0.84946808510638294</v>
      </c>
      <c r="Y17">
        <f>16218/18800</f>
        <v>0.86265957446808506</v>
      </c>
      <c r="Z17">
        <f>16191/18800</f>
        <v>0.86122340425531918</v>
      </c>
      <c r="AA17">
        <f>16352/18800</f>
        <v>0.8697872340425532</v>
      </c>
      <c r="AB17">
        <f>16206/18800</f>
        <v>0.86202127659574468</v>
      </c>
      <c r="AD17">
        <f>16043/18800</f>
        <v>0.8533510638297872</v>
      </c>
      <c r="AE17">
        <f>16123/18800</f>
        <v>0.85760638297872338</v>
      </c>
      <c r="AF17">
        <f>16028/18800</f>
        <v>0.85255319148936171</v>
      </c>
      <c r="AG17">
        <f>16129/18800</f>
        <v>0.85792553191489362</v>
      </c>
      <c r="AH17">
        <f>16188/18800</f>
        <v>0.86106382978723406</v>
      </c>
      <c r="AI17">
        <f>16309/18800</f>
        <v>0.86750000000000005</v>
      </c>
      <c r="AJ17">
        <f>16407/18800</f>
        <v>0.87271276595744685</v>
      </c>
      <c r="AK17">
        <f>16067/18800</f>
        <v>0.85462765957446807</v>
      </c>
    </row>
    <row r="18" spans="1:37">
      <c r="B18" t="s">
        <v>18</v>
      </c>
      <c r="C18">
        <f>12763/18800</f>
        <v>0.67888297872340431</v>
      </c>
      <c r="D18">
        <f>13014/18800</f>
        <v>0.69223404255319154</v>
      </c>
      <c r="E18">
        <f>12849/18800</f>
        <v>0.68345744680851062</v>
      </c>
      <c r="F18">
        <f>12921/18800</f>
        <v>0.68728723404255321</v>
      </c>
      <c r="G18">
        <f>13220/18800</f>
        <v>0.70319148936170217</v>
      </c>
      <c r="H18">
        <f>13367/18800</f>
        <v>0.71101063829787237</v>
      </c>
      <c r="I18">
        <f>13576/18800</f>
        <v>0.72212765957446812</v>
      </c>
      <c r="J18">
        <f>12730/18800</f>
        <v>0.67712765957446808</v>
      </c>
      <c r="L18">
        <f>12886/18800</f>
        <v>0.68542553191489364</v>
      </c>
      <c r="M18">
        <f>12575/18800</f>
        <v>0.6688829787234043</v>
      </c>
      <c r="N18">
        <f>12892/18800</f>
        <v>0.68574468085106388</v>
      </c>
      <c r="O18">
        <f>12686/18800</f>
        <v>0.67478723404255314</v>
      </c>
      <c r="P18">
        <f>13284/18800</f>
        <v>0.70659574468085107</v>
      </c>
      <c r="Q18">
        <f>13029/18800</f>
        <v>0.69303191489361704</v>
      </c>
      <c r="R18">
        <f>13395/18800</f>
        <v>0.71250000000000002</v>
      </c>
      <c r="S18">
        <f>12436/18800</f>
        <v>0.66148936170212769</v>
      </c>
      <c r="U18">
        <f>12839/18800</f>
        <v>0.68292553191489358</v>
      </c>
      <c r="V18">
        <f>12686/18800</f>
        <v>0.67478723404255314</v>
      </c>
      <c r="W18">
        <f>13147/18800</f>
        <v>0.69930851063829791</v>
      </c>
      <c r="X18">
        <f>12631/18800</f>
        <v>0.67186170212765961</v>
      </c>
      <c r="Y18">
        <f>13349/18800</f>
        <v>0.71005319148936175</v>
      </c>
      <c r="Z18">
        <f>13002/18800</f>
        <v>0.69159574468085105</v>
      </c>
      <c r="AA18">
        <f>13409/18800</f>
        <v>0.71324468085106385</v>
      </c>
      <c r="AB18">
        <f>13114/18800</f>
        <v>0.69755319148936168</v>
      </c>
      <c r="AD18">
        <f>13068/18800</f>
        <v>0.6951063829787234</v>
      </c>
      <c r="AE18">
        <f>12722/18800</f>
        <v>0.67670212765957449</v>
      </c>
      <c r="AF18">
        <f>12705/18800</f>
        <v>0.67579787234042554</v>
      </c>
      <c r="AG18">
        <f>12581/18800</f>
        <v>0.66920212765957443</v>
      </c>
      <c r="AH18">
        <f>13204/18800</f>
        <v>0.70234042553191489</v>
      </c>
      <c r="AI18">
        <f>13011/18800</f>
        <v>0.69207446808510642</v>
      </c>
      <c r="AJ18">
        <f>13369/18800</f>
        <v>0.71111702127659571</v>
      </c>
      <c r="AK18">
        <f>12546/18800</f>
        <v>0.66734042553191486</v>
      </c>
    </row>
    <row r="19" spans="1:37">
      <c r="L19" t="s">
        <v>0</v>
      </c>
      <c r="M19" t="s">
        <v>1</v>
      </c>
      <c r="N19" t="s">
        <v>2</v>
      </c>
      <c r="O19" t="s">
        <v>3</v>
      </c>
      <c r="P19" t="s">
        <v>4</v>
      </c>
      <c r="Q19" t="s">
        <v>5</v>
      </c>
      <c r="R19" t="s">
        <v>6</v>
      </c>
      <c r="S19" t="s">
        <v>7</v>
      </c>
      <c r="U19" t="s">
        <v>0</v>
      </c>
      <c r="V19" t="s">
        <v>1</v>
      </c>
      <c r="W19" t="s">
        <v>2</v>
      </c>
      <c r="X19" t="s">
        <v>3</v>
      </c>
      <c r="Y19" t="s">
        <v>4</v>
      </c>
      <c r="Z19" t="s">
        <v>5</v>
      </c>
      <c r="AA19" t="s">
        <v>6</v>
      </c>
      <c r="AB19" t="s">
        <v>7</v>
      </c>
      <c r="AD19" t="s">
        <v>0</v>
      </c>
      <c r="AE19" t="s">
        <v>1</v>
      </c>
      <c r="AF19" t="s">
        <v>2</v>
      </c>
      <c r="AG19" t="s">
        <v>3</v>
      </c>
      <c r="AH19" t="s">
        <v>4</v>
      </c>
      <c r="AI19" t="s">
        <v>5</v>
      </c>
      <c r="AJ19" t="s">
        <v>6</v>
      </c>
      <c r="AK19" t="s">
        <v>7</v>
      </c>
    </row>
    <row r="20" spans="1:37">
      <c r="B20" t="s">
        <v>12</v>
      </c>
      <c r="C20">
        <f>MIN(L12,L20,L28,L36,U12,U20,U28,U36,AD12,AD20)</f>
        <v>0.86622340425531918</v>
      </c>
      <c r="D20">
        <f>MIN(M12,M20,M28,M36,V12,V20,V28,V36,AE12,AE20)</f>
        <v>0.87010638297872345</v>
      </c>
      <c r="E20">
        <f t="shared" ref="E20:J20" si="3">MIN(N12,N20,N28,N36,W12,W20,W28,W36,AF12,AF20)</f>
        <v>0.87196808510638302</v>
      </c>
      <c r="F20">
        <f t="shared" si="3"/>
        <v>0.8713829787234042</v>
      </c>
      <c r="G20">
        <f t="shared" si="3"/>
        <v>0.87755319148936173</v>
      </c>
      <c r="H20">
        <f t="shared" si="3"/>
        <v>0.88085106382978728</v>
      </c>
      <c r="I20">
        <f t="shared" si="3"/>
        <v>0.88446808510638297</v>
      </c>
      <c r="J20">
        <f t="shared" si="3"/>
        <v>0.87122340425531919</v>
      </c>
      <c r="L20">
        <f>16294/18800</f>
        <v>0.86670212765957444</v>
      </c>
      <c r="M20">
        <f>16484/18800</f>
        <v>0.8768085106382979</v>
      </c>
      <c r="N20">
        <f>16463/18800</f>
        <v>0.87569148936170216</v>
      </c>
      <c r="O20">
        <f>16507/18800</f>
        <v>0.87803191489361698</v>
      </c>
      <c r="P20">
        <f>16542/18800</f>
        <v>0.87989361702127655</v>
      </c>
      <c r="Q20">
        <f>16597/18800</f>
        <v>0.88281914893617019</v>
      </c>
      <c r="R20">
        <f>16665/18800</f>
        <v>0.88643617021276599</v>
      </c>
      <c r="S20">
        <f>16455/18800</f>
        <v>0.87526595744680846</v>
      </c>
      <c r="U20">
        <f>16418/18800</f>
        <v>0.87329787234042555</v>
      </c>
      <c r="V20">
        <f>16371/18800</f>
        <v>0.87079787234042549</v>
      </c>
      <c r="W20">
        <f>16459/18800</f>
        <v>0.87547872340425537</v>
      </c>
      <c r="X20">
        <f>16471/18800</f>
        <v>0.87611702127659574</v>
      </c>
      <c r="Y20">
        <f>16579/18800</f>
        <v>0.88186170212765957</v>
      </c>
      <c r="Z20">
        <f>16560/18800</f>
        <v>0.88085106382978728</v>
      </c>
      <c r="AA20">
        <f>16688/18800</f>
        <v>0.88765957446808508</v>
      </c>
      <c r="AB20">
        <f>16526/18800</f>
        <v>0.87904255319148938</v>
      </c>
      <c r="AD20">
        <f>16311/18800</f>
        <v>0.86760638297872339</v>
      </c>
      <c r="AE20">
        <f>16417/18800</f>
        <v>0.87324468085106388</v>
      </c>
      <c r="AF20">
        <f>16446/18800</f>
        <v>0.87478723404255321</v>
      </c>
      <c r="AG20">
        <f>16457/18800</f>
        <v>0.87537234042553191</v>
      </c>
      <c r="AH20">
        <f>16506/18800</f>
        <v>0.87797872340425531</v>
      </c>
      <c r="AI20">
        <f>16593/18800</f>
        <v>0.8826063829787234</v>
      </c>
      <c r="AJ20">
        <f>16628/18800</f>
        <v>0.88446808510638297</v>
      </c>
      <c r="AK20">
        <f>16428/18800</f>
        <v>0.87382978723404259</v>
      </c>
    </row>
    <row r="21" spans="1:37">
      <c r="B21" t="s">
        <v>13</v>
      </c>
      <c r="C21">
        <f t="shared" ref="C21:C26" si="4">MIN(L13,L21,L29,L37,U13,U21,U29,U37,AD13,AD21)</f>
        <v>0.86526595744680856</v>
      </c>
      <c r="D21">
        <f t="shared" ref="D21:J21" si="5">MIN(M13,M21,M29,M37,V13,V21,V29,V37,AE13,AE21)</f>
        <v>0.86824468085106388</v>
      </c>
      <c r="E21">
        <f t="shared" si="5"/>
        <v>0.87095744680851062</v>
      </c>
      <c r="F21">
        <f t="shared" si="5"/>
        <v>0.87005319148936167</v>
      </c>
      <c r="G21">
        <f t="shared" si="5"/>
        <v>0.87632978723404253</v>
      </c>
      <c r="H21">
        <f t="shared" si="5"/>
        <v>0.88026595744680847</v>
      </c>
      <c r="I21">
        <f t="shared" si="5"/>
        <v>0.88388297872340427</v>
      </c>
      <c r="J21">
        <f t="shared" si="5"/>
        <v>0.87090425531914895</v>
      </c>
      <c r="L21">
        <f>16267/18800</f>
        <v>0.86526595744680856</v>
      </c>
      <c r="M21">
        <f>16480/18800</f>
        <v>0.87659574468085111</v>
      </c>
      <c r="N21">
        <f>16441/18800</f>
        <v>0.87452127659574463</v>
      </c>
      <c r="O21">
        <f>16480/18800</f>
        <v>0.87659574468085111</v>
      </c>
      <c r="P21">
        <f>16518/18800</f>
        <v>0.8786170212765958</v>
      </c>
      <c r="Q21">
        <f>16584/18800</f>
        <v>0.88212765957446804</v>
      </c>
      <c r="R21">
        <f>16657/18800</f>
        <v>0.8860106382978723</v>
      </c>
      <c r="S21">
        <f>16445/18800</f>
        <v>0.87473404255319154</v>
      </c>
      <c r="U21">
        <f>16386/18800</f>
        <v>0.8715957446808511</v>
      </c>
      <c r="V21">
        <f>16373/18800</f>
        <v>0.87090425531914895</v>
      </c>
      <c r="W21">
        <f>16445/18800</f>
        <v>0.87473404255319154</v>
      </c>
      <c r="X21">
        <f>16434/18800</f>
        <v>0.87414893617021272</v>
      </c>
      <c r="Y21">
        <f>16561/18800</f>
        <v>0.88090425531914895</v>
      </c>
      <c r="Z21">
        <f>16567/18800</f>
        <v>0.8812234042553192</v>
      </c>
      <c r="AA21">
        <f>16671/18800</f>
        <v>0.88675531914893613</v>
      </c>
      <c r="AB21">
        <f>16528/18800</f>
        <v>0.87914893617021272</v>
      </c>
      <c r="AD21">
        <f>16302/18800</f>
        <v>0.86712765957446813</v>
      </c>
      <c r="AE21">
        <f>16409/18800</f>
        <v>0.87281914893617019</v>
      </c>
      <c r="AF21">
        <f>16435/18800</f>
        <v>0.8742021276595745</v>
      </c>
      <c r="AG21">
        <f>16436/18800</f>
        <v>0.87425531914893617</v>
      </c>
      <c r="AH21">
        <f>16491/18800</f>
        <v>0.87718085106382981</v>
      </c>
      <c r="AI21">
        <f>16565/18800</f>
        <v>0.88111702127659575</v>
      </c>
      <c r="AJ21">
        <f>16617/18800</f>
        <v>0.88388297872340427</v>
      </c>
      <c r="AK21">
        <f>16406/18800</f>
        <v>0.87265957446808506</v>
      </c>
    </row>
    <row r="22" spans="1:37">
      <c r="B22" t="s">
        <v>14</v>
      </c>
      <c r="C22">
        <f t="shared" si="4"/>
        <v>0.81558510638297876</v>
      </c>
      <c r="D22">
        <f t="shared" ref="D22:J22" si="6">MIN(M14,M22,M30,M38,V14,V22,V30,V38,AE14,AE22)</f>
        <v>0.82</v>
      </c>
      <c r="E22">
        <f t="shared" si="6"/>
        <v>0.81409574468085111</v>
      </c>
      <c r="F22">
        <f t="shared" si="6"/>
        <v>0.81728723404255321</v>
      </c>
      <c r="G22">
        <f t="shared" si="6"/>
        <v>0.82473404255319149</v>
      </c>
      <c r="H22">
        <f t="shared" si="6"/>
        <v>0.83063829787234045</v>
      </c>
      <c r="I22">
        <f t="shared" si="6"/>
        <v>0.8387234042553191</v>
      </c>
      <c r="J22">
        <f t="shared" si="6"/>
        <v>0.82180851063829785</v>
      </c>
      <c r="L22">
        <f>15379/18800</f>
        <v>0.81803191489361704</v>
      </c>
      <c r="M22">
        <f>15485/18800</f>
        <v>0.82367021276595742</v>
      </c>
      <c r="N22">
        <f>15512/18800</f>
        <v>0.82510638297872341</v>
      </c>
      <c r="O22">
        <f>15587/18800</f>
        <v>0.82909574468085101</v>
      </c>
      <c r="P22">
        <f>15623/18800</f>
        <v>0.83101063829787236</v>
      </c>
      <c r="Q22">
        <f>15739/18800</f>
        <v>0.83718085106382978</v>
      </c>
      <c r="R22">
        <f>15815/18800</f>
        <v>0.84122340425531916</v>
      </c>
      <c r="S22">
        <f>15579/18800</f>
        <v>0.82867021276595743</v>
      </c>
      <c r="U22">
        <f>15384/18800</f>
        <v>0.8182978723404255</v>
      </c>
      <c r="V22">
        <f>15449/18800</f>
        <v>0.82175531914893618</v>
      </c>
      <c r="W22">
        <f>15333/18800</f>
        <v>0.81558510638297876</v>
      </c>
      <c r="X22">
        <f>15566/18800</f>
        <v>0.82797872340425527</v>
      </c>
      <c r="Y22">
        <f>15558/18800</f>
        <v>0.82755319148936168</v>
      </c>
      <c r="Z22">
        <f>15727/18800</f>
        <v>0.8365425531914894</v>
      </c>
      <c r="AA22">
        <f>15768/18800</f>
        <v>0.8387234042553191</v>
      </c>
      <c r="AB22">
        <f>15567/18800</f>
        <v>0.82803191489361705</v>
      </c>
      <c r="AD22">
        <f>15474/18800</f>
        <v>0.82308510638297872</v>
      </c>
      <c r="AE22">
        <f>15416/18800</f>
        <v>0.82</v>
      </c>
      <c r="AF22">
        <f>15604/18800</f>
        <v>0.83</v>
      </c>
      <c r="AG22">
        <f>15560/18800</f>
        <v>0.82765957446808514</v>
      </c>
      <c r="AH22">
        <f>15680/18800</f>
        <v>0.83404255319148934</v>
      </c>
      <c r="AI22">
        <f>15715/18800</f>
        <v>0.83590425531914891</v>
      </c>
      <c r="AJ22">
        <f>15823/18800</f>
        <v>0.84164893617021275</v>
      </c>
      <c r="AK22">
        <f>15578/18800</f>
        <v>0.82861702127659576</v>
      </c>
    </row>
    <row r="23" spans="1:37">
      <c r="A23" t="s">
        <v>10</v>
      </c>
      <c r="B23" t="s">
        <v>15</v>
      </c>
      <c r="C23">
        <f t="shared" si="4"/>
        <v>0.65893617021276596</v>
      </c>
      <c r="D23">
        <f t="shared" ref="D23:J23" si="7">MIN(M15,M23,M31,M39,V15,V23,V31,V39,AE15,AE23)</f>
        <v>0.62803191489361698</v>
      </c>
      <c r="E23">
        <f t="shared" si="7"/>
        <v>0.67308510638297869</v>
      </c>
      <c r="F23">
        <f t="shared" si="7"/>
        <v>0.65297872340425533</v>
      </c>
      <c r="G23">
        <f t="shared" si="7"/>
        <v>0.68063829787234043</v>
      </c>
      <c r="H23">
        <f t="shared" si="7"/>
        <v>0.66106382978723399</v>
      </c>
      <c r="I23">
        <f t="shared" si="7"/>
        <v>0.69787234042553192</v>
      </c>
      <c r="J23">
        <f t="shared" si="7"/>
        <v>0.69611702127659569</v>
      </c>
      <c r="K23" t="s">
        <v>26</v>
      </c>
      <c r="L23">
        <f>12734/18800</f>
        <v>0.67734042553191487</v>
      </c>
      <c r="M23">
        <f>13000/18800</f>
        <v>0.69148936170212771</v>
      </c>
      <c r="N23">
        <f>13121/18800</f>
        <v>0.69792553191489359</v>
      </c>
      <c r="O23">
        <f>12917/18800</f>
        <v>0.68707446808510642</v>
      </c>
      <c r="P23">
        <f>13220/18800</f>
        <v>0.70319148936170217</v>
      </c>
      <c r="Q23">
        <f>13257/18800</f>
        <v>0.70515957446808508</v>
      </c>
      <c r="R23">
        <f>13504/18800</f>
        <v>0.71829787234042553</v>
      </c>
      <c r="S23">
        <f>13274/18800</f>
        <v>0.70606382978723403</v>
      </c>
      <c r="T23" t="s">
        <v>30</v>
      </c>
      <c r="U23">
        <f>12984/18800</f>
        <v>0.69063829787234043</v>
      </c>
      <c r="V23">
        <f>13134/18800</f>
        <v>0.69861702127659575</v>
      </c>
      <c r="W23">
        <f>13109/18800</f>
        <v>0.69728723404255322</v>
      </c>
      <c r="X23">
        <f>13332/18800</f>
        <v>0.7091489361702128</v>
      </c>
      <c r="Y23">
        <f>13331/18800</f>
        <v>0.70909574468085101</v>
      </c>
      <c r="Z23">
        <f>13630/18800</f>
        <v>0.72499999999999998</v>
      </c>
      <c r="AA23">
        <f>13735/18800</f>
        <v>0.73058510638297869</v>
      </c>
      <c r="AB23">
        <f>13286/18800</f>
        <v>0.70670212765957452</v>
      </c>
      <c r="AD23">
        <f>13197/18800</f>
        <v>0.70196808510638298</v>
      </c>
      <c r="AE23">
        <f>13131/18800</f>
        <v>0.69845744680851063</v>
      </c>
      <c r="AF23">
        <f>13395/18800</f>
        <v>0.71250000000000002</v>
      </c>
      <c r="AG23">
        <f>13757/18800</f>
        <v>0.73175531914893621</v>
      </c>
      <c r="AH23">
        <f>13666/18800</f>
        <v>0.72691489361702133</v>
      </c>
      <c r="AI23">
        <f>13771/18800</f>
        <v>0.73250000000000004</v>
      </c>
      <c r="AJ23">
        <f>13925/18800</f>
        <v>0.74069148936170215</v>
      </c>
      <c r="AK23">
        <f>13490/18800</f>
        <v>0.7175531914893617</v>
      </c>
    </row>
    <row r="24" spans="1:37">
      <c r="B24" t="s">
        <v>16</v>
      </c>
      <c r="C24">
        <f t="shared" si="4"/>
        <v>0.56148936170212771</v>
      </c>
      <c r="D24">
        <f t="shared" ref="D24:J24" si="8">MIN(M16,M24,M32,M40,V16,V24,V32,V40,AE16,AE24)</f>
        <v>0.59840425531914898</v>
      </c>
      <c r="E24">
        <f t="shared" si="8"/>
        <v>0.59154255319148941</v>
      </c>
      <c r="F24">
        <f t="shared" si="8"/>
        <v>0.590531914893617</v>
      </c>
      <c r="G24">
        <f t="shared" si="8"/>
        <v>0.60063829787234047</v>
      </c>
      <c r="H24">
        <f t="shared" si="8"/>
        <v>0.61015957446808511</v>
      </c>
      <c r="I24">
        <f t="shared" si="8"/>
        <v>0.61994680851063833</v>
      </c>
      <c r="J24">
        <f t="shared" si="8"/>
        <v>0.60872340425531912</v>
      </c>
      <c r="L24">
        <f>10862/18800</f>
        <v>0.57776595744680848</v>
      </c>
      <c r="M24">
        <f>11394/18800</f>
        <v>0.60606382978723405</v>
      </c>
      <c r="N24">
        <f>11807/18800</f>
        <v>0.62803191489361698</v>
      </c>
      <c r="O24">
        <f>11622/18800</f>
        <v>0.6181914893617021</v>
      </c>
      <c r="P24">
        <f>11640/18800</f>
        <v>0.61914893617021272</v>
      </c>
      <c r="Q24">
        <f>11789/18800</f>
        <v>0.62707446808510636</v>
      </c>
      <c r="R24">
        <f>11878/18800</f>
        <v>0.6318085106382979</v>
      </c>
      <c r="S24">
        <f>11891/18800</f>
        <v>0.63249999999999995</v>
      </c>
      <c r="U24">
        <f>11368/18800</f>
        <v>0.60468085106382974</v>
      </c>
      <c r="V24">
        <f>11865/18800</f>
        <v>0.63111702127659575</v>
      </c>
      <c r="W24">
        <f>11544/18800</f>
        <v>0.61404255319148937</v>
      </c>
      <c r="X24">
        <f>12043/18800</f>
        <v>0.64058510638297872</v>
      </c>
      <c r="Y24">
        <f>11746/18800</f>
        <v>0.62478723404255321</v>
      </c>
      <c r="Z24">
        <f>12216/18800</f>
        <v>0.64978723404255323</v>
      </c>
      <c r="AA24">
        <f>12148/18800</f>
        <v>0.64617021276595743</v>
      </c>
      <c r="AB24">
        <f>12159/18800</f>
        <v>0.64675531914893614</v>
      </c>
      <c r="AD24">
        <f>11523/18800</f>
        <v>0.61292553191489363</v>
      </c>
      <c r="AE24">
        <f>11494/18800</f>
        <v>0.6113829787234043</v>
      </c>
      <c r="AF24">
        <f>11869/18800</f>
        <v>0.63132978723404254</v>
      </c>
      <c r="AG24">
        <f>11528/18800</f>
        <v>0.61319148936170209</v>
      </c>
      <c r="AH24">
        <f>11947/18800</f>
        <v>0.63547872340425537</v>
      </c>
      <c r="AI24">
        <f>11797/18800</f>
        <v>0.62749999999999995</v>
      </c>
      <c r="AJ24">
        <f>12051/18800</f>
        <v>0.6410106382978723</v>
      </c>
      <c r="AK24">
        <f>11780/18800</f>
        <v>0.62659574468085111</v>
      </c>
    </row>
    <row r="25" spans="1:37">
      <c r="B25" t="s">
        <v>17</v>
      </c>
      <c r="C25">
        <f t="shared" si="4"/>
        <v>0.84265957446808515</v>
      </c>
      <c r="D25">
        <f t="shared" ref="D25:J25" si="9">MIN(M17,M25,M33,M41,V17,V25,V33,V41,AE17,AE25)</f>
        <v>0.84691489361702132</v>
      </c>
      <c r="E25">
        <f t="shared" si="9"/>
        <v>0.85031914893617022</v>
      </c>
      <c r="F25">
        <f t="shared" si="9"/>
        <v>0.84946808510638294</v>
      </c>
      <c r="G25">
        <f t="shared" si="9"/>
        <v>0.85611702127659572</v>
      </c>
      <c r="H25">
        <f t="shared" si="9"/>
        <v>0.86122340425531918</v>
      </c>
      <c r="I25">
        <f t="shared" si="9"/>
        <v>0.86845744680851067</v>
      </c>
      <c r="J25">
        <f t="shared" si="9"/>
        <v>0.85404255319148936</v>
      </c>
      <c r="L25">
        <f>15864/18800</f>
        <v>0.84382978723404256</v>
      </c>
      <c r="M25">
        <f>16111/18800</f>
        <v>0.856968085106383</v>
      </c>
      <c r="N25">
        <f>16078/18800</f>
        <v>0.85521276595744677</v>
      </c>
      <c r="O25">
        <f>16063/18800</f>
        <v>0.85441489361702128</v>
      </c>
      <c r="P25">
        <f>16101/18800</f>
        <v>0.85643617021276597</v>
      </c>
      <c r="Q25">
        <f>16290/18800</f>
        <v>0.86648936170212765</v>
      </c>
      <c r="R25">
        <f>16348/18800</f>
        <v>0.86957446808510641</v>
      </c>
      <c r="S25">
        <f>16081/18800</f>
        <v>0.8553723404255319</v>
      </c>
      <c r="U25">
        <f>15842/18800</f>
        <v>0.84265957446808515</v>
      </c>
      <c r="V25">
        <f>15971/18800</f>
        <v>0.84952127659574472</v>
      </c>
      <c r="W25">
        <f>16112/18800</f>
        <v>0.85702127659574467</v>
      </c>
      <c r="X25">
        <f>16082/18800</f>
        <v>0.85542553191489357</v>
      </c>
      <c r="Y25">
        <f>16173/18800</f>
        <v>0.86026595744680856</v>
      </c>
      <c r="Z25">
        <f>16244/18800</f>
        <v>0.86404255319148937</v>
      </c>
      <c r="AA25">
        <f>16344/18800</f>
        <v>0.86936170212765962</v>
      </c>
      <c r="AB25">
        <f>16247/18800</f>
        <v>0.86420212765957449</v>
      </c>
      <c r="AD25">
        <f>15988/18800</f>
        <v>0.85042553191489356</v>
      </c>
      <c r="AE25">
        <f>16026/18800</f>
        <v>0.85244680851063825</v>
      </c>
      <c r="AF25">
        <f>16106/18800</f>
        <v>0.85670212765957443</v>
      </c>
      <c r="AG25">
        <f>16045/18800</f>
        <v>0.85345744680851066</v>
      </c>
      <c r="AH25">
        <f>16207/18800</f>
        <v>0.86207446808510635</v>
      </c>
      <c r="AI25">
        <f xml:space="preserve"> 16280/18800</f>
        <v>0.86595744680851061</v>
      </c>
      <c r="AJ25">
        <f>16384/18800</f>
        <v>0.87148936170212765</v>
      </c>
      <c r="AK25">
        <f>16123/18800</f>
        <v>0.85760638297872338</v>
      </c>
    </row>
    <row r="26" spans="1:37">
      <c r="B26" t="s">
        <v>18</v>
      </c>
      <c r="C26">
        <f t="shared" si="4"/>
        <v>0.64558510638297872</v>
      </c>
      <c r="D26">
        <f t="shared" ref="D26:J26" si="10">MIN(M18,M26,M34,M42,V18,V26,V34,V42,AE18,AE26)</f>
        <v>0.65882978723404251</v>
      </c>
      <c r="E26">
        <f t="shared" si="10"/>
        <v>0.6532446808510638</v>
      </c>
      <c r="F26">
        <f t="shared" si="10"/>
        <v>0.66920212765957443</v>
      </c>
      <c r="G26">
        <f t="shared" si="10"/>
        <v>0.6746808510638298</v>
      </c>
      <c r="H26">
        <f t="shared" si="10"/>
        <v>0.68994680851063828</v>
      </c>
      <c r="I26">
        <f t="shared" si="10"/>
        <v>0.70053191489361699</v>
      </c>
      <c r="J26">
        <f t="shared" si="10"/>
        <v>0.66148936170212769</v>
      </c>
      <c r="L26">
        <f>12661/18800</f>
        <v>0.67345744680851061</v>
      </c>
      <c r="M26">
        <f>12985/18800</f>
        <v>0.6906914893617021</v>
      </c>
      <c r="N26">
        <f>12823/18800</f>
        <v>0.68207446808510641</v>
      </c>
      <c r="O26">
        <f>12890/18800</f>
        <v>0.68563829787234043</v>
      </c>
      <c r="P26">
        <f>13162/18800</f>
        <v>0.70010638297872341</v>
      </c>
      <c r="Q26">
        <f>13291/18800</f>
        <v>0.70696808510638298</v>
      </c>
      <c r="R26">
        <f>13465/18800</f>
        <v>0.71622340425531916</v>
      </c>
      <c r="S26">
        <f>13164/18800</f>
        <v>0.70021276595744686</v>
      </c>
      <c r="U26">
        <f>12280/18800</f>
        <v>0.65319148936170213</v>
      </c>
      <c r="V26">
        <f>12979/18800</f>
        <v>0.69037234042553186</v>
      </c>
      <c r="W26">
        <f>12443/18800</f>
        <v>0.6618617021276596</v>
      </c>
      <c r="X26">
        <f>12960/18800</f>
        <v>0.68936170212765957</v>
      </c>
      <c r="Y26">
        <f>12713/18800</f>
        <v>0.67622340425531913</v>
      </c>
      <c r="Z26">
        <f>13313/18800</f>
        <v>0.70813829787234039</v>
      </c>
      <c r="AA26">
        <f>13289/18800</f>
        <v>0.70686170212765953</v>
      </c>
      <c r="AB26">
        <f>12878/18800</f>
        <v>0.68500000000000005</v>
      </c>
      <c r="AD26">
        <f>12738/18800</f>
        <v>0.67755319148936166</v>
      </c>
      <c r="AE26">
        <f>12467/18800</f>
        <v>0.66313829787234047</v>
      </c>
      <c r="AF26">
        <f>13067/18800</f>
        <v>0.69505319148936173</v>
      </c>
      <c r="AG26">
        <f>12671/18800</f>
        <v>0.67398936170212764</v>
      </c>
      <c r="AH26">
        <f>13264/18800</f>
        <v>0.705531914893617</v>
      </c>
      <c r="AI26">
        <f>12971/18800</f>
        <v>0.68994680851063828</v>
      </c>
      <c r="AJ26">
        <f>13355/18800</f>
        <v>0.71037234042553188</v>
      </c>
      <c r="AK26">
        <f>12832/18800</f>
        <v>0.68255319148936167</v>
      </c>
    </row>
    <row r="27" spans="1:37">
      <c r="L27" t="s">
        <v>0</v>
      </c>
      <c r="M27" t="s">
        <v>1</v>
      </c>
      <c r="N27" t="s">
        <v>2</v>
      </c>
      <c r="O27" t="s">
        <v>3</v>
      </c>
      <c r="P27" t="s">
        <v>4</v>
      </c>
      <c r="Q27" t="s">
        <v>5</v>
      </c>
      <c r="R27" t="s">
        <v>6</v>
      </c>
      <c r="S27" t="s">
        <v>7</v>
      </c>
      <c r="U27" t="s">
        <v>0</v>
      </c>
      <c r="V27" t="s">
        <v>1</v>
      </c>
      <c r="W27" t="s">
        <v>2</v>
      </c>
      <c r="X27" t="s">
        <v>3</v>
      </c>
      <c r="Y27" t="s">
        <v>4</v>
      </c>
      <c r="Z27" t="s">
        <v>5</v>
      </c>
      <c r="AA27" t="s">
        <v>6</v>
      </c>
      <c r="AB27" t="s">
        <v>7</v>
      </c>
    </row>
    <row r="28" spans="1:37">
      <c r="B28" t="s">
        <v>12</v>
      </c>
      <c r="C28">
        <f>MAX(L12,L20,L28,L36,U12,U20,U28,U36,AD12,AD20)</f>
        <v>0.87920212765957451</v>
      </c>
      <c r="D28">
        <f t="shared" ref="D28:J34" si="11">MAX(M12,M20,M28,M36,V12,V20,V28,V36,AE12,AE20)</f>
        <v>0.87686170212765957</v>
      </c>
      <c r="E28">
        <f t="shared" si="11"/>
        <v>0.87718085106382981</v>
      </c>
      <c r="F28">
        <f t="shared" si="11"/>
        <v>0.87824468085106377</v>
      </c>
      <c r="G28">
        <f t="shared" si="11"/>
        <v>0.88324468085106378</v>
      </c>
      <c r="H28">
        <f t="shared" si="11"/>
        <v>0.88356382978723402</v>
      </c>
      <c r="I28">
        <f t="shared" si="11"/>
        <v>0.88776595744680853</v>
      </c>
      <c r="J28">
        <f t="shared" si="11"/>
        <v>0.87904255319148938</v>
      </c>
      <c r="L28">
        <f>16407/18800</f>
        <v>0.87271276595744685</v>
      </c>
      <c r="M28">
        <f>16485/18800</f>
        <v>0.87686170212765957</v>
      </c>
      <c r="N28">
        <f>16477/18800</f>
        <v>0.87643617021276599</v>
      </c>
      <c r="O28">
        <f>16448/18800</f>
        <v>0.87489361702127655</v>
      </c>
      <c r="P28">
        <f>16594/18800</f>
        <v>0.88265957446808507</v>
      </c>
      <c r="Q28">
        <f>16589/18800</f>
        <v>0.88239361702127661</v>
      </c>
      <c r="R28">
        <f>16634/18800</f>
        <v>0.88478723404255322</v>
      </c>
      <c r="S28">
        <f>16443/18800</f>
        <v>0.87462765957446809</v>
      </c>
      <c r="U28">
        <f>16291/18800</f>
        <v>0.86654255319148932</v>
      </c>
      <c r="V28">
        <f>16411/18800</f>
        <v>0.87292553191489364</v>
      </c>
      <c r="W28">
        <f>16393/18800</f>
        <v>0.87196808510638302</v>
      </c>
      <c r="X28">
        <f>16492/18800</f>
        <v>0.87723404255319148</v>
      </c>
      <c r="Y28">
        <f>16517/18800</f>
        <v>0.87856382978723402</v>
      </c>
      <c r="Z28">
        <f>16590/18800</f>
        <v>0.88244680851063828</v>
      </c>
      <c r="AA28">
        <f>16660/18800</f>
        <v>0.88617021276595742</v>
      </c>
      <c r="AB28">
        <f>16379/18800</f>
        <v>0.87122340425531919</v>
      </c>
    </row>
    <row r="29" spans="1:37">
      <c r="B29" t="s">
        <v>13</v>
      </c>
      <c r="C29">
        <f t="shared" ref="C29:C34" si="12">MAX(L13,L21,L29,L37,U13,U21,U29,U37,AD13,AD21)</f>
        <v>0.87744680851063828</v>
      </c>
      <c r="D29">
        <f t="shared" si="11"/>
        <v>0.87659574468085111</v>
      </c>
      <c r="E29">
        <f t="shared" si="11"/>
        <v>0.87648936170212766</v>
      </c>
      <c r="F29">
        <f t="shared" si="11"/>
        <v>0.87813829787234043</v>
      </c>
      <c r="G29">
        <f t="shared" si="11"/>
        <v>0.88186170212765957</v>
      </c>
      <c r="H29">
        <f t="shared" si="11"/>
        <v>0.8834042553191489</v>
      </c>
      <c r="I29">
        <f t="shared" si="11"/>
        <v>0.88856382978723403</v>
      </c>
      <c r="J29">
        <f t="shared" si="11"/>
        <v>0.87914893617021272</v>
      </c>
      <c r="L29">
        <f>16389/18800</f>
        <v>0.87175531914893623</v>
      </c>
      <c r="M29">
        <f>16456/18800</f>
        <v>0.87531914893617024</v>
      </c>
      <c r="N29">
        <f>16452/18800</f>
        <v>0.87510638297872345</v>
      </c>
      <c r="O29">
        <f>16447/18800</f>
        <v>0.87484042553191488</v>
      </c>
      <c r="P29">
        <f>16574/18800</f>
        <v>0.88159574468085111</v>
      </c>
      <c r="Q29">
        <f>16581/18800</f>
        <v>0.88196808510638303</v>
      </c>
      <c r="R29">
        <f>16626/18800</f>
        <v>0.88436170212765952</v>
      </c>
      <c r="S29">
        <f>16451/18800</f>
        <v>0.87505319148936167</v>
      </c>
      <c r="U29">
        <f>16277/18800</f>
        <v>0.86579787234042549</v>
      </c>
      <c r="V29">
        <f>16399/18800</f>
        <v>0.87228723404255315</v>
      </c>
      <c r="W29">
        <f>16383/18800</f>
        <v>0.87143617021276598</v>
      </c>
      <c r="X29">
        <f>16473/18800</f>
        <v>0.87622340425531919</v>
      </c>
      <c r="Y29">
        <f>16508/18800</f>
        <v>0.87808510638297876</v>
      </c>
      <c r="Z29">
        <f>16589/18800</f>
        <v>0.88239361702127661</v>
      </c>
      <c r="AA29">
        <f>16668/18800</f>
        <v>0.88659574468085112</v>
      </c>
      <c r="AB29">
        <f>16373/18800</f>
        <v>0.87090425531914895</v>
      </c>
    </row>
    <row r="30" spans="1:37">
      <c r="B30" t="s">
        <v>14</v>
      </c>
      <c r="C30">
        <f t="shared" si="12"/>
        <v>0.8347340425531915</v>
      </c>
      <c r="D30">
        <f t="shared" si="11"/>
        <v>0.83547872340425533</v>
      </c>
      <c r="E30">
        <f t="shared" si="11"/>
        <v>0.83</v>
      </c>
      <c r="F30">
        <f t="shared" si="11"/>
        <v>0.83303191489361705</v>
      </c>
      <c r="G30">
        <f t="shared" si="11"/>
        <v>0.83845744680851064</v>
      </c>
      <c r="H30">
        <f t="shared" si="11"/>
        <v>0.84063829787234046</v>
      </c>
      <c r="I30">
        <f t="shared" si="11"/>
        <v>0.84632978723404251</v>
      </c>
      <c r="J30">
        <f t="shared" si="11"/>
        <v>0.82867021276595743</v>
      </c>
      <c r="L30">
        <f>15412/18800</f>
        <v>0.81978723404255316</v>
      </c>
      <c r="M30">
        <f>15707/18800</f>
        <v>0.83547872340425533</v>
      </c>
      <c r="N30">
        <f>15548/18800</f>
        <v>0.82702127659574465</v>
      </c>
      <c r="O30">
        <f>15517/18800</f>
        <v>0.82537234042553187</v>
      </c>
      <c r="P30">
        <f>15706/18800</f>
        <v>0.83542553191489366</v>
      </c>
      <c r="Q30">
        <f>15796/18800</f>
        <v>0.84021276595744676</v>
      </c>
      <c r="R30">
        <f>15850/18800</f>
        <v>0.84308510638297873</v>
      </c>
      <c r="S30">
        <f>15507/18800</f>
        <v>0.82484042553191494</v>
      </c>
      <c r="U30">
        <f>15333/18800</f>
        <v>0.81558510638297876</v>
      </c>
      <c r="V30">
        <f>15530/18800</f>
        <v>0.82606382978723403</v>
      </c>
      <c r="W30">
        <f>15305/18800</f>
        <v>0.81409574468085111</v>
      </c>
      <c r="X30">
        <f>15506/18800</f>
        <v>0.82478723404255316</v>
      </c>
      <c r="Y30">
        <f>15505/18800</f>
        <v>0.82473404255319149</v>
      </c>
      <c r="Z30">
        <f>15706/18800</f>
        <v>0.83542553191489366</v>
      </c>
      <c r="AA30">
        <f>15784/18800</f>
        <v>0.83957446808510638</v>
      </c>
      <c r="AB30">
        <f>15565/18800</f>
        <v>0.8279255319148936</v>
      </c>
    </row>
    <row r="31" spans="1:37">
      <c r="A31" t="s">
        <v>11</v>
      </c>
      <c r="B31" t="s">
        <v>15</v>
      </c>
      <c r="C31">
        <f t="shared" si="12"/>
        <v>0.70196808510638298</v>
      </c>
      <c r="D31">
        <f t="shared" si="11"/>
        <v>0.72425531914893615</v>
      </c>
      <c r="E31">
        <f t="shared" si="11"/>
        <v>0.71250000000000002</v>
      </c>
      <c r="F31">
        <f t="shared" si="11"/>
        <v>0.73175531914893621</v>
      </c>
      <c r="G31">
        <f t="shared" si="11"/>
        <v>0.72691489361702133</v>
      </c>
      <c r="H31">
        <f t="shared" si="11"/>
        <v>0.73250000000000004</v>
      </c>
      <c r="I31">
        <f t="shared" si="11"/>
        <v>0.74069148936170215</v>
      </c>
      <c r="J31">
        <f t="shared" si="11"/>
        <v>0.71771276595744682</v>
      </c>
      <c r="K31" t="s">
        <v>27</v>
      </c>
      <c r="L31">
        <f>12474/18800</f>
        <v>0.66351063829787238</v>
      </c>
      <c r="M31">
        <f>13272/18800</f>
        <v>0.70595744680851069</v>
      </c>
      <c r="N31">
        <f>13155/18800</f>
        <v>0.69973404255319149</v>
      </c>
      <c r="O31">
        <f>13069/18800</f>
        <v>0.69515957446808507</v>
      </c>
      <c r="P31">
        <f>13182/18800</f>
        <v>0.70117021276595748</v>
      </c>
      <c r="Q31">
        <f>13459/18800</f>
        <v>0.71590425531914892</v>
      </c>
      <c r="R31">
        <f>13547/18800</f>
        <v>0.72058510638297868</v>
      </c>
      <c r="S31">
        <f>13251/18800</f>
        <v>0.70484042553191484</v>
      </c>
      <c r="T31" t="s">
        <v>31</v>
      </c>
      <c r="U31">
        <f>13011/18800</f>
        <v>0.69207446808510642</v>
      </c>
      <c r="V31">
        <f>13016/18800</f>
        <v>0.69234042553191488</v>
      </c>
      <c r="W31">
        <f>13015/18800</f>
        <v>0.69228723404255321</v>
      </c>
      <c r="X31">
        <f>13647/18800</f>
        <v>0.72590425531914893</v>
      </c>
      <c r="Y31">
        <f>13310/18800</f>
        <v>0.70797872340425527</v>
      </c>
      <c r="Z31">
        <f>13697/18800</f>
        <v>0.728563829787234</v>
      </c>
      <c r="AA31">
        <f>13702/18800</f>
        <v>0.72882978723404257</v>
      </c>
      <c r="AB31">
        <f>13291/18800</f>
        <v>0.70696808510638298</v>
      </c>
      <c r="AC31" t="s">
        <v>34</v>
      </c>
    </row>
    <row r="32" spans="1:37">
      <c r="B32" t="s">
        <v>16</v>
      </c>
      <c r="C32">
        <f t="shared" si="12"/>
        <v>0.62196808510638302</v>
      </c>
      <c r="D32">
        <f t="shared" si="11"/>
        <v>0.63111702127659575</v>
      </c>
      <c r="E32">
        <f t="shared" si="11"/>
        <v>0.63132978723404254</v>
      </c>
      <c r="F32">
        <f t="shared" si="11"/>
        <v>0.64058510638297872</v>
      </c>
      <c r="G32">
        <f t="shared" si="11"/>
        <v>0.64393617021276595</v>
      </c>
      <c r="H32">
        <f t="shared" si="11"/>
        <v>0.64978723404255323</v>
      </c>
      <c r="I32">
        <f t="shared" si="11"/>
        <v>0.64617021276595743</v>
      </c>
      <c r="J32">
        <f t="shared" si="11"/>
        <v>0.64675531914893614</v>
      </c>
      <c r="L32">
        <f>11343/18800</f>
        <v>0.6033510638297872</v>
      </c>
      <c r="M32">
        <f>11743/18800</f>
        <v>0.62462765957446809</v>
      </c>
      <c r="N32">
        <f>11379/18800</f>
        <v>0.60526595744680856</v>
      </c>
      <c r="O32">
        <f>11668/18800</f>
        <v>0.62063829787234037</v>
      </c>
      <c r="P32">
        <f>11679/18800</f>
        <v>0.62122340425531919</v>
      </c>
      <c r="Q32">
        <f>11955/18800</f>
        <v>0.63590425531914896</v>
      </c>
      <c r="R32">
        <f>12014/18800</f>
        <v>0.63904255319148939</v>
      </c>
      <c r="S32">
        <f>11444/18800</f>
        <v>0.60872340425531912</v>
      </c>
      <c r="U32">
        <f>11144/18800</f>
        <v>0.59276595744680849</v>
      </c>
      <c r="V32">
        <f>11351/18800</f>
        <v>0.6037765957446809</v>
      </c>
      <c r="W32">
        <f>11121/18800</f>
        <v>0.59154255319148941</v>
      </c>
      <c r="X32">
        <f>11285/18800</f>
        <v>0.60026595744680855</v>
      </c>
      <c r="Y32">
        <f>11399/18800</f>
        <v>0.60632978723404252</v>
      </c>
      <c r="Z32">
        <f>11580/18800</f>
        <v>0.61595744680851061</v>
      </c>
      <c r="AA32">
        <f>11655/18800</f>
        <v>0.61994680851063833</v>
      </c>
      <c r="AB32">
        <f>11783/18800</f>
        <v>0.62675531914893612</v>
      </c>
    </row>
    <row r="33" spans="1:37">
      <c r="B33" t="s">
        <v>17</v>
      </c>
      <c r="C33">
        <f t="shared" si="12"/>
        <v>0.85973404255319152</v>
      </c>
      <c r="D33">
        <f t="shared" si="11"/>
        <v>0.85760638297872338</v>
      </c>
      <c r="E33">
        <f t="shared" si="11"/>
        <v>0.86079787234042549</v>
      </c>
      <c r="F33">
        <f t="shared" si="11"/>
        <v>0.8587765957446809</v>
      </c>
      <c r="G33">
        <f t="shared" si="11"/>
        <v>0.87127659574468086</v>
      </c>
      <c r="H33">
        <f t="shared" si="11"/>
        <v>0.86750000000000005</v>
      </c>
      <c r="I33">
        <f t="shared" si="11"/>
        <v>0.87414893617021272</v>
      </c>
      <c r="J33">
        <f t="shared" si="11"/>
        <v>0.86420212765957449</v>
      </c>
      <c r="L33">
        <f>16163/18800</f>
        <v>0.85973404255319152</v>
      </c>
      <c r="M33">
        <f>16082/18800</f>
        <v>0.85542553191489357</v>
      </c>
      <c r="N33">
        <f>16183/18800</f>
        <v>0.86079787234042549</v>
      </c>
      <c r="O33">
        <f>15977/18800</f>
        <v>0.84984042553191486</v>
      </c>
      <c r="P33">
        <f>16380/18800</f>
        <v>0.87127659574468086</v>
      </c>
      <c r="Q33">
        <f>16256/18800</f>
        <v>0.86468085106382975</v>
      </c>
      <c r="R33">
        <f>16434/18800</f>
        <v>0.87414893617021272</v>
      </c>
      <c r="S33">
        <f>16070/18800</f>
        <v>0.85478723404255319</v>
      </c>
      <c r="U33">
        <f>15893/18800</f>
        <v>0.84537234042553189</v>
      </c>
      <c r="V33">
        <f>16012/18800</f>
        <v>0.85170212765957443</v>
      </c>
      <c r="W33">
        <f>16056/18800</f>
        <v>0.85404255319148936</v>
      </c>
      <c r="X33">
        <f>16145/18800</f>
        <v>0.8587765957446809</v>
      </c>
      <c r="Y33">
        <f>16203/18800</f>
        <v>0.86186170212765956</v>
      </c>
      <c r="Z33">
        <f>16275/18800</f>
        <v>0.86569148936170215</v>
      </c>
      <c r="AA33">
        <f>16398/18800</f>
        <v>0.87223404255319148</v>
      </c>
      <c r="AB33">
        <f>16065/18800</f>
        <v>0.85452127659574473</v>
      </c>
    </row>
    <row r="34" spans="1:37">
      <c r="B34" t="s">
        <v>18</v>
      </c>
      <c r="C34">
        <f t="shared" si="12"/>
        <v>0.6951063829787234</v>
      </c>
      <c r="D34">
        <f t="shared" si="11"/>
        <v>0.70063829787234044</v>
      </c>
      <c r="E34">
        <f t="shared" si="11"/>
        <v>0.69930851063829791</v>
      </c>
      <c r="F34">
        <f t="shared" si="11"/>
        <v>0.69255319148936167</v>
      </c>
      <c r="G34">
        <f t="shared" si="11"/>
        <v>0.71005319148936175</v>
      </c>
      <c r="H34">
        <f t="shared" si="11"/>
        <v>0.71499999999999997</v>
      </c>
      <c r="I34">
        <f t="shared" si="11"/>
        <v>0.71622340425531916</v>
      </c>
      <c r="J34">
        <f t="shared" si="11"/>
        <v>0.70021276595744686</v>
      </c>
      <c r="L34">
        <f>12407/18800</f>
        <v>0.65994680851063825</v>
      </c>
      <c r="M34">
        <f>13172/18800</f>
        <v>0.70063829787234044</v>
      </c>
      <c r="N34">
        <f>12281/18800</f>
        <v>0.6532446808510638</v>
      </c>
      <c r="O34">
        <f>12873/18800</f>
        <v>0.68473404255319148</v>
      </c>
      <c r="P34">
        <f>12684/18800</f>
        <v>0.6746808510638298</v>
      </c>
      <c r="Q34">
        <f>13442/18800</f>
        <v>0.71499999999999997</v>
      </c>
      <c r="R34">
        <f>13314/18800</f>
        <v>0.70819148936170218</v>
      </c>
      <c r="S34">
        <f>12646/18800</f>
        <v>0.67265957446808511</v>
      </c>
      <c r="U34">
        <f>12767/18800</f>
        <v>0.6790957446808511</v>
      </c>
      <c r="V34">
        <f>12821/18800</f>
        <v>0.68196808510638296</v>
      </c>
      <c r="W34">
        <f>12418/18800</f>
        <v>0.66053191489361707</v>
      </c>
      <c r="X34">
        <f>12893/18800</f>
        <v>0.68579787234042555</v>
      </c>
      <c r="Y34">
        <f>12990/18800</f>
        <v>0.69095744680851068</v>
      </c>
      <c r="Z34">
        <f>13186/18800</f>
        <v>0.70138297872340427</v>
      </c>
      <c r="AA34">
        <f>13360/18800</f>
        <v>0.71063829787234045</v>
      </c>
      <c r="AB34">
        <f>12944/18800</f>
        <v>0.68851063829787229</v>
      </c>
    </row>
    <row r="35" spans="1:37">
      <c r="L35" t="s">
        <v>0</v>
      </c>
      <c r="M35" t="s">
        <v>1</v>
      </c>
      <c r="N35" t="s">
        <v>2</v>
      </c>
      <c r="O35" t="s">
        <v>3</v>
      </c>
      <c r="P35" t="s">
        <v>4</v>
      </c>
      <c r="Q35" t="s">
        <v>5</v>
      </c>
      <c r="R35" t="s">
        <v>6</v>
      </c>
      <c r="S35" t="s">
        <v>7</v>
      </c>
      <c r="U35" t="s">
        <v>0</v>
      </c>
      <c r="V35" t="s">
        <v>1</v>
      </c>
      <c r="W35" t="s">
        <v>2</v>
      </c>
      <c r="X35" t="s">
        <v>3</v>
      </c>
      <c r="Y35" t="s">
        <v>4</v>
      </c>
      <c r="Z35" t="s">
        <v>5</v>
      </c>
      <c r="AA35" t="s">
        <v>6</v>
      </c>
      <c r="AB35" t="s">
        <v>7</v>
      </c>
    </row>
    <row r="36" spans="1:37">
      <c r="B36" t="s">
        <v>12</v>
      </c>
      <c r="C36">
        <f>AVERAGE(L12,L20,L28,L36,U12,U20,U28,U36,AD12,AD20)</f>
        <v>0.86979787234042549</v>
      </c>
      <c r="D36">
        <f t="shared" ref="D36:J42" si="13">AVERAGE(M12,M20,M28,M36,V12,V20,V28,V36,AE12,AE20)</f>
        <v>0.87395744680851062</v>
      </c>
      <c r="E36">
        <f t="shared" si="13"/>
        <v>0.87481914893617019</v>
      </c>
      <c r="F36">
        <f t="shared" si="13"/>
        <v>0.87565957446808507</v>
      </c>
      <c r="G36">
        <f t="shared" si="13"/>
        <v>0.88020212765957451</v>
      </c>
      <c r="H36">
        <f t="shared" si="13"/>
        <v>0.88242553191489359</v>
      </c>
      <c r="I36">
        <f t="shared" si="13"/>
        <v>0.88635106382978734</v>
      </c>
      <c r="J36">
        <f t="shared" si="13"/>
        <v>0.8754202127659575</v>
      </c>
      <c r="L36">
        <f>16285/18800</f>
        <v>0.86622340425531918</v>
      </c>
      <c r="M36">
        <f>16477/18800</f>
        <v>0.87643617021276599</v>
      </c>
      <c r="N36">
        <f>16423/18800</f>
        <v>0.87356382978723401</v>
      </c>
      <c r="O36">
        <f>16496/18800</f>
        <v>0.87744680851063828</v>
      </c>
      <c r="P36">
        <f>16498/18800</f>
        <v>0.87755319148936173</v>
      </c>
      <c r="Q36">
        <f>16611/18800</f>
        <v>0.88356382978723402</v>
      </c>
      <c r="R36">
        <f>16657/18800</f>
        <v>0.8860106382978723</v>
      </c>
      <c r="S36">
        <f>16489/18800</f>
        <v>0.87707446808510636</v>
      </c>
      <c r="U36">
        <f>16339/18800</f>
        <v>0.86909574468085105</v>
      </c>
      <c r="V36">
        <f>16360/18800</f>
        <v>0.87021276595744679</v>
      </c>
      <c r="W36">
        <f>16491/18800</f>
        <v>0.87718085106382981</v>
      </c>
      <c r="X36">
        <f>16382/18800</f>
        <v>0.8713829787234042</v>
      </c>
      <c r="Y36">
        <f>16581/18800</f>
        <v>0.88196808510638303</v>
      </c>
      <c r="Z36">
        <f>16571/18800</f>
        <v>0.88143617021276599</v>
      </c>
      <c r="AA36">
        <f>16686/18800</f>
        <v>0.88755319148936174</v>
      </c>
      <c r="AB36">
        <f>16521/18800</f>
        <v>0.87877659574468081</v>
      </c>
    </row>
    <row r="37" spans="1:37">
      <c r="B37" t="s">
        <v>13</v>
      </c>
      <c r="C37">
        <f t="shared" ref="C37:C42" si="14">AVERAGE(L13,L21,L29,L37,U13,U21,U29,U37,AD13,AD21)</f>
        <v>0.86880319148936169</v>
      </c>
      <c r="D37">
        <f t="shared" si="13"/>
        <v>0.87319148936170221</v>
      </c>
      <c r="E37">
        <f t="shared" si="13"/>
        <v>0.87371808510638294</v>
      </c>
      <c r="F37">
        <f t="shared" si="13"/>
        <v>0.87464893617021278</v>
      </c>
      <c r="G37">
        <f t="shared" si="13"/>
        <v>0.87927659574468087</v>
      </c>
      <c r="H37">
        <f t="shared" si="13"/>
        <v>0.88178191489361701</v>
      </c>
      <c r="I37">
        <f t="shared" si="13"/>
        <v>0.88604787234042548</v>
      </c>
      <c r="J37">
        <f t="shared" si="13"/>
        <v>0.87477127659574483</v>
      </c>
      <c r="L37">
        <f>16283/18800</f>
        <v>0.86611702127659573</v>
      </c>
      <c r="M37">
        <f>16462/18800</f>
        <v>0.87563829787234038</v>
      </c>
      <c r="N37">
        <f>16393/18800</f>
        <v>0.87196808510638302</v>
      </c>
      <c r="O37">
        <f>16484/18800</f>
        <v>0.8768085106382979</v>
      </c>
      <c r="P37">
        <f>16475/18800</f>
        <v>0.87632978723404253</v>
      </c>
      <c r="Q37">
        <f>16608/18800</f>
        <v>0.8834042553191489</v>
      </c>
      <c r="R37">
        <f>16667/18800</f>
        <v>0.88654255319148934</v>
      </c>
      <c r="S37">
        <f>16474/18800</f>
        <v>0.87627659574468086</v>
      </c>
      <c r="U37">
        <f>16319/18800</f>
        <v>0.86803191489361697</v>
      </c>
      <c r="V37">
        <f>16357/18800</f>
        <v>0.87005319148936167</v>
      </c>
      <c r="W37">
        <f>16478/18800</f>
        <v>0.87648936170212766</v>
      </c>
      <c r="X37">
        <f>16357/18800</f>
        <v>0.87005319148936167</v>
      </c>
      <c r="Y37">
        <f>16571/18800</f>
        <v>0.88143617021276599</v>
      </c>
      <c r="Z37">
        <f>16549/18800</f>
        <v>0.88026595744680847</v>
      </c>
      <c r="AA37">
        <f>16672/18800</f>
        <v>0.88680851063829791</v>
      </c>
      <c r="AB37">
        <f>16499/18800</f>
        <v>0.8776063829787234</v>
      </c>
    </row>
    <row r="38" spans="1:37">
      <c r="B38" t="s">
        <v>14</v>
      </c>
      <c r="C38">
        <f t="shared" si="14"/>
        <v>0.8205106382978723</v>
      </c>
      <c r="D38">
        <f t="shared" si="13"/>
        <v>0.82526595744680853</v>
      </c>
      <c r="E38">
        <f t="shared" si="13"/>
        <v>0.82287765957446801</v>
      </c>
      <c r="F38">
        <f t="shared" si="13"/>
        <v>0.82687234042553182</v>
      </c>
      <c r="G38">
        <f t="shared" si="13"/>
        <v>0.83221276595744675</v>
      </c>
      <c r="H38">
        <f t="shared" si="13"/>
        <v>0.83667553191489363</v>
      </c>
      <c r="I38">
        <f t="shared" si="13"/>
        <v>0.84206382978723404</v>
      </c>
      <c r="J38">
        <f t="shared" si="13"/>
        <v>0.82678723404255317</v>
      </c>
      <c r="L38">
        <f>15444/18800</f>
        <v>0.82148936170212761</v>
      </c>
      <c r="M38">
        <f>15507/18800</f>
        <v>0.82484042553191494</v>
      </c>
      <c r="N38">
        <f>15367/18800</f>
        <v>0.81739361702127655</v>
      </c>
      <c r="O38">
        <f>15661/18800</f>
        <v>0.83303191489361705</v>
      </c>
      <c r="P38">
        <f>15603/18800</f>
        <v>0.82994680851063829</v>
      </c>
      <c r="Q38">
        <f>15751/18800</f>
        <v>0.83781914893617027</v>
      </c>
      <c r="R38">
        <f>15856/18800</f>
        <v>0.84340425531914898</v>
      </c>
      <c r="S38">
        <f>15542/18800</f>
        <v>0.82670212765957451</v>
      </c>
      <c r="U38">
        <f>15369/18800</f>
        <v>0.8175</v>
      </c>
      <c r="V38">
        <f>15602/18800</f>
        <v>0.82989361702127662</v>
      </c>
      <c r="W38">
        <f>15570/18800</f>
        <v>0.82819148936170217</v>
      </c>
      <c r="X38">
        <f>15615/18800</f>
        <v>0.83058510638297878</v>
      </c>
      <c r="Y38">
        <f>15726/18800</f>
        <v>0.83648936170212762</v>
      </c>
      <c r="Z38">
        <f>15804/18800</f>
        <v>0.84063829787234046</v>
      </c>
      <c r="AA38">
        <f>15911/18800</f>
        <v>0.84632978723404251</v>
      </c>
      <c r="AB38">
        <f>15555/18800</f>
        <v>0.82739361702127656</v>
      </c>
    </row>
    <row r="39" spans="1:37">
      <c r="A39" t="s">
        <v>9</v>
      </c>
      <c r="B39" t="s">
        <v>15</v>
      </c>
      <c r="C39">
        <f t="shared" si="14"/>
        <v>0.68492021276595749</v>
      </c>
      <c r="D39">
        <f t="shared" si="13"/>
        <v>0.69481382978723405</v>
      </c>
      <c r="E39">
        <f t="shared" si="13"/>
        <v>0.6965265957446809</v>
      </c>
      <c r="F39">
        <f t="shared" si="13"/>
        <v>0.69772872340425529</v>
      </c>
      <c r="G39">
        <f t="shared" si="13"/>
        <v>0.7073404255319149</v>
      </c>
      <c r="H39">
        <f t="shared" si="13"/>
        <v>0.71412765957446811</v>
      </c>
      <c r="I39">
        <f t="shared" si="13"/>
        <v>0.72320744680851057</v>
      </c>
      <c r="J39">
        <f t="shared" si="13"/>
        <v>0.7061276595744681</v>
      </c>
      <c r="K39" t="s">
        <v>28</v>
      </c>
      <c r="L39">
        <f>12945/18800</f>
        <v>0.68856382978723407</v>
      </c>
      <c r="M39">
        <f>13616/18800</f>
        <v>0.72425531914893615</v>
      </c>
      <c r="N39">
        <f>13003/18800</f>
        <v>0.69164893617021272</v>
      </c>
      <c r="O39">
        <f>13273/18800</f>
        <v>0.70601063829787236</v>
      </c>
      <c r="P39">
        <f>13291/18800</f>
        <v>0.70696808510638298</v>
      </c>
      <c r="Q39">
        <f>13720/18800</f>
        <v>0.72978723404255319</v>
      </c>
      <c r="R39">
        <f>13777/18800</f>
        <v>0.73281914893617017</v>
      </c>
      <c r="S39">
        <f>13087/18800</f>
        <v>0.69611702127659569</v>
      </c>
      <c r="T39" t="s">
        <v>32</v>
      </c>
      <c r="U39">
        <f>13097/18800</f>
        <v>0.69664893617021273</v>
      </c>
      <c r="V39">
        <f>11807/18800</f>
        <v>0.62803191489361698</v>
      </c>
      <c r="W39">
        <f>13037/18800</f>
        <v>0.69345744680851062</v>
      </c>
      <c r="X39">
        <f>12276/18800</f>
        <v>0.65297872340425533</v>
      </c>
      <c r="Y39">
        <f>13359/18800</f>
        <v>0.71058510638297867</v>
      </c>
      <c r="Z39">
        <f>12428/18800</f>
        <v>0.66106382978723399</v>
      </c>
      <c r="AA39">
        <f>13120/18800</f>
        <v>0.69787234042553192</v>
      </c>
      <c r="AB39">
        <f>13194/18800</f>
        <v>0.70180851063829786</v>
      </c>
    </row>
    <row r="40" spans="1:37">
      <c r="B40" t="s">
        <v>16</v>
      </c>
      <c r="C40">
        <f t="shared" si="14"/>
        <v>0.60201595744680847</v>
      </c>
      <c r="D40">
        <f t="shared" si="13"/>
        <v>0.61229787234042565</v>
      </c>
      <c r="E40">
        <f t="shared" si="13"/>
        <v>0.61652659574468083</v>
      </c>
      <c r="F40">
        <f t="shared" si="13"/>
        <v>0.61428723404255314</v>
      </c>
      <c r="G40">
        <f t="shared" si="13"/>
        <v>0.62483510638297868</v>
      </c>
      <c r="H40">
        <f t="shared" si="13"/>
        <v>0.62795212765957442</v>
      </c>
      <c r="I40">
        <f t="shared" si="13"/>
        <v>0.63649468085106387</v>
      </c>
      <c r="J40">
        <f t="shared" si="13"/>
        <v>0.6237978723404255</v>
      </c>
      <c r="L40">
        <f>11693/18800</f>
        <v>0.62196808510638302</v>
      </c>
      <c r="M40">
        <f>11675/18800</f>
        <v>0.62101063829787229</v>
      </c>
      <c r="N40">
        <f>11465/18800</f>
        <v>0.60984042553191486</v>
      </c>
      <c r="O40">
        <f>11511/18800</f>
        <v>0.61228723404255314</v>
      </c>
      <c r="P40">
        <f>11848/18800</f>
        <v>0.6302127659574468</v>
      </c>
      <c r="Q40">
        <f>11853/18800</f>
        <v>0.63047872340425537</v>
      </c>
      <c r="R40">
        <f>12050/18800</f>
        <v>0.64095744680851063</v>
      </c>
      <c r="S40">
        <f>11831/18800</f>
        <v>0.62930851063829785</v>
      </c>
      <c r="U40">
        <f>10556/18800</f>
        <v>0.56148936170212771</v>
      </c>
      <c r="V40">
        <f>11375/18800</f>
        <v>0.60505319148936165</v>
      </c>
      <c r="W40">
        <f>11490/18800</f>
        <v>0.6111702127659574</v>
      </c>
      <c r="X40">
        <f>11742/18800</f>
        <v>0.62457446808510642</v>
      </c>
      <c r="Y40">
        <f>11292/18800</f>
        <v>0.60063829787234047</v>
      </c>
      <c r="Z40">
        <f>11907/18800</f>
        <v>0.63335106382978723</v>
      </c>
      <c r="AA40">
        <f>11857/18800</f>
        <v>0.63069148936170216</v>
      </c>
      <c r="AB40">
        <f>11521/18800</f>
        <v>0.61281914893617018</v>
      </c>
    </row>
    <row r="41" spans="1:37">
      <c r="B41" t="s">
        <v>17</v>
      </c>
      <c r="C41">
        <f t="shared" si="14"/>
        <v>0.8485372340425531</v>
      </c>
      <c r="D41">
        <f t="shared" si="13"/>
        <v>0.85304787234042545</v>
      </c>
      <c r="E41">
        <f t="shared" si="13"/>
        <v>0.85531382978723403</v>
      </c>
      <c r="F41">
        <f t="shared" si="13"/>
        <v>0.85411702127659572</v>
      </c>
      <c r="G41">
        <f t="shared" si="13"/>
        <v>0.86166489361702125</v>
      </c>
      <c r="H41">
        <f t="shared" si="13"/>
        <v>0.86489893617021285</v>
      </c>
      <c r="I41">
        <f t="shared" si="13"/>
        <v>0.87114893617021283</v>
      </c>
      <c r="J41">
        <f t="shared" si="13"/>
        <v>0.85716489361702131</v>
      </c>
      <c r="L41">
        <f>15875/18800</f>
        <v>0.84441489361702127</v>
      </c>
      <c r="M41">
        <f>16068/18800</f>
        <v>0.85468085106382974</v>
      </c>
      <c r="N41">
        <f>15986/18800</f>
        <v>0.85031914893617022</v>
      </c>
      <c r="O41">
        <f>16093/18800</f>
        <v>0.85601063829787238</v>
      </c>
      <c r="P41">
        <f>16095/18800</f>
        <v>0.85611702127659572</v>
      </c>
      <c r="Q41">
        <f>16267/18800</f>
        <v>0.86526595744680856</v>
      </c>
      <c r="R41">
        <f>16327/18800</f>
        <v>0.86845744680851067</v>
      </c>
      <c r="S41">
        <f>16056/18800</f>
        <v>0.85404255319148936</v>
      </c>
      <c r="U41">
        <f>15997/18800</f>
        <v>0.85090425531914893</v>
      </c>
      <c r="V41">
        <f>15922/18800</f>
        <v>0.84691489361702132</v>
      </c>
      <c r="W41">
        <f>16170/18800</f>
        <v>0.86010638297872344</v>
      </c>
      <c r="X41">
        <f>16017/18800</f>
        <v>0.851968085106383</v>
      </c>
      <c r="Y41">
        <f>16264/18800</f>
        <v>0.86510638297872344</v>
      </c>
      <c r="Z41">
        <f>16194/18800</f>
        <v>0.8613829787234043</v>
      </c>
      <c r="AA41">
        <f>16396/18800</f>
        <v>0.87212765957446814</v>
      </c>
      <c r="AB41">
        <f>16144/18800</f>
        <v>0.85872340425531912</v>
      </c>
    </row>
    <row r="42" spans="1:37">
      <c r="B42" t="s">
        <v>18</v>
      </c>
      <c r="C42">
        <f t="shared" si="14"/>
        <v>0.67338297872340425</v>
      </c>
      <c r="D42">
        <f t="shared" si="13"/>
        <v>0.67974468085106365</v>
      </c>
      <c r="E42">
        <f t="shared" si="13"/>
        <v>0.67559042553191506</v>
      </c>
      <c r="F42">
        <f t="shared" si="13"/>
        <v>0.68101595744680854</v>
      </c>
      <c r="G42">
        <f t="shared" si="13"/>
        <v>0.69361170212765955</v>
      </c>
      <c r="H42">
        <f t="shared" si="13"/>
        <v>0.70027659574468082</v>
      </c>
      <c r="I42">
        <f t="shared" si="13"/>
        <v>0.71027659574468083</v>
      </c>
      <c r="J42">
        <f t="shared" si="13"/>
        <v>0.68355319148936178</v>
      </c>
      <c r="L42">
        <f>12813/18800</f>
        <v>0.68154255319148938</v>
      </c>
      <c r="M42">
        <f>12999/18800</f>
        <v>0.69143617021276593</v>
      </c>
      <c r="N42">
        <f>12533/18800</f>
        <v>0.66664893617021281</v>
      </c>
      <c r="O42">
        <f>12826/18800</f>
        <v>0.68223404255319153</v>
      </c>
      <c r="P42">
        <f>13028/18800</f>
        <v>0.69297872340425537</v>
      </c>
      <c r="Q42">
        <f>13296/18800</f>
        <v>0.70723404255319144</v>
      </c>
      <c r="R42">
        <f>13406/18800</f>
        <v>0.71308510638297873</v>
      </c>
      <c r="S42">
        <f>12872/18800</f>
        <v>0.68468085106382981</v>
      </c>
      <c r="U42">
        <f>12137/18800</f>
        <v>0.64558510638297872</v>
      </c>
      <c r="V42">
        <f>12386/18800</f>
        <v>0.65882978723404251</v>
      </c>
      <c r="W42">
        <f>12702/18800</f>
        <v>0.67563829787234042</v>
      </c>
      <c r="X42">
        <f>13020/18800</f>
        <v>0.69255319148936167</v>
      </c>
      <c r="Y42">
        <f>12721/18800</f>
        <v>0.67664893617021271</v>
      </c>
      <c r="Z42">
        <f>13111/18800</f>
        <v>0.69739361702127656</v>
      </c>
      <c r="AA42">
        <f>13170/18800</f>
        <v>0.70053191489361699</v>
      </c>
      <c r="AB42">
        <f>13076/18800</f>
        <v>0.69553191489361699</v>
      </c>
    </row>
    <row r="43" spans="1:37">
      <c r="A43" t="s">
        <v>40</v>
      </c>
    </row>
    <row r="44" spans="1:37">
      <c r="B44" t="s">
        <v>19</v>
      </c>
      <c r="C44" t="s">
        <v>0</v>
      </c>
      <c r="D44" t="s">
        <v>1</v>
      </c>
      <c r="E44" t="s">
        <v>2</v>
      </c>
      <c r="F44" t="s">
        <v>3</v>
      </c>
      <c r="G44" t="s">
        <v>4</v>
      </c>
      <c r="H44" t="s">
        <v>5</v>
      </c>
      <c r="I44" t="s">
        <v>6</v>
      </c>
      <c r="J44" t="s">
        <v>7</v>
      </c>
      <c r="L44" t="s">
        <v>0</v>
      </c>
      <c r="M44" t="s">
        <v>1</v>
      </c>
      <c r="N44" t="s">
        <v>2</v>
      </c>
      <c r="O44" t="s">
        <v>3</v>
      </c>
      <c r="P44" t="s">
        <v>4</v>
      </c>
      <c r="Q44" t="s">
        <v>5</v>
      </c>
      <c r="R44" t="s">
        <v>6</v>
      </c>
      <c r="S44" t="s">
        <v>7</v>
      </c>
      <c r="U44" t="s">
        <v>0</v>
      </c>
      <c r="V44" t="s">
        <v>1</v>
      </c>
      <c r="W44" t="s">
        <v>2</v>
      </c>
      <c r="X44" t="s">
        <v>3</v>
      </c>
      <c r="Y44" t="s">
        <v>4</v>
      </c>
      <c r="Z44" t="s">
        <v>5</v>
      </c>
      <c r="AA44" t="s">
        <v>6</v>
      </c>
      <c r="AB44" t="s">
        <v>7</v>
      </c>
      <c r="AD44" t="s">
        <v>0</v>
      </c>
      <c r="AE44" t="s">
        <v>1</v>
      </c>
      <c r="AF44" t="s">
        <v>2</v>
      </c>
      <c r="AG44" t="s">
        <v>3</v>
      </c>
      <c r="AH44" t="s">
        <v>4</v>
      </c>
      <c r="AI44" t="s">
        <v>5</v>
      </c>
      <c r="AJ44" t="s">
        <v>6</v>
      </c>
      <c r="AK44" t="s">
        <v>7</v>
      </c>
    </row>
    <row r="45" spans="1:37">
      <c r="B45">
        <v>0</v>
      </c>
      <c r="C45">
        <f>16444 / 18800</f>
        <v>0.87468085106382976</v>
      </c>
      <c r="D45">
        <f>16423 / 18800</f>
        <v>0.87356382978723401</v>
      </c>
      <c r="E45">
        <f>16514 / 18800</f>
        <v>0.8784042553191489</v>
      </c>
      <c r="F45">
        <f>16485 / 18800</f>
        <v>0.87686170212765957</v>
      </c>
      <c r="G45">
        <f>16601 / 18800</f>
        <v>0.88303191489361699</v>
      </c>
      <c r="H45">
        <f>16616 / 18800</f>
        <v>0.8838297872340426</v>
      </c>
      <c r="I45">
        <f>16663 / 18800</f>
        <v>0.88632978723404254</v>
      </c>
      <c r="J45">
        <f>16415 / 18800</f>
        <v>0.87313829787234043</v>
      </c>
      <c r="L45">
        <f>16340 / 18800</f>
        <v>0.86914893617021272</v>
      </c>
      <c r="M45">
        <f>16479 / 18800</f>
        <v>0.87654255319148933</v>
      </c>
      <c r="N45">
        <f>16477 / 18800</f>
        <v>0.87643617021276599</v>
      </c>
      <c r="O45">
        <f>16437 / 18800</f>
        <v>0.87430851063829784</v>
      </c>
      <c r="P45">
        <f>16531 / 18800</f>
        <v>0.87930851063829785</v>
      </c>
      <c r="Q45">
        <f>16599 / 18800</f>
        <v>0.88292553191489365</v>
      </c>
      <c r="R45">
        <f>16689 / 18800</f>
        <v>0.88771276595744686</v>
      </c>
      <c r="S45">
        <f>16473 / 18800</f>
        <v>0.87622340425531919</v>
      </c>
      <c r="U45">
        <v>0.86712765957446802</v>
      </c>
      <c r="V45">
        <v>0.870106382978723</v>
      </c>
      <c r="W45">
        <v>0.87287234042553197</v>
      </c>
      <c r="X45">
        <v>0.87388297872340404</v>
      </c>
      <c r="Y45">
        <v>0.87904255319148905</v>
      </c>
      <c r="Z45">
        <v>0.88207446808510603</v>
      </c>
      <c r="AA45">
        <v>0.88510638297872302</v>
      </c>
      <c r="AB45">
        <v>0.87702127659574403</v>
      </c>
      <c r="AD45">
        <v>0.87909574468085105</v>
      </c>
      <c r="AE45">
        <v>0.87553191489361704</v>
      </c>
      <c r="AF45">
        <v>0.87372340425531902</v>
      </c>
      <c r="AG45">
        <v>0.878351063829787</v>
      </c>
      <c r="AH45">
        <v>0.88313829787233999</v>
      </c>
      <c r="AI45">
        <v>0.88303191489361699</v>
      </c>
      <c r="AJ45">
        <v>0.88760638297872296</v>
      </c>
      <c r="AK45">
        <v>0.87117021276595696</v>
      </c>
    </row>
    <row r="46" spans="1:37">
      <c r="B46">
        <v>0.01</v>
      </c>
      <c r="C46">
        <f>16275 / 18800</f>
        <v>0.86569148936170215</v>
      </c>
      <c r="D46">
        <f>16243 / 18800</f>
        <v>0.8639893617021277</v>
      </c>
      <c r="E46">
        <f>16323 / 18800</f>
        <v>0.86824468085106388</v>
      </c>
      <c r="F46">
        <f>16306 / 18800</f>
        <v>0.86734042553191493</v>
      </c>
      <c r="G46">
        <f>16431 / 18800</f>
        <v>0.87398936170212771</v>
      </c>
      <c r="H46">
        <f>16443 / 18800</f>
        <v>0.87462765957446809</v>
      </c>
      <c r="I46">
        <f>16517 / 18800</f>
        <v>0.87856382978723402</v>
      </c>
      <c r="J46">
        <f>16242 / 18800</f>
        <v>0.86393617021276592</v>
      </c>
      <c r="L46">
        <f>16186 / 18800</f>
        <v>0.86095744680851061</v>
      </c>
      <c r="M46">
        <f>16307 / 18800</f>
        <v>0.8673936170212766</v>
      </c>
      <c r="N46">
        <f>16268 / 18800</f>
        <v>0.86531914893617023</v>
      </c>
      <c r="O46">
        <f>16230 / 18800</f>
        <v>0.86329787234042554</v>
      </c>
      <c r="P46">
        <f>16384 / 18800</f>
        <v>0.87148936170212765</v>
      </c>
      <c r="Q46">
        <f>16408 / 18800</f>
        <v>0.87276595744680852</v>
      </c>
      <c r="R46">
        <f>16530 / 18800</f>
        <v>0.87925531914893618</v>
      </c>
      <c r="S46">
        <f>16264 / 18800</f>
        <v>0.86510638297872344</v>
      </c>
      <c r="U46">
        <v>0.85569148936170203</v>
      </c>
      <c r="V46">
        <v>0.86053191489361702</v>
      </c>
      <c r="W46">
        <v>0.863510638297872</v>
      </c>
      <c r="X46">
        <v>0.86361702127659501</v>
      </c>
      <c r="Y46">
        <v>0.87021276595744601</v>
      </c>
      <c r="Z46">
        <v>0.87281914893616996</v>
      </c>
      <c r="AA46">
        <v>0.87728723404255304</v>
      </c>
      <c r="AB46">
        <v>0.86845744680000003</v>
      </c>
      <c r="AD46">
        <v>0.86914893617021205</v>
      </c>
      <c r="AE46">
        <v>0.86632978723404197</v>
      </c>
      <c r="AF46">
        <v>0.86537234042553102</v>
      </c>
      <c r="AG46">
        <v>0.86898936170212704</v>
      </c>
      <c r="AH46">
        <v>0.87468085106382898</v>
      </c>
      <c r="AI46">
        <v>0.87436170212765896</v>
      </c>
      <c r="AJ46">
        <v>0.88095744680850996</v>
      </c>
      <c r="AK46">
        <v>0.86265957446808506</v>
      </c>
    </row>
    <row r="47" spans="1:37">
      <c r="B47">
        <v>0.02</v>
      </c>
      <c r="C47">
        <f>16086 / 18800</f>
        <v>0.85563829787234047</v>
      </c>
      <c r="D47">
        <f>16062 / 18800</f>
        <v>0.85436170212765961</v>
      </c>
      <c r="E47">
        <f>16126 / 18800</f>
        <v>0.8577659574468085</v>
      </c>
      <c r="F47">
        <f>16101 / 18800</f>
        <v>0.85643617021276597</v>
      </c>
      <c r="G47">
        <f>16238 / 18800</f>
        <v>0.86372340425531913</v>
      </c>
      <c r="H47">
        <f>16260 / 18800</f>
        <v>0.86489361702127665</v>
      </c>
      <c r="I47">
        <f>16352 / 18800</f>
        <v>0.8697872340425532</v>
      </c>
      <c r="J47">
        <f>16034 / 18800</f>
        <v>0.85287234042553195</v>
      </c>
      <c r="L47">
        <f>16000 / 18800</f>
        <v>0.85106382978723405</v>
      </c>
      <c r="M47">
        <f>16127 / 18800</f>
        <v>0.85781914893617017</v>
      </c>
      <c r="N47">
        <f>16087 / 18800</f>
        <v>0.85569148936170214</v>
      </c>
      <c r="O47">
        <f>16023 / 18800</f>
        <v>0.85228723404255324</v>
      </c>
      <c r="P47">
        <f>16209 / 18800</f>
        <v>0.8621808510638298</v>
      </c>
      <c r="Q47">
        <f>16226 / 18800</f>
        <v>0.86308510638297875</v>
      </c>
      <c r="R47">
        <f>16388 / 18800</f>
        <v>0.87170212765957444</v>
      </c>
      <c r="S47">
        <f>16080 / 18800</f>
        <v>0.85531914893617023</v>
      </c>
      <c r="U47">
        <v>0.84553191489361701</v>
      </c>
      <c r="V47">
        <v>0.84888297872340401</v>
      </c>
      <c r="W47">
        <v>0.85127659574467995</v>
      </c>
      <c r="X47">
        <v>0.853563829787234</v>
      </c>
      <c r="Y47">
        <v>0.86053191489361702</v>
      </c>
      <c r="Z47">
        <v>0.863510638297872</v>
      </c>
      <c r="AA47">
        <v>0.86925531914893595</v>
      </c>
      <c r="AB47">
        <v>0.85829787229999999</v>
      </c>
      <c r="AD47">
        <v>0.85914893617021204</v>
      </c>
      <c r="AE47">
        <v>0.856968085106383</v>
      </c>
      <c r="AF47">
        <v>0.85547872340425501</v>
      </c>
      <c r="AG47">
        <v>0.85803191489361696</v>
      </c>
      <c r="AH47">
        <v>0.86622340425531896</v>
      </c>
      <c r="AI47">
        <v>0.86452127659574396</v>
      </c>
      <c r="AJ47">
        <v>0.87292553191489297</v>
      </c>
      <c r="AK47">
        <v>0.85297872340425496</v>
      </c>
    </row>
    <row r="48" spans="1:37">
      <c r="A48" t="s">
        <v>8</v>
      </c>
      <c r="B48">
        <v>0.03</v>
      </c>
      <c r="C48">
        <f>15875 / 18800</f>
        <v>0.84441489361702127</v>
      </c>
      <c r="D48">
        <f>15879 / 18800</f>
        <v>0.84462765957446806</v>
      </c>
      <c r="E48">
        <f>15917 / 18800</f>
        <v>0.84664893617021275</v>
      </c>
      <c r="F48">
        <f>15875 / 18800</f>
        <v>0.84441489361702127</v>
      </c>
      <c r="G48">
        <f>16069 / 18800</f>
        <v>0.85473404255319152</v>
      </c>
      <c r="H48">
        <f>16067 / 18800</f>
        <v>0.85462765957446807</v>
      </c>
      <c r="I48">
        <f>16207 / 18800</f>
        <v>0.86207446808510635</v>
      </c>
      <c r="J48">
        <f>15852 / 18800</f>
        <v>0.84319148936170207</v>
      </c>
      <c r="K48" t="s">
        <v>25</v>
      </c>
      <c r="L48">
        <f>15798 / 18800</f>
        <v>0.84031914893617021</v>
      </c>
      <c r="M48">
        <f>15935 / 18800</f>
        <v>0.84760638297872337</v>
      </c>
      <c r="N48">
        <f>15882 / 18800</f>
        <v>0.84478723404255318</v>
      </c>
      <c r="O48">
        <f>15830 / 18800</f>
        <v>0.84202127659574466</v>
      </c>
      <c r="P48">
        <f>16029 / 18800</f>
        <v>0.85260638297872338</v>
      </c>
      <c r="Q48">
        <f>16069 / 18800</f>
        <v>0.85473404255319152</v>
      </c>
      <c r="R48">
        <f>16232 / 18800</f>
        <v>0.86340425531914888</v>
      </c>
      <c r="S48">
        <f>15861 / 18800</f>
        <v>0.84367021276595744</v>
      </c>
      <c r="T48" t="s">
        <v>29</v>
      </c>
      <c r="U48">
        <v>0.83234042553191401</v>
      </c>
      <c r="V48">
        <v>0.83835106382978697</v>
      </c>
      <c r="W48">
        <v>0.84010638297872298</v>
      </c>
      <c r="X48">
        <v>0.84101063829787204</v>
      </c>
      <c r="Y48">
        <v>0.84973404255319096</v>
      </c>
      <c r="Z48">
        <v>0.85239361702127603</v>
      </c>
      <c r="AA48">
        <v>0.85914893617021204</v>
      </c>
      <c r="AB48">
        <v>0.84787234040000004</v>
      </c>
      <c r="AC48" t="s">
        <v>33</v>
      </c>
      <c r="AD48">
        <v>0.84840425531914898</v>
      </c>
      <c r="AE48">
        <v>0.84648936170212696</v>
      </c>
      <c r="AF48">
        <v>0.84382978723404201</v>
      </c>
      <c r="AG48">
        <v>0.848670212765957</v>
      </c>
      <c r="AH48">
        <v>0.85755319148936104</v>
      </c>
      <c r="AI48">
        <v>0.85569148936170203</v>
      </c>
      <c r="AJ48">
        <v>0.86484042553191398</v>
      </c>
      <c r="AK48">
        <v>0.84074468085106302</v>
      </c>
    </row>
    <row r="49" spans="1:37">
      <c r="B49">
        <v>0.04</v>
      </c>
      <c r="C49">
        <f>15658 / 18800</f>
        <v>0.83287234042553193</v>
      </c>
      <c r="D49">
        <f>15664 / 18800</f>
        <v>0.83319148936170218</v>
      </c>
      <c r="E49">
        <f>15677 / 18800</f>
        <v>0.83388297872340422</v>
      </c>
      <c r="F49">
        <f>15607 / 18800</f>
        <v>0.83015957446808508</v>
      </c>
      <c r="G49">
        <f>15872 / 18800</f>
        <v>0.84425531914893615</v>
      </c>
      <c r="H49">
        <f>15875 / 18800</f>
        <v>0.84441489361702127</v>
      </c>
      <c r="I49">
        <f>16037 / 18800</f>
        <v>0.85303191489361707</v>
      </c>
      <c r="J49">
        <f>15644 / 18800</f>
        <v>0.8321276595744681</v>
      </c>
      <c r="L49">
        <f>15634 / 18800</f>
        <v>0.83159574468085107</v>
      </c>
      <c r="M49">
        <f>15724 / 18800</f>
        <v>0.83638297872340428</v>
      </c>
      <c r="N49">
        <f>15639 / 18800</f>
        <v>0.83186170212765953</v>
      </c>
      <c r="O49">
        <f>15613 / 18800</f>
        <v>0.83047872340425533</v>
      </c>
      <c r="P49">
        <f>15845 / 18800</f>
        <v>0.84281914893617016</v>
      </c>
      <c r="Q49">
        <f>15886 / 18800</f>
        <v>0.84499999999999997</v>
      </c>
      <c r="R49">
        <f>16046 / 18800</f>
        <v>0.85351063829787233</v>
      </c>
      <c r="S49">
        <f>15644 / 18800</f>
        <v>0.8321276595744681</v>
      </c>
      <c r="U49">
        <v>0.81984042553191405</v>
      </c>
      <c r="V49">
        <v>0.82755319148936102</v>
      </c>
      <c r="W49">
        <v>0.82877659574467999</v>
      </c>
      <c r="X49">
        <v>0.82739361702127601</v>
      </c>
      <c r="Y49">
        <v>0.83946808510638204</v>
      </c>
      <c r="Z49">
        <v>0.84095744680851003</v>
      </c>
      <c r="AA49">
        <v>0.84957446808510595</v>
      </c>
      <c r="AB49">
        <v>0.83632978722999995</v>
      </c>
      <c r="AD49">
        <v>0.837234042553191</v>
      </c>
      <c r="AE49">
        <v>0.83585106382978702</v>
      </c>
      <c r="AF49">
        <v>0.83281914893617004</v>
      </c>
      <c r="AG49">
        <v>0.83835106382978697</v>
      </c>
      <c r="AH49">
        <v>0.84723404255319101</v>
      </c>
      <c r="AI49">
        <v>0.84712765957446801</v>
      </c>
      <c r="AJ49">
        <v>0.85585106382978704</v>
      </c>
      <c r="AK49">
        <v>0.82957446808510604</v>
      </c>
    </row>
    <row r="50" spans="1:37">
      <c r="B50">
        <v>0.05</v>
      </c>
      <c r="C50">
        <f>15428 / 18800</f>
        <v>0.82063829787234044</v>
      </c>
      <c r="D50">
        <f>15437 / 18800</f>
        <v>0.82111702127659569</v>
      </c>
      <c r="E50">
        <f>15409 / 18800</f>
        <v>0.81962765957446804</v>
      </c>
      <c r="F50">
        <f>15374 / 18800</f>
        <v>0.81776595744680847</v>
      </c>
      <c r="G50">
        <f>15670 / 18800</f>
        <v>0.83351063829787231</v>
      </c>
      <c r="H50">
        <f>15652 / 18800</f>
        <v>0.83255319148936169</v>
      </c>
      <c r="I50">
        <f>15856 / 18800</f>
        <v>0.84340425531914898</v>
      </c>
      <c r="J50">
        <f>15429 / 18800</f>
        <v>0.82069148936170211</v>
      </c>
      <c r="L50">
        <f xml:space="preserve"> 15426 / 18800</f>
        <v>0.82053191489361699</v>
      </c>
      <c r="M50">
        <f>15528 / 18800</f>
        <v>0.82595744680851069</v>
      </c>
      <c r="N50">
        <f>15389 / 18800</f>
        <v>0.81856382978723408</v>
      </c>
      <c r="O50">
        <f>15397 / 18800</f>
        <v>0.81898936170212766</v>
      </c>
      <c r="P50">
        <f>15645 / 18800</f>
        <v>0.83218085106382977</v>
      </c>
      <c r="Q50">
        <f>15700 / 18800</f>
        <v>0.83510638297872342</v>
      </c>
      <c r="R50">
        <f>15854 / 18800</f>
        <v>0.84329787234042553</v>
      </c>
      <c r="S50">
        <f>15404 / 18800</f>
        <v>0.81936170212765957</v>
      </c>
      <c r="U50">
        <v>0.80505319148936105</v>
      </c>
      <c r="V50">
        <v>0.81632978723404204</v>
      </c>
      <c r="W50">
        <v>0.81797872340425504</v>
      </c>
      <c r="X50">
        <v>0.81430851063829701</v>
      </c>
      <c r="Y50">
        <v>0.82787234042553104</v>
      </c>
      <c r="Z50">
        <v>0.828936170212766</v>
      </c>
      <c r="AA50">
        <v>0.84021276595744598</v>
      </c>
      <c r="AB50">
        <v>0.82319148935999997</v>
      </c>
      <c r="AD50">
        <v>0.82553191489361699</v>
      </c>
      <c r="AE50">
        <v>0.82478723404255305</v>
      </c>
      <c r="AF50">
        <v>0.81978723404255305</v>
      </c>
      <c r="AG50">
        <v>0.82638297872340405</v>
      </c>
      <c r="AH50">
        <v>0.83611702127659504</v>
      </c>
      <c r="AI50">
        <v>0.83622340425531905</v>
      </c>
      <c r="AJ50">
        <v>0.84675531914893598</v>
      </c>
      <c r="AK50">
        <v>0.81819148936170205</v>
      </c>
    </row>
    <row r="51" spans="1:37">
      <c r="L51" t="s">
        <v>0</v>
      </c>
      <c r="M51" t="s">
        <v>1</v>
      </c>
      <c r="N51" t="s">
        <v>2</v>
      </c>
      <c r="O51" t="s">
        <v>3</v>
      </c>
      <c r="P51" t="s">
        <v>4</v>
      </c>
      <c r="Q51" t="s">
        <v>5</v>
      </c>
      <c r="R51" t="s">
        <v>6</v>
      </c>
      <c r="S51" t="s">
        <v>7</v>
      </c>
      <c r="U51" t="s">
        <v>0</v>
      </c>
      <c r="V51" t="s">
        <v>1</v>
      </c>
      <c r="W51" t="s">
        <v>2</v>
      </c>
      <c r="X51" t="s">
        <v>3</v>
      </c>
      <c r="Y51" t="s">
        <v>4</v>
      </c>
      <c r="Z51" t="s">
        <v>5</v>
      </c>
      <c r="AA51" t="s">
        <v>6</v>
      </c>
      <c r="AB51" t="s">
        <v>7</v>
      </c>
      <c r="AD51" t="s">
        <v>0</v>
      </c>
      <c r="AE51" t="s">
        <v>1</v>
      </c>
      <c r="AF51" t="s">
        <v>2</v>
      </c>
      <c r="AG51" t="s">
        <v>3</v>
      </c>
      <c r="AH51" t="s">
        <v>4</v>
      </c>
      <c r="AI51" t="s">
        <v>5</v>
      </c>
      <c r="AJ51" t="s">
        <v>6</v>
      </c>
      <c r="AK51" t="s">
        <v>7</v>
      </c>
    </row>
    <row r="52" spans="1:37">
      <c r="B52">
        <v>0</v>
      </c>
      <c r="C52">
        <f>MIN(L45,L52,L59,L66,U45,U52,U59,U66,AD45,AD52)</f>
        <v>0.86632978723404197</v>
      </c>
      <c r="D52">
        <f t="shared" ref="D52:J57" si="15">MIN(M45,M52,M59,M66,V45,V52,V59,V66,AE45,AE52)</f>
        <v>0.870053191489361</v>
      </c>
      <c r="E52">
        <f t="shared" si="15"/>
        <v>0.87196808510638302</v>
      </c>
      <c r="F52">
        <f t="shared" si="15"/>
        <v>0.87143617021276598</v>
      </c>
      <c r="G52">
        <f t="shared" si="15"/>
        <v>0.87765957446808496</v>
      </c>
      <c r="H52">
        <f t="shared" si="15"/>
        <v>0.88079787234042495</v>
      </c>
      <c r="I52">
        <f t="shared" si="15"/>
        <v>0.88430851063829696</v>
      </c>
      <c r="J52">
        <f t="shared" si="15"/>
        <v>0.87117021276595696</v>
      </c>
      <c r="L52">
        <v>0.86659574468085099</v>
      </c>
      <c r="M52">
        <v>0.87680851063829701</v>
      </c>
      <c r="N52">
        <v>0.87579787234042505</v>
      </c>
      <c r="O52">
        <v>0.87813829787233999</v>
      </c>
      <c r="P52">
        <v>0.879946808510638</v>
      </c>
      <c r="Q52">
        <v>0.88281914893616997</v>
      </c>
      <c r="R52">
        <v>0.88638297872340399</v>
      </c>
      <c r="S52">
        <v>0.87531914893617002</v>
      </c>
      <c r="U52">
        <v>0.873351063829787</v>
      </c>
      <c r="V52">
        <v>0.87085106382978705</v>
      </c>
      <c r="W52">
        <v>0.87553191489361704</v>
      </c>
      <c r="X52">
        <v>0.87590425531914895</v>
      </c>
      <c r="Y52">
        <v>0.88180851063829702</v>
      </c>
      <c r="Z52">
        <v>0.88079787234042495</v>
      </c>
      <c r="AA52">
        <v>0.88744680851063795</v>
      </c>
      <c r="AB52">
        <v>0.87914893617021195</v>
      </c>
      <c r="AD52">
        <v>0.86765957446808495</v>
      </c>
      <c r="AE52">
        <v>0.873351063829787</v>
      </c>
      <c r="AF52">
        <v>0.874946808510638</v>
      </c>
      <c r="AG52">
        <v>0.87547872340425503</v>
      </c>
      <c r="AH52">
        <v>0.87787234042553097</v>
      </c>
      <c r="AI52">
        <v>0.88249999999999995</v>
      </c>
      <c r="AJ52">
        <v>0.88430851063829696</v>
      </c>
      <c r="AK52">
        <v>0.87398936170212704</v>
      </c>
    </row>
    <row r="53" spans="1:37">
      <c r="B53">
        <v>0.01</v>
      </c>
      <c r="C53">
        <f t="shared" ref="C53:C57" si="16">MIN(L46,L53,L60,L67,U46,U53,U60,U67,AD46,AD53)</f>
        <v>0.85542553191489301</v>
      </c>
      <c r="D53">
        <f t="shared" si="15"/>
        <v>0.86053191489361702</v>
      </c>
      <c r="E53">
        <f t="shared" si="15"/>
        <v>0.86196808510638301</v>
      </c>
      <c r="F53">
        <f t="shared" si="15"/>
        <v>0.86143617021276597</v>
      </c>
      <c r="G53">
        <f t="shared" si="15"/>
        <v>0.86728723404255303</v>
      </c>
      <c r="H53">
        <f t="shared" si="15"/>
        <v>0.87271276595744596</v>
      </c>
      <c r="I53">
        <f t="shared" si="15"/>
        <v>0.87643617021276599</v>
      </c>
      <c r="J53">
        <f t="shared" si="15"/>
        <v>0.86175531914893</v>
      </c>
      <c r="L53">
        <v>0.85542553191489301</v>
      </c>
      <c r="M53">
        <v>0.86723404255319103</v>
      </c>
      <c r="N53">
        <v>0.86595744680850995</v>
      </c>
      <c r="O53">
        <v>0.86861702127659501</v>
      </c>
      <c r="P53">
        <v>0.87021276595744601</v>
      </c>
      <c r="Q53">
        <v>0.874946808510638</v>
      </c>
      <c r="R53">
        <v>0.87904255319148905</v>
      </c>
      <c r="S53">
        <v>0.86574468085106304</v>
      </c>
      <c r="U53">
        <v>0.86260638297872305</v>
      </c>
      <c r="V53">
        <v>0.86079787234042504</v>
      </c>
      <c r="W53">
        <v>0.86452127659574396</v>
      </c>
      <c r="X53">
        <v>0.86579787234042505</v>
      </c>
      <c r="Y53">
        <v>0.87388297872340404</v>
      </c>
      <c r="Z53">
        <v>0.87271276595744596</v>
      </c>
      <c r="AA53">
        <v>0.87898936170212705</v>
      </c>
      <c r="AB53">
        <v>0.86973404255310005</v>
      </c>
      <c r="AD53">
        <v>0.85888297872340402</v>
      </c>
      <c r="AE53">
        <v>0.86335106382978699</v>
      </c>
      <c r="AF53">
        <v>0.86553191489361703</v>
      </c>
      <c r="AG53">
        <v>0.865053191489361</v>
      </c>
      <c r="AH53">
        <v>0.87058510638297804</v>
      </c>
      <c r="AI53">
        <v>0.87276595744680796</v>
      </c>
      <c r="AJ53">
        <v>0.87643617021276599</v>
      </c>
      <c r="AK53">
        <v>0.86281914893616996</v>
      </c>
    </row>
    <row r="54" spans="1:37">
      <c r="B54">
        <v>0.02</v>
      </c>
      <c r="C54">
        <f t="shared" si="16"/>
        <v>0.84553191489361701</v>
      </c>
      <c r="D54">
        <f t="shared" si="15"/>
        <v>0.84888297872340401</v>
      </c>
      <c r="E54">
        <f t="shared" si="15"/>
        <v>0.85021276595744599</v>
      </c>
      <c r="F54">
        <f t="shared" si="15"/>
        <v>0.85228723404255324</v>
      </c>
      <c r="G54">
        <f t="shared" si="15"/>
        <v>0.85718085106382902</v>
      </c>
      <c r="H54">
        <f t="shared" si="15"/>
        <v>0.86308510638297875</v>
      </c>
      <c r="I54">
        <f t="shared" si="15"/>
        <v>0.86851063829787201</v>
      </c>
      <c r="J54">
        <f t="shared" si="15"/>
        <v>0.85127659574467995</v>
      </c>
      <c r="L54">
        <v>0.84569148936170202</v>
      </c>
      <c r="M54">
        <v>0.85755319148936104</v>
      </c>
      <c r="N54">
        <v>0.85595744680851005</v>
      </c>
      <c r="O54">
        <v>0.85792553191489296</v>
      </c>
      <c r="P54">
        <v>0.85957446808510596</v>
      </c>
      <c r="Q54">
        <v>0.865106382978723</v>
      </c>
      <c r="R54">
        <v>0.87074468085106305</v>
      </c>
      <c r="S54">
        <v>0.85579787234042504</v>
      </c>
      <c r="U54">
        <v>0.852021276595744</v>
      </c>
      <c r="V54">
        <v>0.85095744680851004</v>
      </c>
      <c r="W54">
        <v>0.85446808510638295</v>
      </c>
      <c r="X54">
        <v>0.85468085106382896</v>
      </c>
      <c r="Y54">
        <v>0.86345744680851</v>
      </c>
      <c r="Z54">
        <v>0.86313829787233998</v>
      </c>
      <c r="AA54">
        <v>0.86920212765957405</v>
      </c>
      <c r="AB54">
        <v>0.85936170212759999</v>
      </c>
      <c r="AD54">
        <v>0.84941489361702105</v>
      </c>
      <c r="AE54">
        <v>0.85388297872340402</v>
      </c>
      <c r="AF54">
        <v>0.85531914893617</v>
      </c>
      <c r="AG54">
        <v>0.85420212765957404</v>
      </c>
      <c r="AH54">
        <v>0.86223404255319103</v>
      </c>
      <c r="AI54">
        <v>0.86388297872340403</v>
      </c>
      <c r="AJ54">
        <v>0.86851063829787201</v>
      </c>
      <c r="AK54">
        <v>0.85212765957446801</v>
      </c>
    </row>
    <row r="55" spans="1:37">
      <c r="A55" t="s">
        <v>10</v>
      </c>
      <c r="B55">
        <v>0.03</v>
      </c>
      <c r="C55">
        <f t="shared" si="16"/>
        <v>0.83234042553191401</v>
      </c>
      <c r="D55">
        <f t="shared" si="15"/>
        <v>0.83835106382978697</v>
      </c>
      <c r="E55">
        <f t="shared" si="15"/>
        <v>0.837180851063829</v>
      </c>
      <c r="F55">
        <f t="shared" si="15"/>
        <v>0.84101063829787204</v>
      </c>
      <c r="G55">
        <f t="shared" si="15"/>
        <v>0.84670212765957398</v>
      </c>
      <c r="H55">
        <f t="shared" si="15"/>
        <v>0.85239361702127603</v>
      </c>
      <c r="I55">
        <f t="shared" si="15"/>
        <v>0.85909574468085104</v>
      </c>
      <c r="J55">
        <f t="shared" si="15"/>
        <v>0.84063829787234001</v>
      </c>
      <c r="K55" t="s">
        <v>26</v>
      </c>
      <c r="L55">
        <v>0.83505319148936097</v>
      </c>
      <c r="M55">
        <v>0.84755319148936104</v>
      </c>
      <c r="N55">
        <v>0.84521276595744599</v>
      </c>
      <c r="O55">
        <v>0.84579787234042503</v>
      </c>
      <c r="P55">
        <v>0.85079787234042503</v>
      </c>
      <c r="Q55">
        <v>0.85531914893617</v>
      </c>
      <c r="R55">
        <v>0.86228723404255303</v>
      </c>
      <c r="S55">
        <v>0.84505319148936098</v>
      </c>
      <c r="T55" t="s">
        <v>30</v>
      </c>
      <c r="U55">
        <v>0.84154255319148896</v>
      </c>
      <c r="V55">
        <v>0.84148936170212696</v>
      </c>
      <c r="W55">
        <v>0.84425531914893603</v>
      </c>
      <c r="X55">
        <v>0.84367021276595699</v>
      </c>
      <c r="Y55">
        <v>0.85372340425531901</v>
      </c>
      <c r="Z55">
        <v>0.85265957446808505</v>
      </c>
      <c r="AA55">
        <v>0.860212765957446</v>
      </c>
      <c r="AB55">
        <v>0.84946808510630001</v>
      </c>
      <c r="AC55" t="s">
        <v>34</v>
      </c>
      <c r="AD55">
        <v>0.83867021276595699</v>
      </c>
      <c r="AE55">
        <v>0.84132978723404195</v>
      </c>
      <c r="AF55">
        <v>0.84409574468085102</v>
      </c>
      <c r="AG55">
        <v>0.84484042553191396</v>
      </c>
      <c r="AH55">
        <v>0.85271276595744605</v>
      </c>
      <c r="AI55">
        <v>0.85478723404255297</v>
      </c>
      <c r="AJ55">
        <v>0.86031914893617001</v>
      </c>
      <c r="AK55">
        <v>0.84148936170212696</v>
      </c>
    </row>
    <row r="56" spans="1:37">
      <c r="B56">
        <v>0.04</v>
      </c>
      <c r="C56">
        <f t="shared" si="16"/>
        <v>0.81984042553191405</v>
      </c>
      <c r="D56">
        <f t="shared" si="15"/>
        <v>0.82755319148936102</v>
      </c>
      <c r="E56">
        <f t="shared" si="15"/>
        <v>0.82420212765957401</v>
      </c>
      <c r="F56">
        <f t="shared" si="15"/>
        <v>0.82739361702127601</v>
      </c>
      <c r="G56">
        <f t="shared" si="15"/>
        <v>0.83446808510638204</v>
      </c>
      <c r="H56">
        <f t="shared" si="15"/>
        <v>0.84095744680851003</v>
      </c>
      <c r="I56">
        <f t="shared" si="15"/>
        <v>0.84957446808510595</v>
      </c>
      <c r="J56">
        <f t="shared" si="15"/>
        <v>0.82861702127658998</v>
      </c>
      <c r="L56">
        <v>0.82159574468085095</v>
      </c>
      <c r="M56">
        <v>0.83574468085106302</v>
      </c>
      <c r="N56">
        <v>0.83276595744680804</v>
      </c>
      <c r="O56">
        <v>0.83425531914893603</v>
      </c>
      <c r="P56">
        <v>0.84148936170212696</v>
      </c>
      <c r="Q56">
        <v>0.84569148936170202</v>
      </c>
      <c r="R56">
        <v>0.85377659574468001</v>
      </c>
      <c r="S56">
        <v>0.83244680851063801</v>
      </c>
      <c r="U56">
        <v>0.83079787234042501</v>
      </c>
      <c r="V56">
        <v>0.82973404255319105</v>
      </c>
      <c r="W56">
        <v>0.83255319148936102</v>
      </c>
      <c r="X56">
        <v>0.83148936170212695</v>
      </c>
      <c r="Y56">
        <v>0.84276595744680805</v>
      </c>
      <c r="Z56">
        <v>0.84255319148936103</v>
      </c>
      <c r="AA56">
        <v>0.851968085106383</v>
      </c>
      <c r="AB56">
        <v>0.83792553191480001</v>
      </c>
      <c r="AD56">
        <v>0.82851063829787197</v>
      </c>
      <c r="AE56">
        <v>0.82829787234042496</v>
      </c>
      <c r="AF56">
        <v>0.83484042553191395</v>
      </c>
      <c r="AG56">
        <v>0.83281914893617004</v>
      </c>
      <c r="AH56">
        <v>0.84127659574467994</v>
      </c>
      <c r="AI56">
        <v>0.84377659574468</v>
      </c>
      <c r="AJ56">
        <v>0.85159574468085097</v>
      </c>
      <c r="AK56">
        <v>0.83079787234042501</v>
      </c>
    </row>
    <row r="57" spans="1:37">
      <c r="B57">
        <v>0.05</v>
      </c>
      <c r="C57">
        <f t="shared" si="16"/>
        <v>0.80505319148936105</v>
      </c>
      <c r="D57">
        <f t="shared" si="15"/>
        <v>0.81457446808510603</v>
      </c>
      <c r="E57">
        <f t="shared" si="15"/>
        <v>0.81042553191489297</v>
      </c>
      <c r="F57">
        <f t="shared" si="15"/>
        <v>0.81430851063829701</v>
      </c>
      <c r="G57">
        <f t="shared" si="15"/>
        <v>0.82446808510638303</v>
      </c>
      <c r="H57">
        <f t="shared" si="15"/>
        <v>0.828936170212766</v>
      </c>
      <c r="I57">
        <f t="shared" si="15"/>
        <v>0.83989361702127596</v>
      </c>
      <c r="J57">
        <f t="shared" si="15"/>
        <v>0.81574468085106</v>
      </c>
      <c r="L57">
        <v>0.809202127659574</v>
      </c>
      <c r="M57">
        <v>0.82420212765957401</v>
      </c>
      <c r="N57">
        <v>0.82047872340425498</v>
      </c>
      <c r="O57">
        <v>0.82143617021276505</v>
      </c>
      <c r="P57">
        <v>0.83101063829787203</v>
      </c>
      <c r="Q57">
        <v>0.83430851063829703</v>
      </c>
      <c r="R57">
        <v>0.84345744680850998</v>
      </c>
      <c r="S57">
        <v>0.82</v>
      </c>
      <c r="U57">
        <v>0.81898936170212699</v>
      </c>
      <c r="V57">
        <v>0.817446808510638</v>
      </c>
      <c r="W57">
        <v>0.82021276595744597</v>
      </c>
      <c r="X57">
        <v>0.81957446808510603</v>
      </c>
      <c r="Y57">
        <v>0.83170212765957396</v>
      </c>
      <c r="Z57">
        <v>0.82962765957446805</v>
      </c>
      <c r="AA57">
        <v>0.84234042553191402</v>
      </c>
      <c r="AB57">
        <v>0.82712765957440004</v>
      </c>
      <c r="AD57">
        <v>0.81643617021276504</v>
      </c>
      <c r="AE57">
        <v>0.81611702127659502</v>
      </c>
      <c r="AF57">
        <v>0.82255319148936101</v>
      </c>
      <c r="AG57">
        <v>0.82063829787233999</v>
      </c>
      <c r="AH57">
        <v>0.83127659574468005</v>
      </c>
      <c r="AI57">
        <v>0.83287234042553104</v>
      </c>
      <c r="AJ57">
        <v>0.84345744680850998</v>
      </c>
      <c r="AK57">
        <v>0.81888297872340399</v>
      </c>
    </row>
    <row r="58" spans="1:37">
      <c r="L58" t="s">
        <v>0</v>
      </c>
      <c r="M58" t="s">
        <v>1</v>
      </c>
      <c r="N58" t="s">
        <v>2</v>
      </c>
      <c r="O58" t="s">
        <v>3</v>
      </c>
      <c r="P58" t="s">
        <v>4</v>
      </c>
      <c r="Q58" t="s">
        <v>5</v>
      </c>
      <c r="R58" t="s">
        <v>6</v>
      </c>
      <c r="S58" t="s">
        <v>7</v>
      </c>
      <c r="U58" t="s">
        <v>0</v>
      </c>
      <c r="V58" t="s">
        <v>1</v>
      </c>
      <c r="W58" t="s">
        <v>2</v>
      </c>
      <c r="X58" t="s">
        <v>3</v>
      </c>
      <c r="Y58" t="s">
        <v>4</v>
      </c>
      <c r="Z58" t="s">
        <v>5</v>
      </c>
      <c r="AA58" t="s">
        <v>6</v>
      </c>
      <c r="AB58" t="s">
        <v>7</v>
      </c>
    </row>
    <row r="59" spans="1:37">
      <c r="B59">
        <v>0</v>
      </c>
      <c r="C59">
        <f>MAX(L45,L52,L59,L66,U45,U52,U59,U66,AD45,AD52)</f>
        <v>0.87909574468085105</v>
      </c>
      <c r="D59">
        <f t="shared" ref="D59:J64" si="17">MAX(M45,M52,M59,M66,V45,V52,V59,V66,AE45,AE52)</f>
        <v>0.87686170212765902</v>
      </c>
      <c r="E59">
        <f t="shared" si="17"/>
        <v>0.87707446808510603</v>
      </c>
      <c r="F59">
        <f t="shared" si="17"/>
        <v>0.878351063829787</v>
      </c>
      <c r="G59">
        <f t="shared" si="17"/>
        <v>0.88313829787233999</v>
      </c>
      <c r="H59">
        <f t="shared" si="17"/>
        <v>0.88356382978723402</v>
      </c>
      <c r="I59">
        <f t="shared" si="17"/>
        <v>0.88771276595744686</v>
      </c>
      <c r="J59">
        <f t="shared" si="17"/>
        <v>0.87914893617021195</v>
      </c>
      <c r="L59">
        <v>0.87271276595744596</v>
      </c>
      <c r="M59">
        <v>0.87686170212765902</v>
      </c>
      <c r="N59">
        <v>0.876595744680851</v>
      </c>
      <c r="O59">
        <v>0.875</v>
      </c>
      <c r="P59">
        <v>0.88260638297872296</v>
      </c>
      <c r="Q59">
        <v>0.88244680851063795</v>
      </c>
      <c r="R59">
        <v>0.884893617021276</v>
      </c>
      <c r="S59">
        <v>0.87462765957446797</v>
      </c>
      <c r="U59">
        <v>0.86648936170212698</v>
      </c>
      <c r="V59">
        <v>0.87281914893616996</v>
      </c>
      <c r="W59">
        <v>0.87196808510638302</v>
      </c>
      <c r="X59">
        <v>0.87734042553191405</v>
      </c>
      <c r="Y59">
        <v>0.87861702127659502</v>
      </c>
      <c r="Z59">
        <v>0.88244680851063795</v>
      </c>
      <c r="AA59">
        <v>0.88622340425531898</v>
      </c>
      <c r="AB59">
        <v>0.87127659574467997</v>
      </c>
    </row>
    <row r="60" spans="1:37">
      <c r="B60">
        <v>0.01</v>
      </c>
      <c r="C60">
        <f t="shared" ref="C60:C64" si="18">MAX(L46,L53,L60,L67,U46,U53,U60,U67,AD46,AD53)</f>
        <v>0.86914893617021205</v>
      </c>
      <c r="D60">
        <f t="shared" si="17"/>
        <v>0.8673936170212766</v>
      </c>
      <c r="E60">
        <f t="shared" si="17"/>
        <v>0.86760638297872295</v>
      </c>
      <c r="F60">
        <f t="shared" si="17"/>
        <v>0.86898936170212704</v>
      </c>
      <c r="G60">
        <f t="shared" si="17"/>
        <v>0.87468085106382898</v>
      </c>
      <c r="H60">
        <f t="shared" si="17"/>
        <v>0.87585106382978695</v>
      </c>
      <c r="I60">
        <f t="shared" si="17"/>
        <v>0.88095744680850996</v>
      </c>
      <c r="J60">
        <f t="shared" si="17"/>
        <v>0.86973404255318998</v>
      </c>
      <c r="L60">
        <v>0.86521276595744601</v>
      </c>
      <c r="M60">
        <v>0.86696808510638301</v>
      </c>
      <c r="N60">
        <v>0.86760638297872295</v>
      </c>
      <c r="O60">
        <v>0.86457446808510596</v>
      </c>
      <c r="P60">
        <v>0.87441489361702096</v>
      </c>
      <c r="Q60">
        <v>0.87313829787233999</v>
      </c>
      <c r="R60">
        <v>0.87797872340425498</v>
      </c>
      <c r="S60">
        <v>0.86462765957446797</v>
      </c>
      <c r="U60">
        <v>0.85744680851063804</v>
      </c>
      <c r="V60">
        <v>0.86297872340425497</v>
      </c>
      <c r="W60">
        <v>0.86218085106382902</v>
      </c>
      <c r="X60">
        <v>0.86707446808510602</v>
      </c>
      <c r="Y60">
        <v>0.87021276595744601</v>
      </c>
      <c r="Z60">
        <v>0.87468085106382898</v>
      </c>
      <c r="AA60">
        <v>0.87904255319148905</v>
      </c>
      <c r="AB60">
        <v>0.86175531914893</v>
      </c>
    </row>
    <row r="61" spans="1:37">
      <c r="B61">
        <v>0.02</v>
      </c>
      <c r="C61">
        <f t="shared" si="18"/>
        <v>0.85914893617021204</v>
      </c>
      <c r="D61">
        <f t="shared" si="17"/>
        <v>0.85781914893617017</v>
      </c>
      <c r="E61">
        <f t="shared" si="17"/>
        <v>0.85829787234042498</v>
      </c>
      <c r="F61">
        <f t="shared" si="17"/>
        <v>0.85803191489361696</v>
      </c>
      <c r="G61">
        <f t="shared" si="17"/>
        <v>0.86659574468085099</v>
      </c>
      <c r="H61">
        <f t="shared" si="17"/>
        <v>0.86590425531914805</v>
      </c>
      <c r="I61">
        <f t="shared" si="17"/>
        <v>0.87292553191489297</v>
      </c>
      <c r="J61">
        <f t="shared" si="17"/>
        <v>0.86058510638297003</v>
      </c>
      <c r="L61">
        <v>0.85638297872340396</v>
      </c>
      <c r="M61">
        <v>0.85638297872340396</v>
      </c>
      <c r="N61">
        <v>0.85739361702127603</v>
      </c>
      <c r="O61">
        <v>0.85457446808510595</v>
      </c>
      <c r="P61">
        <v>0.86659574468085099</v>
      </c>
      <c r="Q61">
        <v>0.86478723404255298</v>
      </c>
      <c r="R61">
        <v>0.87132978723404197</v>
      </c>
      <c r="S61">
        <v>0.85287234042553195</v>
      </c>
      <c r="U61">
        <v>0.84787234042553195</v>
      </c>
      <c r="V61">
        <v>0.85260638297872304</v>
      </c>
      <c r="W61">
        <v>0.85281914893616995</v>
      </c>
      <c r="X61">
        <v>0.85648936170212697</v>
      </c>
      <c r="Y61">
        <v>0.86101063829787206</v>
      </c>
      <c r="Z61">
        <v>0.86542553191489302</v>
      </c>
      <c r="AA61">
        <v>0.87042553191489302</v>
      </c>
      <c r="AB61">
        <v>0.85127659574467995</v>
      </c>
    </row>
    <row r="62" spans="1:37">
      <c r="A62" t="s">
        <v>11</v>
      </c>
      <c r="B62">
        <v>0.03</v>
      </c>
      <c r="C62">
        <f t="shared" si="18"/>
        <v>0.84840425531914898</v>
      </c>
      <c r="D62">
        <f t="shared" si="17"/>
        <v>0.84760638297872337</v>
      </c>
      <c r="E62">
        <f t="shared" si="17"/>
        <v>0.84776595744680805</v>
      </c>
      <c r="F62">
        <f t="shared" si="17"/>
        <v>0.848670212765957</v>
      </c>
      <c r="G62">
        <f t="shared" si="17"/>
        <v>0.85824468085106298</v>
      </c>
      <c r="H62">
        <f t="shared" si="17"/>
        <v>0.85569148936170203</v>
      </c>
      <c r="I62">
        <f t="shared" si="17"/>
        <v>0.86484042553191398</v>
      </c>
      <c r="J62">
        <f t="shared" si="17"/>
        <v>0.8502659574468</v>
      </c>
      <c r="K62" t="s">
        <v>27</v>
      </c>
      <c r="L62">
        <v>0.84670212765957398</v>
      </c>
      <c r="M62">
        <v>0.84515957446808498</v>
      </c>
      <c r="N62">
        <v>0.84728723404255302</v>
      </c>
      <c r="O62">
        <v>0.84324468085106297</v>
      </c>
      <c r="P62">
        <v>0.85824468085106298</v>
      </c>
      <c r="Q62">
        <v>0.85473404255319096</v>
      </c>
      <c r="R62">
        <v>0.86388297872340403</v>
      </c>
      <c r="S62">
        <v>0.84164893617021197</v>
      </c>
      <c r="T62" t="s">
        <v>31</v>
      </c>
      <c r="U62">
        <v>0.83691489361702098</v>
      </c>
      <c r="V62">
        <v>0.84223404255319101</v>
      </c>
      <c r="W62">
        <v>0.84085106382978703</v>
      </c>
      <c r="X62">
        <v>0.84510638297872298</v>
      </c>
      <c r="Y62">
        <v>0.85095744680851004</v>
      </c>
      <c r="Z62">
        <v>0.85478723404255297</v>
      </c>
      <c r="AA62">
        <v>0.86196808510638301</v>
      </c>
      <c r="AB62">
        <v>0.84063829787234001</v>
      </c>
    </row>
    <row r="63" spans="1:37">
      <c r="B63">
        <v>0.04</v>
      </c>
      <c r="C63">
        <f t="shared" si="18"/>
        <v>0.837234042553191</v>
      </c>
      <c r="D63">
        <f t="shared" si="17"/>
        <v>0.83638297872340428</v>
      </c>
      <c r="E63">
        <f t="shared" si="17"/>
        <v>0.83617021276595704</v>
      </c>
      <c r="F63">
        <f t="shared" si="17"/>
        <v>0.83835106382978697</v>
      </c>
      <c r="G63">
        <f t="shared" si="17"/>
        <v>0.84930851063829704</v>
      </c>
      <c r="H63">
        <f t="shared" si="17"/>
        <v>0.84712765957446801</v>
      </c>
      <c r="I63">
        <f t="shared" si="17"/>
        <v>0.85585106382978704</v>
      </c>
      <c r="J63">
        <f t="shared" si="17"/>
        <v>0.83819148936169996</v>
      </c>
      <c r="L63">
        <v>0.83654255319148896</v>
      </c>
      <c r="M63">
        <v>0.83494680851063796</v>
      </c>
      <c r="N63">
        <v>0.83574468085106302</v>
      </c>
      <c r="O63">
        <v>0.83063829787234</v>
      </c>
      <c r="P63">
        <v>0.84930851063829704</v>
      </c>
      <c r="Q63">
        <v>0.84420212765957403</v>
      </c>
      <c r="R63">
        <v>0.85585106382978704</v>
      </c>
      <c r="S63">
        <v>0.83021276595744598</v>
      </c>
      <c r="U63">
        <v>0.825691489361702</v>
      </c>
      <c r="V63">
        <v>0.83090425531914802</v>
      </c>
      <c r="W63">
        <v>0.83021276595744598</v>
      </c>
      <c r="X63">
        <v>0.83436170212765903</v>
      </c>
      <c r="Y63">
        <v>0.83861702127659499</v>
      </c>
      <c r="Z63">
        <v>0.84521276595744599</v>
      </c>
      <c r="AA63">
        <v>0.85324468085106298</v>
      </c>
      <c r="AB63">
        <v>0.82861702127658998</v>
      </c>
    </row>
    <row r="64" spans="1:37">
      <c r="B64">
        <v>0.05</v>
      </c>
      <c r="C64">
        <f t="shared" si="18"/>
        <v>0.82664893617021196</v>
      </c>
      <c r="D64">
        <f t="shared" si="17"/>
        <v>0.82595744680851069</v>
      </c>
      <c r="E64">
        <f t="shared" si="17"/>
        <v>0.82473404255319105</v>
      </c>
      <c r="F64">
        <f t="shared" si="17"/>
        <v>0.82638297872340405</v>
      </c>
      <c r="G64">
        <f t="shared" si="17"/>
        <v>0.83872340425531899</v>
      </c>
      <c r="H64">
        <f t="shared" si="17"/>
        <v>0.83622340425531905</v>
      </c>
      <c r="I64">
        <f t="shared" si="17"/>
        <v>0.84712765957446801</v>
      </c>
      <c r="J64">
        <f t="shared" si="17"/>
        <v>0.82712765957440004</v>
      </c>
      <c r="L64">
        <v>0.82664893617021196</v>
      </c>
      <c r="M64">
        <v>0.82335106382978696</v>
      </c>
      <c r="N64">
        <v>0.82324468085106295</v>
      </c>
      <c r="O64">
        <v>0.81819148936170205</v>
      </c>
      <c r="P64">
        <v>0.83872340425531899</v>
      </c>
      <c r="Q64">
        <v>0.83287234042553104</v>
      </c>
      <c r="R64">
        <v>0.84712765957446801</v>
      </c>
      <c r="S64">
        <v>0.81808510638297804</v>
      </c>
      <c r="U64">
        <v>0.81218085106382898</v>
      </c>
      <c r="V64">
        <v>0.81930851063829702</v>
      </c>
      <c r="W64">
        <v>0.81765957446808502</v>
      </c>
      <c r="X64">
        <v>0.82244680851063801</v>
      </c>
      <c r="Y64">
        <v>0.82776595744680803</v>
      </c>
      <c r="Z64">
        <v>0.83372340425531899</v>
      </c>
      <c r="AA64">
        <v>0.84276595744680805</v>
      </c>
      <c r="AB64">
        <v>0.81574468085106</v>
      </c>
    </row>
    <row r="65" spans="1:41">
      <c r="L65" t="s">
        <v>0</v>
      </c>
      <c r="M65" t="s">
        <v>1</v>
      </c>
      <c r="N65" t="s">
        <v>2</v>
      </c>
      <c r="O65" t="s">
        <v>3</v>
      </c>
      <c r="P65" t="s">
        <v>4</v>
      </c>
      <c r="Q65" t="s">
        <v>5</v>
      </c>
      <c r="R65" t="s">
        <v>6</v>
      </c>
      <c r="S65" t="s">
        <v>7</v>
      </c>
      <c r="U65" t="s">
        <v>0</v>
      </c>
      <c r="V65" t="s">
        <v>1</v>
      </c>
      <c r="W65" t="s">
        <v>2</v>
      </c>
      <c r="X65" t="s">
        <v>3</v>
      </c>
      <c r="Y65" t="s">
        <v>4</v>
      </c>
      <c r="Z65" t="s">
        <v>5</v>
      </c>
      <c r="AA65" t="s">
        <v>6</v>
      </c>
      <c r="AB65" t="s">
        <v>7</v>
      </c>
    </row>
    <row r="66" spans="1:41">
      <c r="B66">
        <v>0</v>
      </c>
      <c r="C66">
        <f>AVERAGE(L45,L52,L59,L66,U45,U52,U59,U66,AD45,AD52)</f>
        <v>0.86976595744680818</v>
      </c>
      <c r="D66">
        <f t="shared" ref="D66:J71" si="19">AVERAGE(M45,M52,M59,M66,V45,V52,V59,V66,AE45,AE52)</f>
        <v>0.8739521276595742</v>
      </c>
      <c r="E66">
        <f t="shared" si="19"/>
        <v>0.87486702127659566</v>
      </c>
      <c r="F66">
        <f t="shared" si="19"/>
        <v>0.87572872340425501</v>
      </c>
      <c r="G66">
        <f t="shared" si="19"/>
        <v>0.88020212765957395</v>
      </c>
      <c r="H66">
        <f t="shared" si="19"/>
        <v>0.88239893617021248</v>
      </c>
      <c r="I66">
        <f t="shared" si="19"/>
        <v>0.88631382978723372</v>
      </c>
      <c r="J66">
        <f t="shared" si="19"/>
        <v>0.87546276595744654</v>
      </c>
      <c r="L66">
        <v>0.86632978723404197</v>
      </c>
      <c r="M66">
        <v>0.876595744680851</v>
      </c>
      <c r="N66">
        <v>0.87372340425531902</v>
      </c>
      <c r="O66">
        <v>0.87744680851063805</v>
      </c>
      <c r="P66">
        <v>0.87765957446808496</v>
      </c>
      <c r="Q66">
        <v>0.88356382978723402</v>
      </c>
      <c r="R66">
        <v>0.88595744680850996</v>
      </c>
      <c r="S66">
        <v>0.87712765957446803</v>
      </c>
      <c r="U66">
        <v>0.86914893617021205</v>
      </c>
      <c r="V66">
        <v>0.870053191489361</v>
      </c>
      <c r="W66">
        <v>0.87707446808510603</v>
      </c>
      <c r="X66">
        <v>0.87143617021276598</v>
      </c>
      <c r="Y66">
        <v>0.88202127659574403</v>
      </c>
      <c r="Z66">
        <v>0.88138297872340399</v>
      </c>
      <c r="AA66">
        <v>0.88749999999999996</v>
      </c>
      <c r="AB66">
        <v>0.87872340425531903</v>
      </c>
    </row>
    <row r="67" spans="1:41">
      <c r="B67">
        <v>0.01</v>
      </c>
      <c r="C67">
        <f t="shared" ref="C67:C71" si="20">AVERAGE(L46,L53,L60,L67,U46,U53,U60,U67,AD46,AD53)</f>
        <v>0.86033510638297839</v>
      </c>
      <c r="D67">
        <f t="shared" si="19"/>
        <v>0.8643297872340423</v>
      </c>
      <c r="E67">
        <f t="shared" si="19"/>
        <v>0.86494148936170168</v>
      </c>
      <c r="F67">
        <f t="shared" si="19"/>
        <v>0.86556382978723367</v>
      </c>
      <c r="G67">
        <f t="shared" si="19"/>
        <v>0.87161170212765904</v>
      </c>
      <c r="H67">
        <f t="shared" si="19"/>
        <v>0.873675531914893</v>
      </c>
      <c r="I67">
        <f t="shared" si="19"/>
        <v>0.87858510638297838</v>
      </c>
      <c r="J67">
        <f t="shared" si="19"/>
        <v>0.8656117021267985</v>
      </c>
      <c r="L67">
        <v>0.85744680851063804</v>
      </c>
      <c r="M67">
        <v>0.866755319148936</v>
      </c>
      <c r="N67">
        <v>0.86196808510638301</v>
      </c>
      <c r="O67">
        <v>0.86718085106382903</v>
      </c>
      <c r="P67">
        <v>0.86728723404255303</v>
      </c>
      <c r="Q67">
        <v>0.87585106382978695</v>
      </c>
      <c r="R67">
        <v>0.87808510638297799</v>
      </c>
      <c r="S67">
        <v>0.86547872340425502</v>
      </c>
      <c r="U67">
        <v>0.86053191489361702</v>
      </c>
      <c r="V67">
        <v>0.86095744680851005</v>
      </c>
      <c r="W67">
        <v>0.86744680851063805</v>
      </c>
      <c r="X67">
        <v>0.86143617021276597</v>
      </c>
      <c r="Y67">
        <v>0.87313829787233999</v>
      </c>
      <c r="Z67">
        <v>0.87271276595744596</v>
      </c>
      <c r="AA67">
        <v>0.87877659574468003</v>
      </c>
      <c r="AB67">
        <v>0.86973404255318998</v>
      </c>
    </row>
    <row r="68" spans="1:41">
      <c r="B68">
        <v>0.02</v>
      </c>
      <c r="C68">
        <f t="shared" si="20"/>
        <v>0.85043085106382943</v>
      </c>
      <c r="D68">
        <f t="shared" si="19"/>
        <v>0.85426063829787202</v>
      </c>
      <c r="E68">
        <f t="shared" si="19"/>
        <v>0.85469148936170181</v>
      </c>
      <c r="F68">
        <f t="shared" si="19"/>
        <v>0.85510638297872299</v>
      </c>
      <c r="G68">
        <f t="shared" si="19"/>
        <v>0.8623031914893613</v>
      </c>
      <c r="H68">
        <f t="shared" si="19"/>
        <v>0.86439361702127626</v>
      </c>
      <c r="I68">
        <f t="shared" si="19"/>
        <v>0.8702872340425527</v>
      </c>
      <c r="J68">
        <f t="shared" si="19"/>
        <v>0.855297872336376</v>
      </c>
      <c r="L68">
        <v>0.84718085106382901</v>
      </c>
      <c r="M68">
        <v>0.85659574468085098</v>
      </c>
      <c r="N68">
        <v>0.85021276595744599</v>
      </c>
      <c r="O68">
        <v>0.85664893617021198</v>
      </c>
      <c r="P68">
        <v>0.85718085106382902</v>
      </c>
      <c r="Q68">
        <v>0.86590425531914805</v>
      </c>
      <c r="R68">
        <v>0.86861702127659501</v>
      </c>
      <c r="S68">
        <v>0.85436170212765905</v>
      </c>
      <c r="U68">
        <v>0.85</v>
      </c>
      <c r="V68">
        <v>0.85095744680851004</v>
      </c>
      <c r="W68">
        <v>0.85829787234042498</v>
      </c>
      <c r="X68">
        <v>0.85265957446808505</v>
      </c>
      <c r="Y68">
        <v>0.86404255319148904</v>
      </c>
      <c r="Z68">
        <v>0.86457446808510596</v>
      </c>
      <c r="AA68">
        <v>0.87015957446808501</v>
      </c>
      <c r="AB68">
        <v>0.86058510638297003</v>
      </c>
    </row>
    <row r="69" spans="1:41">
      <c r="A69" t="s">
        <v>9</v>
      </c>
      <c r="B69">
        <v>0.03</v>
      </c>
      <c r="C69">
        <f t="shared" si="20"/>
        <v>0.83968617021276548</v>
      </c>
      <c r="D69">
        <f t="shared" si="19"/>
        <v>0.84363297872340381</v>
      </c>
      <c r="E69">
        <f t="shared" si="19"/>
        <v>0.84353723404255287</v>
      </c>
      <c r="F69">
        <f t="shared" si="19"/>
        <v>0.84415957446808465</v>
      </c>
      <c r="G69">
        <f t="shared" si="19"/>
        <v>0.85269680851063767</v>
      </c>
      <c r="H69">
        <f t="shared" si="19"/>
        <v>0.85453191489361657</v>
      </c>
      <c r="I69">
        <f t="shared" si="19"/>
        <v>0.86169148936170181</v>
      </c>
      <c r="J69">
        <f t="shared" si="19"/>
        <v>0.84438297872084167</v>
      </c>
      <c r="K69" t="s">
        <v>28</v>
      </c>
      <c r="L69">
        <v>0.837180851063829</v>
      </c>
      <c r="M69">
        <v>0.84526595744680799</v>
      </c>
      <c r="N69">
        <v>0.837180851063829</v>
      </c>
      <c r="O69">
        <v>0.84484042553191396</v>
      </c>
      <c r="P69">
        <v>0.84670212765957398</v>
      </c>
      <c r="Q69">
        <v>0.85531914893617</v>
      </c>
      <c r="R69">
        <v>0.85909574468085104</v>
      </c>
      <c r="S69">
        <v>0.84297872340425495</v>
      </c>
      <c r="T69" t="s">
        <v>32</v>
      </c>
      <c r="U69">
        <v>0.83973404255319095</v>
      </c>
      <c r="V69">
        <v>0.84085106382978703</v>
      </c>
      <c r="W69">
        <v>0.84776595744680805</v>
      </c>
      <c r="X69">
        <v>0.84239361702127602</v>
      </c>
      <c r="Y69">
        <v>0.85393617021276502</v>
      </c>
      <c r="Z69">
        <v>0.85489361702127598</v>
      </c>
      <c r="AA69">
        <v>0.86175531914893599</v>
      </c>
      <c r="AB69">
        <v>0.8502659574468</v>
      </c>
    </row>
    <row r="70" spans="1:41">
      <c r="B70">
        <v>0.04</v>
      </c>
      <c r="C70">
        <f t="shared" si="20"/>
        <v>0.8286489361702124</v>
      </c>
      <c r="D70">
        <f t="shared" si="19"/>
        <v>0.83198936170212723</v>
      </c>
      <c r="E70">
        <f t="shared" si="19"/>
        <v>0.83199468085106321</v>
      </c>
      <c r="F70">
        <f t="shared" si="19"/>
        <v>0.83248404255319119</v>
      </c>
      <c r="G70">
        <f t="shared" si="19"/>
        <v>0.84218617021276532</v>
      </c>
      <c r="H70">
        <f t="shared" si="19"/>
        <v>0.84436170212765926</v>
      </c>
      <c r="I70">
        <f t="shared" si="19"/>
        <v>0.85281382978723363</v>
      </c>
      <c r="J70">
        <f t="shared" si="19"/>
        <v>0.83283510638256408</v>
      </c>
      <c r="L70">
        <v>0.82542553191489298</v>
      </c>
      <c r="M70">
        <v>0.83234042553191401</v>
      </c>
      <c r="N70">
        <v>0.82420212765957401</v>
      </c>
      <c r="O70">
        <v>0.83308510638297795</v>
      </c>
      <c r="P70">
        <v>0.83446808510638204</v>
      </c>
      <c r="Q70">
        <v>0.84499999999999997</v>
      </c>
      <c r="R70">
        <v>0.85047872340425501</v>
      </c>
      <c r="S70">
        <v>0.83212765957446799</v>
      </c>
      <c r="U70">
        <v>0.82925531914893602</v>
      </c>
      <c r="V70">
        <v>0.82813829787233995</v>
      </c>
      <c r="W70">
        <v>0.83617021276595704</v>
      </c>
      <c r="X70">
        <v>0.83196808510638298</v>
      </c>
      <c r="Y70">
        <v>0.84441489361702105</v>
      </c>
      <c r="Z70">
        <v>0.84409574468085102</v>
      </c>
      <c r="AA70">
        <v>0.85228723404255302</v>
      </c>
      <c r="AB70">
        <v>0.83819148936169996</v>
      </c>
    </row>
    <row r="71" spans="1:41">
      <c r="B71">
        <v>0.05</v>
      </c>
      <c r="C71">
        <f t="shared" si="20"/>
        <v>0.81667553191489295</v>
      </c>
      <c r="D71">
        <f t="shared" si="19"/>
        <v>0.81999468085106353</v>
      </c>
      <c r="E71">
        <f t="shared" si="19"/>
        <v>0.81956382978723352</v>
      </c>
      <c r="F71">
        <f t="shared" si="19"/>
        <v>0.8200585106382976</v>
      </c>
      <c r="G71">
        <f t="shared" si="19"/>
        <v>0.83145744680851019</v>
      </c>
      <c r="H71">
        <f t="shared" si="19"/>
        <v>0.8328723404255316</v>
      </c>
      <c r="I71">
        <f t="shared" si="19"/>
        <v>0.8432234042553185</v>
      </c>
      <c r="J71">
        <f t="shared" si="19"/>
        <v>0.82067553191471543</v>
      </c>
      <c r="L71">
        <v>0.81367021276595697</v>
      </c>
      <c r="M71">
        <v>0.81787234042553103</v>
      </c>
      <c r="N71">
        <v>0.81042553191489297</v>
      </c>
      <c r="O71">
        <v>0.81803191489361704</v>
      </c>
      <c r="P71">
        <v>0.82446808510638303</v>
      </c>
      <c r="Q71">
        <v>0.83159574468085096</v>
      </c>
      <c r="R71">
        <v>0.83989361702127596</v>
      </c>
      <c r="S71">
        <v>0.82005319148936096</v>
      </c>
      <c r="U71">
        <v>0.81851063829787196</v>
      </c>
      <c r="V71">
        <v>0.81457446808510603</v>
      </c>
      <c r="W71">
        <v>0.82473404255319105</v>
      </c>
      <c r="X71">
        <v>0.82058510638297799</v>
      </c>
      <c r="Y71">
        <v>0.83345744680850997</v>
      </c>
      <c r="Z71">
        <v>0.83345744680850997</v>
      </c>
      <c r="AA71">
        <v>0.84292553191489294</v>
      </c>
      <c r="AB71">
        <v>0.82611702127659004</v>
      </c>
    </row>
    <row r="72" spans="1:41">
      <c r="A72" t="s">
        <v>41</v>
      </c>
    </row>
    <row r="73" spans="1:41">
      <c r="A73" t="s">
        <v>8</v>
      </c>
      <c r="B73" t="s">
        <v>22</v>
      </c>
      <c r="H73" t="s">
        <v>8</v>
      </c>
      <c r="I73" t="s">
        <v>22</v>
      </c>
      <c r="O73" t="s">
        <v>8</v>
      </c>
      <c r="P73" t="s">
        <v>22</v>
      </c>
      <c r="V73" t="s">
        <v>25</v>
      </c>
      <c r="W73" t="s">
        <v>22</v>
      </c>
      <c r="AC73" t="s">
        <v>25</v>
      </c>
      <c r="AD73" t="s">
        <v>22</v>
      </c>
      <c r="AJ73" t="s">
        <v>25</v>
      </c>
      <c r="AK73" t="s">
        <v>22</v>
      </c>
    </row>
    <row r="74" spans="1:41">
      <c r="A74" t="s">
        <v>20</v>
      </c>
      <c r="H74" t="s">
        <v>23</v>
      </c>
      <c r="O74" t="s">
        <v>24</v>
      </c>
      <c r="V74" t="s">
        <v>20</v>
      </c>
      <c r="AC74" t="s">
        <v>23</v>
      </c>
      <c r="AJ74" t="s">
        <v>24</v>
      </c>
    </row>
    <row r="75" spans="1:41">
      <c r="A75" t="s">
        <v>21</v>
      </c>
      <c r="B75" s="2"/>
      <c r="C75" t="s">
        <v>0</v>
      </c>
      <c r="D75" t="s">
        <v>4</v>
      </c>
      <c r="E75" t="s">
        <v>6</v>
      </c>
      <c r="F75" t="s">
        <v>7</v>
      </c>
      <c r="G75" t="s">
        <v>39</v>
      </c>
      <c r="H75" t="s">
        <v>21</v>
      </c>
      <c r="I75" s="2"/>
      <c r="J75" t="s">
        <v>0</v>
      </c>
      <c r="K75" t="s">
        <v>4</v>
      </c>
      <c r="L75" t="s">
        <v>6</v>
      </c>
      <c r="M75" t="s">
        <v>7</v>
      </c>
      <c r="N75" t="s">
        <v>39</v>
      </c>
      <c r="O75" t="s">
        <v>21</v>
      </c>
      <c r="P75" s="2"/>
      <c r="Q75" t="s">
        <v>0</v>
      </c>
      <c r="R75" t="s">
        <v>4</v>
      </c>
      <c r="S75" t="s">
        <v>6</v>
      </c>
      <c r="T75" t="s">
        <v>7</v>
      </c>
      <c r="U75" t="s">
        <v>39</v>
      </c>
      <c r="V75" t="s">
        <v>21</v>
      </c>
      <c r="W75" s="2"/>
      <c r="X75" t="s">
        <v>0</v>
      </c>
      <c r="Y75" t="s">
        <v>4</v>
      </c>
      <c r="Z75" t="s">
        <v>6</v>
      </c>
      <c r="AA75" t="s">
        <v>7</v>
      </c>
      <c r="AC75" t="s">
        <v>21</v>
      </c>
      <c r="AD75" s="2"/>
      <c r="AE75" t="s">
        <v>0</v>
      </c>
      <c r="AF75" t="s">
        <v>4</v>
      </c>
      <c r="AG75" t="s">
        <v>6</v>
      </c>
      <c r="AH75" t="s">
        <v>7</v>
      </c>
      <c r="AJ75" t="s">
        <v>21</v>
      </c>
      <c r="AK75" s="2"/>
      <c r="AL75" t="s">
        <v>0</v>
      </c>
      <c r="AM75" t="s">
        <v>4</v>
      </c>
      <c r="AN75" t="s">
        <v>6</v>
      </c>
      <c r="AO75" t="s">
        <v>7</v>
      </c>
    </row>
    <row r="76" spans="1:41">
      <c r="B76" t="s">
        <v>0</v>
      </c>
      <c r="C76" s="2">
        <v>0.85860000000000003</v>
      </c>
      <c r="D76" s="2">
        <v>0.85560000000000003</v>
      </c>
      <c r="E76" s="2">
        <v>0.85719999999999996</v>
      </c>
      <c r="F76" s="2">
        <v>0.86229999999999996</v>
      </c>
      <c r="G76" s="2">
        <f>AVERAGE(C76:F76)</f>
        <v>0.85842499999999988</v>
      </c>
      <c r="I76" t="s">
        <v>0</v>
      </c>
      <c r="J76" s="2">
        <v>0.81779999999999997</v>
      </c>
      <c r="K76" s="2">
        <v>0.80879999999999996</v>
      </c>
      <c r="L76" s="2">
        <v>0.81399999999999995</v>
      </c>
      <c r="M76" s="2">
        <v>0.83050000000000002</v>
      </c>
      <c r="N76" s="2">
        <f>AVERAGE(J76:M76)</f>
        <v>0.81777499999999992</v>
      </c>
      <c r="P76" t="s">
        <v>0</v>
      </c>
      <c r="Q76" s="2">
        <v>0.76570000000000005</v>
      </c>
      <c r="R76" s="2">
        <v>0.74980000000000002</v>
      </c>
      <c r="S76" s="2">
        <v>0.75949999999999995</v>
      </c>
      <c r="T76" s="2">
        <v>0.79259999999999997</v>
      </c>
      <c r="U76" s="2">
        <f>AVERAGE(Q76:T76)</f>
        <v>0.76689999999999992</v>
      </c>
      <c r="W76" t="s">
        <v>0</v>
      </c>
      <c r="X76" s="2">
        <v>0.85350000000000004</v>
      </c>
      <c r="Y76" s="2">
        <v>0.85089999999999999</v>
      </c>
      <c r="Z76" s="2">
        <v>0.85189999999999999</v>
      </c>
      <c r="AA76" s="2">
        <v>0.85609999999999997</v>
      </c>
      <c r="AD76" t="s">
        <v>0</v>
      </c>
      <c r="AE76" s="2">
        <v>0.81459999999999999</v>
      </c>
      <c r="AF76" s="2">
        <v>0.80959999999999999</v>
      </c>
      <c r="AG76" s="2">
        <v>0.81269999999999998</v>
      </c>
      <c r="AH76" s="2">
        <v>0.82809999999999995</v>
      </c>
      <c r="AK76" t="s">
        <v>0</v>
      </c>
      <c r="AL76" s="2">
        <v>0.76180000000000003</v>
      </c>
      <c r="AM76" s="2">
        <v>0.75190000000000001</v>
      </c>
      <c r="AN76" s="2">
        <v>0.75800000000000001</v>
      </c>
      <c r="AO76" s="2">
        <v>0.78949999999999998</v>
      </c>
    </row>
    <row r="77" spans="1:41">
      <c r="B77" t="s">
        <v>4</v>
      </c>
      <c r="C77" s="2">
        <v>0.86950000000000005</v>
      </c>
      <c r="D77" s="2">
        <v>0.86319999999999997</v>
      </c>
      <c r="E77" s="2">
        <v>0.86450000000000005</v>
      </c>
      <c r="F77" s="2">
        <v>0.86939999999999995</v>
      </c>
      <c r="G77" s="2">
        <f t="shared" ref="G77:G79" si="21">AVERAGE(C77:F77)</f>
        <v>0.86664999999999992</v>
      </c>
      <c r="I77" t="s">
        <v>4</v>
      </c>
      <c r="J77" s="2">
        <v>0.83460000000000001</v>
      </c>
      <c r="K77" s="2">
        <v>0.81620000000000004</v>
      </c>
      <c r="L77" s="2">
        <v>0.82150000000000001</v>
      </c>
      <c r="M77" s="2">
        <v>0.8377</v>
      </c>
      <c r="N77" s="2">
        <f t="shared" ref="N77:N79" si="22">AVERAGE(J77:M77)</f>
        <v>0.82750000000000001</v>
      </c>
      <c r="P77" t="s">
        <v>4</v>
      </c>
      <c r="Q77" s="2">
        <v>0.78710000000000002</v>
      </c>
      <c r="R77" s="2">
        <v>0.74880000000000002</v>
      </c>
      <c r="S77" s="2">
        <v>0.76049999999999995</v>
      </c>
      <c r="T77" s="2">
        <v>0.7974</v>
      </c>
      <c r="U77" s="2">
        <f t="shared" ref="U77:U79" si="23">AVERAGE(Q77:T77)</f>
        <v>0.77345000000000008</v>
      </c>
      <c r="W77" t="s">
        <v>4</v>
      </c>
      <c r="X77" s="2">
        <v>0.86539999999999995</v>
      </c>
      <c r="Y77" s="2">
        <v>0.86099999999999999</v>
      </c>
      <c r="Z77" s="2">
        <v>0.86180000000000001</v>
      </c>
      <c r="AA77" s="2">
        <v>0.86639999999999995</v>
      </c>
      <c r="AD77" t="s">
        <v>4</v>
      </c>
      <c r="AE77" s="2">
        <v>0.83250000000000002</v>
      </c>
      <c r="AF77" s="2">
        <v>0.81620000000000004</v>
      </c>
      <c r="AG77" s="2">
        <v>0.82050000000000001</v>
      </c>
      <c r="AH77" s="2">
        <v>0.83620000000000005</v>
      </c>
      <c r="AK77" t="s">
        <v>4</v>
      </c>
      <c r="AL77" s="2">
        <v>0.78779999999999994</v>
      </c>
      <c r="AM77" s="2">
        <v>0.75819999999999999</v>
      </c>
      <c r="AN77" s="2">
        <v>0.7641</v>
      </c>
      <c r="AO77" s="2">
        <v>0.79479999999999995</v>
      </c>
    </row>
    <row r="78" spans="1:41">
      <c r="B78" t="s">
        <v>6</v>
      </c>
      <c r="C78" s="2">
        <v>0.87490000000000001</v>
      </c>
      <c r="D78" s="2">
        <v>0.87060000000000004</v>
      </c>
      <c r="E78" s="2">
        <v>0.86850000000000005</v>
      </c>
      <c r="F78" s="2">
        <v>0.87309999999999999</v>
      </c>
      <c r="G78" s="2">
        <f t="shared" si="21"/>
        <v>0.87177499999999997</v>
      </c>
      <c r="I78" t="s">
        <v>6</v>
      </c>
      <c r="J78" s="2">
        <v>0.84760000000000002</v>
      </c>
      <c r="K78" s="2">
        <v>0.83440000000000003</v>
      </c>
      <c r="L78" s="2">
        <v>0.82530000000000003</v>
      </c>
      <c r="M78" s="2">
        <v>0.84199999999999997</v>
      </c>
      <c r="N78" s="2">
        <f t="shared" si="22"/>
        <v>0.83732499999999999</v>
      </c>
      <c r="P78" t="s">
        <v>6</v>
      </c>
      <c r="Q78" s="2">
        <v>0.81369999999999998</v>
      </c>
      <c r="R78" s="2">
        <v>0.78490000000000004</v>
      </c>
      <c r="S78" s="2">
        <v>0.76490000000000002</v>
      </c>
      <c r="T78" s="2">
        <v>0.80379999999999996</v>
      </c>
      <c r="U78" s="2">
        <f t="shared" si="23"/>
        <v>0.791825</v>
      </c>
      <c r="W78" t="s">
        <v>6</v>
      </c>
      <c r="X78" s="2">
        <v>0.87660000000000005</v>
      </c>
      <c r="Y78" s="2">
        <v>0.87219999999999998</v>
      </c>
      <c r="Z78" s="2">
        <v>0.86980000000000002</v>
      </c>
      <c r="AA78" s="2">
        <v>0.87490000000000001</v>
      </c>
      <c r="AD78" t="s">
        <v>6</v>
      </c>
      <c r="AE78" s="2">
        <v>0.84809999999999997</v>
      </c>
      <c r="AF78" s="2">
        <v>0.83540000000000003</v>
      </c>
      <c r="AG78" s="2">
        <v>0.82640000000000002</v>
      </c>
      <c r="AH78" s="2">
        <v>0.84279999999999999</v>
      </c>
      <c r="AK78" t="s">
        <v>6</v>
      </c>
      <c r="AL78" s="2">
        <v>0.81520000000000004</v>
      </c>
      <c r="AM78" s="2">
        <v>0.7923</v>
      </c>
      <c r="AN78" s="2">
        <v>0.7712</v>
      </c>
      <c r="AO78" s="2">
        <v>0.80459999999999998</v>
      </c>
    </row>
    <row r="79" spans="1:41">
      <c r="B79" t="s">
        <v>7</v>
      </c>
      <c r="C79" s="2">
        <v>0.86170000000000002</v>
      </c>
      <c r="D79" s="2">
        <v>0.85709999999999997</v>
      </c>
      <c r="E79" s="2">
        <v>0.85529999999999995</v>
      </c>
      <c r="F79" s="2">
        <v>0.8538</v>
      </c>
      <c r="G79" s="2">
        <f t="shared" si="21"/>
        <v>0.85697499999999993</v>
      </c>
      <c r="I79" t="s">
        <v>7</v>
      </c>
      <c r="J79" s="2">
        <v>0.83520000000000005</v>
      </c>
      <c r="K79" s="2">
        <v>0.82030000000000003</v>
      </c>
      <c r="L79" s="2">
        <v>0.81189999999999996</v>
      </c>
      <c r="M79" s="2">
        <v>0.81010000000000004</v>
      </c>
      <c r="N79" s="2">
        <f t="shared" si="22"/>
        <v>0.81937499999999996</v>
      </c>
      <c r="P79" t="s">
        <v>7</v>
      </c>
      <c r="Q79" s="2">
        <v>0.80110000000000003</v>
      </c>
      <c r="R79" s="2">
        <v>0.77159999999999995</v>
      </c>
      <c r="S79" s="2">
        <v>0.75539999999999996</v>
      </c>
      <c r="T79" s="2">
        <v>0.75039999999999996</v>
      </c>
      <c r="U79" s="2">
        <f t="shared" si="23"/>
        <v>0.769625</v>
      </c>
      <c r="W79" t="s">
        <v>7</v>
      </c>
      <c r="X79" s="2">
        <v>0.86380000000000001</v>
      </c>
      <c r="Y79" s="2">
        <v>0.85950000000000004</v>
      </c>
      <c r="Z79" s="2">
        <v>0.85699999999999998</v>
      </c>
      <c r="AA79" s="2">
        <v>0.85509999999999997</v>
      </c>
      <c r="AD79" t="s">
        <v>7</v>
      </c>
      <c r="AE79" s="2">
        <v>0.83540000000000003</v>
      </c>
      <c r="AF79" s="2">
        <v>0.82089999999999996</v>
      </c>
      <c r="AG79" s="2">
        <v>0.81210000000000004</v>
      </c>
      <c r="AH79" s="2">
        <v>0.80840000000000001</v>
      </c>
      <c r="AK79" t="s">
        <v>7</v>
      </c>
      <c r="AL79" s="2">
        <v>0.80279999999999996</v>
      </c>
      <c r="AM79" s="2">
        <v>0.77859999999999996</v>
      </c>
      <c r="AN79" s="2">
        <v>0.75860000000000005</v>
      </c>
      <c r="AO79" s="2">
        <v>0.75209999999999999</v>
      </c>
    </row>
    <row r="81" spans="1:41">
      <c r="A81" t="s">
        <v>10</v>
      </c>
      <c r="B81" t="s">
        <v>22</v>
      </c>
      <c r="H81" t="s">
        <v>10</v>
      </c>
      <c r="I81" t="s">
        <v>22</v>
      </c>
      <c r="O81" t="s">
        <v>10</v>
      </c>
      <c r="P81" t="s">
        <v>22</v>
      </c>
      <c r="V81" t="s">
        <v>26</v>
      </c>
      <c r="W81" t="s">
        <v>22</v>
      </c>
      <c r="AC81" t="s">
        <v>26</v>
      </c>
      <c r="AD81" t="s">
        <v>22</v>
      </c>
      <c r="AJ81" t="s">
        <v>26</v>
      </c>
      <c r="AK81" t="s">
        <v>22</v>
      </c>
    </row>
    <row r="82" spans="1:41">
      <c r="A82" t="s">
        <v>20</v>
      </c>
      <c r="H82" t="s">
        <v>23</v>
      </c>
      <c r="O82" t="s">
        <v>24</v>
      </c>
      <c r="V82" t="s">
        <v>20</v>
      </c>
      <c r="AC82" t="s">
        <v>23</v>
      </c>
      <c r="AJ82" t="s">
        <v>24</v>
      </c>
    </row>
    <row r="83" spans="1:41">
      <c r="A83" t="s">
        <v>21</v>
      </c>
      <c r="B83" s="2"/>
      <c r="C83" t="s">
        <v>0</v>
      </c>
      <c r="D83" t="s">
        <v>4</v>
      </c>
      <c r="E83" t="s">
        <v>6</v>
      </c>
      <c r="F83" t="s">
        <v>7</v>
      </c>
      <c r="G83" t="s">
        <v>39</v>
      </c>
      <c r="H83" t="s">
        <v>21</v>
      </c>
      <c r="I83" s="2"/>
      <c r="J83" t="s">
        <v>0</v>
      </c>
      <c r="K83" t="s">
        <v>4</v>
      </c>
      <c r="L83" t="s">
        <v>6</v>
      </c>
      <c r="M83" t="s">
        <v>7</v>
      </c>
      <c r="N83" t="s">
        <v>39</v>
      </c>
      <c r="O83" t="s">
        <v>21</v>
      </c>
      <c r="P83" s="2"/>
      <c r="Q83" t="s">
        <v>0</v>
      </c>
      <c r="R83" t="s">
        <v>4</v>
      </c>
      <c r="S83" t="s">
        <v>6</v>
      </c>
      <c r="T83" t="s">
        <v>7</v>
      </c>
      <c r="U83" t="s">
        <v>39</v>
      </c>
      <c r="V83" t="s">
        <v>21</v>
      </c>
      <c r="W83" s="2"/>
      <c r="X83" t="s">
        <v>0</v>
      </c>
      <c r="Y83" t="s">
        <v>4</v>
      </c>
      <c r="Z83" t="s">
        <v>6</v>
      </c>
      <c r="AA83" t="s">
        <v>7</v>
      </c>
      <c r="AC83" t="s">
        <v>21</v>
      </c>
      <c r="AD83" s="2"/>
      <c r="AE83" t="s">
        <v>0</v>
      </c>
      <c r="AF83" t="s">
        <v>4</v>
      </c>
      <c r="AG83" t="s">
        <v>6</v>
      </c>
      <c r="AH83" t="s">
        <v>7</v>
      </c>
      <c r="AJ83" t="s">
        <v>21</v>
      </c>
      <c r="AK83" s="2"/>
      <c r="AL83" t="s">
        <v>0</v>
      </c>
      <c r="AM83" t="s">
        <v>4</v>
      </c>
      <c r="AN83" t="s">
        <v>6</v>
      </c>
      <c r="AO83" t="s">
        <v>7</v>
      </c>
    </row>
    <row r="84" spans="1:41">
      <c r="B84" t="s">
        <v>0</v>
      </c>
      <c r="C84" s="2">
        <f>MIN(X76,X84,X92,X100,X108,X116,X124,X132,X140,X148)</f>
        <v>0.84889999999999999</v>
      </c>
      <c r="D84" s="2">
        <f t="shared" ref="D84:F87" si="24">MIN(Y76,Y84,Y92,Y100,Y108,Y116,Y124,Y132,Y140,Y148)</f>
        <v>0.84530000000000005</v>
      </c>
      <c r="E84" s="2">
        <f t="shared" si="24"/>
        <v>0.84630000000000005</v>
      </c>
      <c r="F84" s="2">
        <f t="shared" si="24"/>
        <v>0.85170000000000001</v>
      </c>
      <c r="G84" s="2">
        <f>AVERAGE(C84:F84)</f>
        <v>0.84804999999999997</v>
      </c>
      <c r="I84" t="s">
        <v>0</v>
      </c>
      <c r="J84" s="2">
        <f>MIN(AE76,AE84,AE92,AE100,AE108,AE116,AE124,AE132,AE140,AE148)</f>
        <v>0.80100000000000005</v>
      </c>
      <c r="K84" s="2">
        <f t="shared" ref="K84:M87" si="25">MIN(AF76,AF84,AF92,AF100,AF108,AF116,AF124,AF132,AF140,AF148)</f>
        <v>0.79290000000000005</v>
      </c>
      <c r="L84" s="2">
        <f t="shared" si="25"/>
        <v>0.79649999999999999</v>
      </c>
      <c r="M84" s="2">
        <f t="shared" si="25"/>
        <v>0.81520000000000004</v>
      </c>
      <c r="N84" s="2">
        <f>AVERAGE(J84:M84)</f>
        <v>0.8014</v>
      </c>
      <c r="P84" t="s">
        <v>0</v>
      </c>
      <c r="Q84" s="2">
        <f>MIN(AL76,AL84,AL92,AL100,AL108,AL116,AL124,AL132,AL140,AL148)</f>
        <v>0.74539999999999995</v>
      </c>
      <c r="R84" s="2">
        <f t="shared" ref="R84:T87" si="26">MIN(AM76,AM84,AM92,AM100,AM108,AM116,AM124,AM132,AM140,AM148)</f>
        <v>0.73129999999999995</v>
      </c>
      <c r="S84" s="2">
        <f t="shared" si="26"/>
        <v>0.73970000000000002</v>
      </c>
      <c r="T84" s="2">
        <f t="shared" si="26"/>
        <v>0.77139999999999997</v>
      </c>
      <c r="U84" s="2">
        <f>AVERAGE(Q84:T84)</f>
        <v>0.74695</v>
      </c>
      <c r="W84" t="s">
        <v>0</v>
      </c>
      <c r="X84" s="2">
        <v>0.84909999999999997</v>
      </c>
      <c r="Y84" s="2">
        <v>0.84789999999999999</v>
      </c>
      <c r="Z84" s="2">
        <v>0.84789999999999999</v>
      </c>
      <c r="AA84" s="2">
        <v>0.85189999999999999</v>
      </c>
      <c r="AD84" t="s">
        <v>0</v>
      </c>
      <c r="AE84" s="2">
        <v>0.80369999999999997</v>
      </c>
      <c r="AF84" s="2">
        <v>0.79990000000000006</v>
      </c>
      <c r="AG84" s="2">
        <v>0.80089999999999995</v>
      </c>
      <c r="AH84" s="2">
        <v>0.81759999999999999</v>
      </c>
      <c r="AK84" t="s">
        <v>0</v>
      </c>
      <c r="AL84" s="2">
        <v>0.749</v>
      </c>
      <c r="AM84" s="2">
        <v>0.74439999999999995</v>
      </c>
      <c r="AN84" s="2">
        <v>0.74529999999999996</v>
      </c>
      <c r="AO84" s="2">
        <v>0.77610000000000001</v>
      </c>
    </row>
    <row r="85" spans="1:41">
      <c r="B85" t="s">
        <v>4</v>
      </c>
      <c r="C85" s="2">
        <f t="shared" ref="C85:C87" si="27">MIN(X77,X85,X93,X101,X109,X117,X125,X133,X141,X149)</f>
        <v>0.86219999999999997</v>
      </c>
      <c r="D85" s="2">
        <f t="shared" si="24"/>
        <v>0.85870000000000002</v>
      </c>
      <c r="E85" s="2">
        <f t="shared" si="24"/>
        <v>0.85799999999999998</v>
      </c>
      <c r="F85" s="2">
        <f t="shared" si="24"/>
        <v>0.86229999999999996</v>
      </c>
      <c r="G85" s="2">
        <f t="shared" ref="G85:G87" si="28">AVERAGE(C85:F85)</f>
        <v>0.86029999999999995</v>
      </c>
      <c r="I85" t="s">
        <v>4</v>
      </c>
      <c r="J85" s="2">
        <f t="shared" ref="J85:J87" si="29">MIN(AE77,AE85,AE93,AE101,AE109,AE117,AE125,AE133,AE141,AE149)</f>
        <v>0.82709999999999995</v>
      </c>
      <c r="K85" s="2">
        <f t="shared" si="25"/>
        <v>0.81069999999999998</v>
      </c>
      <c r="L85" s="2">
        <f t="shared" si="25"/>
        <v>0.81210000000000004</v>
      </c>
      <c r="M85" s="2">
        <f t="shared" si="25"/>
        <v>0.82850000000000001</v>
      </c>
      <c r="N85" s="2">
        <f t="shared" ref="N85:N87" si="30">AVERAGE(J85:M85)</f>
        <v>0.8196</v>
      </c>
      <c r="P85" t="s">
        <v>4</v>
      </c>
      <c r="Q85" s="2">
        <f t="shared" ref="Q85:Q87" si="31">MIN(AL77,AL85,AL93,AL101,AL109,AL117,AL125,AL133,AL141,AL149)</f>
        <v>0.78210000000000002</v>
      </c>
      <c r="R85" s="2">
        <f t="shared" si="26"/>
        <v>0.74909999999999999</v>
      </c>
      <c r="S85" s="2">
        <f t="shared" si="26"/>
        <v>0.75529999999999997</v>
      </c>
      <c r="T85" s="2">
        <f t="shared" si="26"/>
        <v>0.78869999999999996</v>
      </c>
      <c r="U85" s="2">
        <f t="shared" ref="U85:U87" si="32">AVERAGE(Q85:T85)</f>
        <v>0.76880000000000004</v>
      </c>
      <c r="W85" t="s">
        <v>4</v>
      </c>
      <c r="X85" s="2">
        <v>0.86470000000000002</v>
      </c>
      <c r="Y85" s="2">
        <v>0.86029999999999995</v>
      </c>
      <c r="Z85" s="2">
        <v>0.86029999999999995</v>
      </c>
      <c r="AA85" s="2">
        <v>0.86460000000000004</v>
      </c>
      <c r="AD85" t="s">
        <v>4</v>
      </c>
      <c r="AE85" s="2">
        <v>0.83099999999999996</v>
      </c>
      <c r="AF85" s="2">
        <v>0.81820000000000004</v>
      </c>
      <c r="AG85" s="2">
        <v>0.81820000000000004</v>
      </c>
      <c r="AH85" s="2">
        <v>0.83399999999999996</v>
      </c>
      <c r="AK85" t="s">
        <v>4</v>
      </c>
      <c r="AL85" s="2">
        <v>0.7833</v>
      </c>
      <c r="AM85" s="2">
        <v>0.75970000000000004</v>
      </c>
      <c r="AN85" s="2">
        <v>0.75900000000000001</v>
      </c>
      <c r="AO85" s="2">
        <v>0.78979999999999995</v>
      </c>
    </row>
    <row r="86" spans="1:41">
      <c r="B86" t="s">
        <v>6</v>
      </c>
      <c r="C86" s="2">
        <f t="shared" si="27"/>
        <v>0.87290000000000001</v>
      </c>
      <c r="D86" s="2">
        <f t="shared" si="24"/>
        <v>0.86899999999999999</v>
      </c>
      <c r="E86" s="2">
        <f t="shared" si="24"/>
        <v>0.86650000000000005</v>
      </c>
      <c r="F86" s="2">
        <f t="shared" si="24"/>
        <v>0.87119999999999997</v>
      </c>
      <c r="G86" s="2">
        <f t="shared" si="28"/>
        <v>0.86990000000000001</v>
      </c>
      <c r="I86" t="s">
        <v>6</v>
      </c>
      <c r="J86" s="2">
        <f t="shared" si="29"/>
        <v>0.84519999999999995</v>
      </c>
      <c r="K86" s="2">
        <f t="shared" si="25"/>
        <v>0.83020000000000005</v>
      </c>
      <c r="L86" s="2">
        <f t="shared" si="25"/>
        <v>0.82030000000000003</v>
      </c>
      <c r="M86" s="2">
        <f t="shared" si="25"/>
        <v>0.83879999999999999</v>
      </c>
      <c r="N86" s="2">
        <f t="shared" si="30"/>
        <v>0.83362500000000006</v>
      </c>
      <c r="P86" t="s">
        <v>6</v>
      </c>
      <c r="Q86" s="2">
        <f t="shared" si="31"/>
        <v>0.81189999999999996</v>
      </c>
      <c r="R86" s="2">
        <f t="shared" si="26"/>
        <v>0.78290000000000004</v>
      </c>
      <c r="S86" s="2">
        <f t="shared" si="26"/>
        <v>0.7611</v>
      </c>
      <c r="T86" s="2">
        <f t="shared" si="26"/>
        <v>0.79900000000000004</v>
      </c>
      <c r="U86" s="2">
        <f t="shared" si="32"/>
        <v>0.78872500000000001</v>
      </c>
      <c r="W86" t="s">
        <v>6</v>
      </c>
      <c r="X86" s="2">
        <v>0.87539999999999996</v>
      </c>
      <c r="Y86" s="2">
        <v>0.87190000000000001</v>
      </c>
      <c r="Z86" s="2">
        <v>0.86909999999999998</v>
      </c>
      <c r="AA86" s="2">
        <v>0.87350000000000005</v>
      </c>
      <c r="AD86" t="s">
        <v>6</v>
      </c>
      <c r="AE86" s="2">
        <v>0.84960000000000002</v>
      </c>
      <c r="AF86" s="2">
        <v>0.84060000000000001</v>
      </c>
      <c r="AG86" s="2">
        <v>0.82830000000000004</v>
      </c>
      <c r="AH86" s="2">
        <v>0.84260000000000002</v>
      </c>
      <c r="AK86" t="s">
        <v>6</v>
      </c>
      <c r="AL86" s="2">
        <v>0.81689999999999996</v>
      </c>
      <c r="AM86" s="2">
        <v>0.79969999999999997</v>
      </c>
      <c r="AN86" s="2">
        <v>0.77129999999999999</v>
      </c>
      <c r="AO86" s="2">
        <v>0.80379999999999996</v>
      </c>
    </row>
    <row r="87" spans="1:41">
      <c r="B87" t="s">
        <v>7</v>
      </c>
      <c r="C87" s="2">
        <f t="shared" si="27"/>
        <v>0.86050000000000004</v>
      </c>
      <c r="D87" s="2">
        <f t="shared" si="24"/>
        <v>0.85599999999999998</v>
      </c>
      <c r="E87" s="2">
        <f t="shared" si="24"/>
        <v>0.85309999999999997</v>
      </c>
      <c r="F87" s="2">
        <f t="shared" si="24"/>
        <v>0.85199999999999998</v>
      </c>
      <c r="G87" s="2">
        <f t="shared" si="28"/>
        <v>0.85539999999999994</v>
      </c>
      <c r="I87" t="s">
        <v>7</v>
      </c>
      <c r="J87" s="2">
        <f t="shared" si="29"/>
        <v>0.83240000000000003</v>
      </c>
      <c r="K87" s="2">
        <f t="shared" si="25"/>
        <v>0.81740000000000002</v>
      </c>
      <c r="L87" s="2">
        <f t="shared" si="25"/>
        <v>0.80930000000000002</v>
      </c>
      <c r="M87" s="2">
        <f t="shared" si="25"/>
        <v>0.80589999999999995</v>
      </c>
      <c r="N87" s="2">
        <f t="shared" si="30"/>
        <v>0.81624999999999992</v>
      </c>
      <c r="P87" t="s">
        <v>7</v>
      </c>
      <c r="Q87" s="2">
        <f t="shared" si="31"/>
        <v>0.79820000000000002</v>
      </c>
      <c r="R87" s="2">
        <f t="shared" si="26"/>
        <v>0.77139999999999997</v>
      </c>
      <c r="S87" s="2">
        <f t="shared" si="26"/>
        <v>0.75129999999999997</v>
      </c>
      <c r="T87" s="2">
        <f t="shared" si="26"/>
        <v>0.74729999999999996</v>
      </c>
      <c r="U87" s="2">
        <f t="shared" si="32"/>
        <v>0.76705000000000001</v>
      </c>
      <c r="W87" t="s">
        <v>7</v>
      </c>
      <c r="X87" s="2">
        <v>0.86399999999999999</v>
      </c>
      <c r="Y87" s="2">
        <v>0.86050000000000004</v>
      </c>
      <c r="Z87" s="2">
        <v>0.85780000000000001</v>
      </c>
      <c r="AA87" s="2">
        <v>0.85609999999999997</v>
      </c>
      <c r="AD87" t="s">
        <v>7</v>
      </c>
      <c r="AE87" s="2">
        <v>0.8357</v>
      </c>
      <c r="AF87" s="2">
        <v>0.82589999999999997</v>
      </c>
      <c r="AG87" s="2">
        <v>0.81200000000000006</v>
      </c>
      <c r="AH87" s="2">
        <v>0.80789999999999995</v>
      </c>
      <c r="AK87" t="s">
        <v>7</v>
      </c>
      <c r="AL87" s="2">
        <v>0.79820000000000002</v>
      </c>
      <c r="AM87" s="2">
        <v>0.78010000000000002</v>
      </c>
      <c r="AN87" s="2">
        <v>0.75560000000000005</v>
      </c>
      <c r="AO87" s="2">
        <v>0.74860000000000004</v>
      </c>
    </row>
    <row r="89" spans="1:41">
      <c r="A89" t="s">
        <v>11</v>
      </c>
      <c r="B89" t="s">
        <v>22</v>
      </c>
      <c r="H89" t="s">
        <v>11</v>
      </c>
      <c r="I89" t="s">
        <v>22</v>
      </c>
      <c r="O89" t="s">
        <v>11</v>
      </c>
      <c r="P89" t="s">
        <v>22</v>
      </c>
      <c r="V89" t="s">
        <v>27</v>
      </c>
      <c r="W89" t="s">
        <v>22</v>
      </c>
      <c r="AC89" t="s">
        <v>27</v>
      </c>
      <c r="AD89" t="s">
        <v>22</v>
      </c>
      <c r="AJ89" t="s">
        <v>27</v>
      </c>
      <c r="AK89" t="s">
        <v>22</v>
      </c>
    </row>
    <row r="90" spans="1:41">
      <c r="A90" t="s">
        <v>20</v>
      </c>
      <c r="H90" t="s">
        <v>23</v>
      </c>
      <c r="O90" t="s">
        <v>24</v>
      </c>
      <c r="V90" t="s">
        <v>20</v>
      </c>
      <c r="AC90" t="s">
        <v>23</v>
      </c>
      <c r="AJ90" t="s">
        <v>24</v>
      </c>
    </row>
    <row r="91" spans="1:41">
      <c r="A91" t="s">
        <v>21</v>
      </c>
      <c r="B91" s="2"/>
      <c r="C91" t="s">
        <v>0</v>
      </c>
      <c r="D91" t="s">
        <v>4</v>
      </c>
      <c r="E91" t="s">
        <v>6</v>
      </c>
      <c r="F91" t="s">
        <v>7</v>
      </c>
      <c r="G91" t="s">
        <v>39</v>
      </c>
      <c r="H91" t="s">
        <v>21</v>
      </c>
      <c r="I91" s="2"/>
      <c r="J91" t="s">
        <v>0</v>
      </c>
      <c r="K91" t="s">
        <v>4</v>
      </c>
      <c r="L91" t="s">
        <v>6</v>
      </c>
      <c r="M91" t="s">
        <v>7</v>
      </c>
      <c r="N91" t="s">
        <v>39</v>
      </c>
      <c r="O91" t="s">
        <v>21</v>
      </c>
      <c r="P91" s="2"/>
      <c r="Q91" t="s">
        <v>0</v>
      </c>
      <c r="R91" t="s">
        <v>4</v>
      </c>
      <c r="S91" t="s">
        <v>6</v>
      </c>
      <c r="T91" t="s">
        <v>7</v>
      </c>
      <c r="U91" t="s">
        <v>39</v>
      </c>
      <c r="V91" t="s">
        <v>21</v>
      </c>
      <c r="W91" s="2"/>
      <c r="X91" t="s">
        <v>0</v>
      </c>
      <c r="Y91" t="s">
        <v>4</v>
      </c>
      <c r="Z91" t="s">
        <v>6</v>
      </c>
      <c r="AA91" t="s">
        <v>7</v>
      </c>
      <c r="AC91" t="s">
        <v>21</v>
      </c>
      <c r="AD91" s="2"/>
      <c r="AE91" t="s">
        <v>0</v>
      </c>
      <c r="AF91" t="s">
        <v>4</v>
      </c>
      <c r="AG91" t="s">
        <v>6</v>
      </c>
      <c r="AH91" t="s">
        <v>7</v>
      </c>
      <c r="AJ91" t="s">
        <v>21</v>
      </c>
      <c r="AK91" s="2"/>
      <c r="AL91" t="s">
        <v>0</v>
      </c>
      <c r="AM91" t="s">
        <v>4</v>
      </c>
      <c r="AN91" t="s">
        <v>6</v>
      </c>
      <c r="AO91" t="s">
        <v>7</v>
      </c>
    </row>
    <row r="92" spans="1:41">
      <c r="B92" t="s">
        <v>0</v>
      </c>
      <c r="C92" s="2">
        <f>MAX(X76,X84,X92,X100,X108,X116,X124,X132,X140,X148)</f>
        <v>0.8609</v>
      </c>
      <c r="D92" s="2">
        <f t="shared" ref="D92:F95" si="33">MAX(Y76,Y84,Y92,Y100,Y108,Y116,Y124,Y132,Y140,Y148)</f>
        <v>0.85829999999999995</v>
      </c>
      <c r="E92" s="2">
        <f t="shared" si="33"/>
        <v>0.85909999999999997</v>
      </c>
      <c r="F92" s="2">
        <f t="shared" si="33"/>
        <v>0.86399999999999999</v>
      </c>
      <c r="G92" s="2">
        <f>AVERAGE(C92:F92)</f>
        <v>0.86057499999999987</v>
      </c>
      <c r="I92" t="s">
        <v>0</v>
      </c>
      <c r="J92" s="2">
        <f>MAX(AE76,AE84,AE92,AE100,AE108,AE116,AE124,AE132,AE140,AE148)</f>
        <v>0.82179999999999997</v>
      </c>
      <c r="K92" s="2">
        <f t="shared" ref="K92:M95" si="34">MAX(AF76,AF84,AF92,AF100,AF108,AF116,AF124,AF132,AF140,AF148)</f>
        <v>0.81200000000000006</v>
      </c>
      <c r="L92" s="2">
        <f t="shared" si="34"/>
        <v>0.81640000000000001</v>
      </c>
      <c r="M92" s="2">
        <f t="shared" si="34"/>
        <v>0.83179999999999998</v>
      </c>
      <c r="N92" s="2">
        <f>AVERAGE(J92:M92)</f>
        <v>0.8204999999999999</v>
      </c>
      <c r="P92" t="s">
        <v>0</v>
      </c>
      <c r="Q92" s="2">
        <f>MAX(AL76,AL84,AL92,AL100,AL108,AL116,AL124,AL132,AL140,AL148)</f>
        <v>0.76919999999999999</v>
      </c>
      <c r="R92" s="2">
        <f t="shared" ref="R92:T95" si="35">MAX(AM76,AM84,AM92,AM100,AM108,AM116,AM124,AM132,AM140,AM148)</f>
        <v>0.75749999999999995</v>
      </c>
      <c r="S92" s="2">
        <f t="shared" si="35"/>
        <v>0.76839999999999997</v>
      </c>
      <c r="T92" s="2">
        <f t="shared" si="35"/>
        <v>0.79649999999999999</v>
      </c>
      <c r="U92" s="2">
        <f>AVERAGE(Q92:T92)</f>
        <v>0.77289999999999992</v>
      </c>
      <c r="W92" t="s">
        <v>0</v>
      </c>
      <c r="X92" s="2">
        <v>0.85750000000000004</v>
      </c>
      <c r="Y92" s="2">
        <v>0.85570000000000002</v>
      </c>
      <c r="Z92" s="2">
        <v>0.85709999999999997</v>
      </c>
      <c r="AA92" s="2">
        <v>0.86140000000000005</v>
      </c>
      <c r="AD92" t="s">
        <v>0</v>
      </c>
      <c r="AE92" s="2">
        <v>0.81659999999999999</v>
      </c>
      <c r="AF92" s="2">
        <v>0.81200000000000006</v>
      </c>
      <c r="AG92" s="2">
        <v>0.81640000000000001</v>
      </c>
      <c r="AH92" s="2">
        <v>0.83179999999999998</v>
      </c>
      <c r="AK92" t="s">
        <v>0</v>
      </c>
      <c r="AL92" s="2">
        <v>0.76680000000000004</v>
      </c>
      <c r="AM92" s="2">
        <v>0.75749999999999995</v>
      </c>
      <c r="AN92" s="2">
        <v>0.76839999999999997</v>
      </c>
      <c r="AO92" s="2">
        <v>0.79649999999999999</v>
      </c>
    </row>
    <row r="93" spans="1:41">
      <c r="B93" t="s">
        <v>4</v>
      </c>
      <c r="C93" s="2">
        <f t="shared" ref="C93:C95" si="36">MAX(X77,X85,X93,X101,X109,X117,X125,X133,X141,X149)</f>
        <v>0.86990000000000001</v>
      </c>
      <c r="D93" s="2">
        <f t="shared" si="33"/>
        <v>0.86539999999999995</v>
      </c>
      <c r="E93" s="2">
        <f t="shared" si="33"/>
        <v>0.8669</v>
      </c>
      <c r="F93" s="2">
        <f t="shared" si="33"/>
        <v>0.87009999999999998</v>
      </c>
      <c r="G93" s="2">
        <f t="shared" ref="G93:G95" si="37">AVERAGE(C93:F93)</f>
        <v>0.86807499999999993</v>
      </c>
      <c r="I93" t="s">
        <v>4</v>
      </c>
      <c r="J93" s="2">
        <f t="shared" ref="J93:J95" si="38">MAX(AE77,AE85,AE93,AE101,AE109,AE117,AE125,AE133,AE141,AE149)</f>
        <v>0.83740000000000003</v>
      </c>
      <c r="K93" s="2">
        <f t="shared" si="34"/>
        <v>0.82110000000000005</v>
      </c>
      <c r="L93" s="2">
        <f t="shared" si="34"/>
        <v>0.82699999999999996</v>
      </c>
      <c r="M93" s="2">
        <f t="shared" si="34"/>
        <v>0.83989999999999998</v>
      </c>
      <c r="N93" s="2">
        <f t="shared" ref="N93:N95" si="39">AVERAGE(J93:M93)</f>
        <v>0.83135000000000003</v>
      </c>
      <c r="P93" t="s">
        <v>4</v>
      </c>
      <c r="Q93" s="2">
        <f t="shared" ref="Q93:Q95" si="40">MAX(AL77,AL85,AL93,AL101,AL109,AL117,AL125,AL133,AL141,AL149)</f>
        <v>0.79259999999999997</v>
      </c>
      <c r="R93" s="2">
        <f t="shared" si="35"/>
        <v>0.76239999999999997</v>
      </c>
      <c r="S93" s="2">
        <f t="shared" si="35"/>
        <v>0.77459999999999996</v>
      </c>
      <c r="T93" s="2">
        <f t="shared" si="35"/>
        <v>0.80500000000000005</v>
      </c>
      <c r="U93" s="2">
        <f t="shared" ref="U93:U95" si="41">AVERAGE(Q93:T93)</f>
        <v>0.78365000000000007</v>
      </c>
      <c r="W93" t="s">
        <v>4</v>
      </c>
      <c r="X93" s="2">
        <v>0.86899999999999999</v>
      </c>
      <c r="Y93" s="2">
        <v>0.86529999999999996</v>
      </c>
      <c r="Z93" s="2">
        <v>0.8669</v>
      </c>
      <c r="AA93" s="2">
        <v>0.86929999999999996</v>
      </c>
      <c r="AD93" t="s">
        <v>4</v>
      </c>
      <c r="AE93" s="2">
        <v>0.83409999999999995</v>
      </c>
      <c r="AF93" s="2">
        <v>0.82110000000000005</v>
      </c>
      <c r="AG93" s="2">
        <v>0.82699999999999996</v>
      </c>
      <c r="AH93" s="2">
        <v>0.83989999999999998</v>
      </c>
      <c r="AK93" t="s">
        <v>4</v>
      </c>
      <c r="AL93" s="2">
        <v>0.79210000000000003</v>
      </c>
      <c r="AM93" s="2">
        <v>0.76239999999999997</v>
      </c>
      <c r="AN93" s="2">
        <v>0.77459999999999996</v>
      </c>
      <c r="AO93" s="2">
        <v>0.80500000000000005</v>
      </c>
    </row>
    <row r="94" spans="1:41">
      <c r="B94" t="s">
        <v>6</v>
      </c>
      <c r="C94" s="2">
        <f t="shared" si="36"/>
        <v>0.87790000000000001</v>
      </c>
      <c r="D94" s="2">
        <f t="shared" si="33"/>
        <v>0.87309999999999999</v>
      </c>
      <c r="E94" s="2">
        <f t="shared" si="33"/>
        <v>0.87160000000000004</v>
      </c>
      <c r="F94" s="2">
        <f t="shared" si="33"/>
        <v>0.87529999999999997</v>
      </c>
      <c r="G94" s="2">
        <f t="shared" si="37"/>
        <v>0.87447499999999989</v>
      </c>
      <c r="I94" t="s">
        <v>6</v>
      </c>
      <c r="J94" s="2">
        <f t="shared" si="38"/>
        <v>0.85199999999999998</v>
      </c>
      <c r="K94" s="2">
        <f t="shared" si="34"/>
        <v>0.84060000000000001</v>
      </c>
      <c r="L94" s="2">
        <f t="shared" si="34"/>
        <v>0.82969999999999999</v>
      </c>
      <c r="M94" s="2">
        <f t="shared" si="34"/>
        <v>0.84530000000000005</v>
      </c>
      <c r="N94" s="2">
        <f t="shared" si="39"/>
        <v>0.84189999999999998</v>
      </c>
      <c r="P94" t="s">
        <v>6</v>
      </c>
      <c r="Q94" s="2">
        <f t="shared" si="40"/>
        <v>0.81910000000000005</v>
      </c>
      <c r="R94" s="2">
        <f t="shared" si="35"/>
        <v>0.79969999999999997</v>
      </c>
      <c r="S94" s="2">
        <f t="shared" si="35"/>
        <v>0.77239999999999998</v>
      </c>
      <c r="T94" s="2">
        <f t="shared" si="35"/>
        <v>0.80720000000000003</v>
      </c>
      <c r="U94" s="2">
        <f t="shared" si="41"/>
        <v>0.79959999999999998</v>
      </c>
      <c r="W94" t="s">
        <v>6</v>
      </c>
      <c r="X94" s="2">
        <v>0.875</v>
      </c>
      <c r="Y94" s="2">
        <v>0.87190000000000001</v>
      </c>
      <c r="Z94" s="2">
        <v>0.87</v>
      </c>
      <c r="AA94" s="2">
        <v>0.87370000000000003</v>
      </c>
      <c r="AD94" t="s">
        <v>6</v>
      </c>
      <c r="AE94" s="2">
        <v>0.8488</v>
      </c>
      <c r="AF94" s="2">
        <v>0.83699999999999997</v>
      </c>
      <c r="AG94" s="2">
        <v>0.82920000000000005</v>
      </c>
      <c r="AH94" s="2">
        <v>0.84530000000000005</v>
      </c>
      <c r="AK94" t="s">
        <v>6</v>
      </c>
      <c r="AL94" s="2">
        <v>0.81279999999999997</v>
      </c>
      <c r="AM94" s="2">
        <v>0.78969999999999996</v>
      </c>
      <c r="AN94" s="2">
        <v>0.77239999999999998</v>
      </c>
      <c r="AO94" s="2">
        <v>0.80469999999999997</v>
      </c>
    </row>
    <row r="95" spans="1:41">
      <c r="B95" t="s">
        <v>7</v>
      </c>
      <c r="C95" s="2">
        <f t="shared" si="36"/>
        <v>0.86860000000000004</v>
      </c>
      <c r="D95" s="2">
        <f t="shared" si="33"/>
        <v>0.86439999999999995</v>
      </c>
      <c r="E95" s="2">
        <f t="shared" si="33"/>
        <v>0.86309999999999998</v>
      </c>
      <c r="F95" s="2">
        <f t="shared" si="33"/>
        <v>0.86229999999999996</v>
      </c>
      <c r="G95" s="2">
        <f t="shared" si="37"/>
        <v>0.86459999999999992</v>
      </c>
      <c r="I95" t="s">
        <v>7</v>
      </c>
      <c r="J95" s="2">
        <f t="shared" si="38"/>
        <v>0.8427</v>
      </c>
      <c r="K95" s="2">
        <f t="shared" si="34"/>
        <v>0.82769999999999999</v>
      </c>
      <c r="L95" s="2">
        <f t="shared" si="34"/>
        <v>0.81950000000000001</v>
      </c>
      <c r="M95" s="2">
        <f t="shared" si="34"/>
        <v>0.81820000000000004</v>
      </c>
      <c r="N95" s="2">
        <f t="shared" si="39"/>
        <v>0.82702500000000001</v>
      </c>
      <c r="P95" t="s">
        <v>7</v>
      </c>
      <c r="Q95" s="2">
        <f t="shared" si="40"/>
        <v>0.81069999999999998</v>
      </c>
      <c r="R95" s="2">
        <f t="shared" si="35"/>
        <v>0.78649999999999998</v>
      </c>
      <c r="S95" s="2">
        <f t="shared" si="35"/>
        <v>0.76790000000000003</v>
      </c>
      <c r="T95" s="2">
        <f t="shared" si="35"/>
        <v>0.76600000000000001</v>
      </c>
      <c r="U95" s="2">
        <f t="shared" si="41"/>
        <v>0.782775</v>
      </c>
      <c r="W95" t="s">
        <v>7</v>
      </c>
      <c r="X95" s="2">
        <v>0.86280000000000001</v>
      </c>
      <c r="Y95" s="2">
        <v>0.85799999999999998</v>
      </c>
      <c r="Z95" s="2">
        <v>0.85540000000000005</v>
      </c>
      <c r="AA95" s="2">
        <v>0.85440000000000005</v>
      </c>
      <c r="AD95" t="s">
        <v>7</v>
      </c>
      <c r="AE95" s="2">
        <v>0.83460000000000001</v>
      </c>
      <c r="AF95" s="2">
        <v>0.81969999999999998</v>
      </c>
      <c r="AG95" s="2">
        <v>0.81140000000000001</v>
      </c>
      <c r="AH95" s="2">
        <v>0.80740000000000001</v>
      </c>
      <c r="AK95" t="s">
        <v>7</v>
      </c>
      <c r="AL95" s="2">
        <v>0.79900000000000004</v>
      </c>
      <c r="AM95" s="2">
        <v>0.77310000000000001</v>
      </c>
      <c r="AN95" s="2">
        <v>0.75719999999999998</v>
      </c>
      <c r="AO95" s="2">
        <v>0.74890000000000001</v>
      </c>
    </row>
    <row r="97" spans="1:41">
      <c r="A97" t="s">
        <v>9</v>
      </c>
      <c r="B97" t="s">
        <v>22</v>
      </c>
      <c r="H97" t="s">
        <v>9</v>
      </c>
      <c r="I97" t="s">
        <v>22</v>
      </c>
      <c r="O97" t="s">
        <v>9</v>
      </c>
      <c r="P97" t="s">
        <v>22</v>
      </c>
      <c r="V97" t="s">
        <v>28</v>
      </c>
      <c r="W97" t="s">
        <v>22</v>
      </c>
      <c r="AC97" t="s">
        <v>28</v>
      </c>
      <c r="AD97" t="s">
        <v>22</v>
      </c>
      <c r="AJ97" t="s">
        <v>28</v>
      </c>
      <c r="AK97" t="s">
        <v>22</v>
      </c>
    </row>
    <row r="98" spans="1:41">
      <c r="A98" t="s">
        <v>20</v>
      </c>
      <c r="H98" t="s">
        <v>23</v>
      </c>
      <c r="O98" t="s">
        <v>24</v>
      </c>
      <c r="V98" t="s">
        <v>20</v>
      </c>
      <c r="AC98" t="s">
        <v>23</v>
      </c>
      <c r="AJ98" t="s">
        <v>24</v>
      </c>
    </row>
    <row r="99" spans="1:41">
      <c r="A99" t="s">
        <v>21</v>
      </c>
      <c r="B99" s="2"/>
      <c r="C99" t="s">
        <v>0</v>
      </c>
      <c r="D99" t="s">
        <v>4</v>
      </c>
      <c r="E99" t="s">
        <v>6</v>
      </c>
      <c r="F99" t="s">
        <v>7</v>
      </c>
      <c r="G99" t="s">
        <v>39</v>
      </c>
      <c r="H99" t="s">
        <v>21</v>
      </c>
      <c r="I99" s="2"/>
      <c r="J99" t="s">
        <v>0</v>
      </c>
      <c r="K99" t="s">
        <v>4</v>
      </c>
      <c r="L99" t="s">
        <v>6</v>
      </c>
      <c r="M99" t="s">
        <v>7</v>
      </c>
      <c r="N99" t="s">
        <v>39</v>
      </c>
      <c r="O99" t="s">
        <v>21</v>
      </c>
      <c r="P99" s="2"/>
      <c r="Q99" t="s">
        <v>0</v>
      </c>
      <c r="R99" t="s">
        <v>4</v>
      </c>
      <c r="S99" t="s">
        <v>6</v>
      </c>
      <c r="T99" t="s">
        <v>7</v>
      </c>
      <c r="U99" t="s">
        <v>39</v>
      </c>
      <c r="V99" t="s">
        <v>21</v>
      </c>
      <c r="W99" s="2"/>
      <c r="X99" t="s">
        <v>0</v>
      </c>
      <c r="Y99" t="s">
        <v>4</v>
      </c>
      <c r="Z99" t="s">
        <v>6</v>
      </c>
      <c r="AA99" t="s">
        <v>7</v>
      </c>
      <c r="AC99" t="s">
        <v>21</v>
      </c>
      <c r="AD99" s="2"/>
      <c r="AE99" t="s">
        <v>0</v>
      </c>
      <c r="AF99" t="s">
        <v>4</v>
      </c>
      <c r="AG99" t="s">
        <v>6</v>
      </c>
      <c r="AH99" t="s">
        <v>7</v>
      </c>
      <c r="AJ99" t="s">
        <v>21</v>
      </c>
      <c r="AK99" s="2"/>
      <c r="AL99" t="s">
        <v>0</v>
      </c>
      <c r="AM99" t="s">
        <v>4</v>
      </c>
      <c r="AN99" t="s">
        <v>6</v>
      </c>
      <c r="AO99" t="s">
        <v>7</v>
      </c>
    </row>
    <row r="100" spans="1:41">
      <c r="B100" t="s">
        <v>0</v>
      </c>
      <c r="C100" s="2">
        <f>AVERAGE(X76,X84,X92,X100,X108,X116,X124,X132,X140,X148)</f>
        <v>0.85301999999999989</v>
      </c>
      <c r="D100" s="2">
        <f t="shared" ref="D100:F103" si="42">AVERAGE(Y76,Y84,Y92,Y100,Y108,Y116,Y124,Y132,Y140,Y148)</f>
        <v>0.85057999999999989</v>
      </c>
      <c r="E100" s="2">
        <f t="shared" si="42"/>
        <v>0.85165000000000002</v>
      </c>
      <c r="F100" s="2">
        <f t="shared" si="42"/>
        <v>0.85609999999999997</v>
      </c>
      <c r="G100" s="2">
        <f>AVERAGE(C100:F100)</f>
        <v>0.85283750000000003</v>
      </c>
      <c r="I100" t="s">
        <v>0</v>
      </c>
      <c r="J100" s="2">
        <f>AVERAGE(AE76,AE84,AE92,AE100,AE108,AE116,AE124,AE132,AE140,AE148)</f>
        <v>0.81128</v>
      </c>
      <c r="K100" s="2">
        <f t="shared" ref="K100:M103" si="43">AVERAGE(AF76,AF84,AF92,AF100,AF108,AF116,AF124,AF132,AF140,AF148)</f>
        <v>0.80450999999999995</v>
      </c>
      <c r="L100" s="2">
        <f t="shared" si="43"/>
        <v>0.80813000000000001</v>
      </c>
      <c r="M100" s="2">
        <f t="shared" si="43"/>
        <v>0.8246300000000002</v>
      </c>
      <c r="N100" s="2">
        <f>AVERAGE(J100:M100)</f>
        <v>0.81213749999999996</v>
      </c>
      <c r="P100" t="s">
        <v>0</v>
      </c>
      <c r="Q100" s="2">
        <f>AVERAGE(AL76,AL84,AL92,AL100,AL108,AL116,AL124,AL132,AL140,AL148)</f>
        <v>0.75939999999999996</v>
      </c>
      <c r="R100" s="2">
        <f t="shared" ref="R100:T103" si="44">AVERAGE(AM76,AM84,AM92,AM100,AM108,AM116,AM124,AM132,AM140,AM148)</f>
        <v>0.74680999999999997</v>
      </c>
      <c r="S100" s="2">
        <f t="shared" si="44"/>
        <v>0.75419999999999987</v>
      </c>
      <c r="T100" s="2">
        <f t="shared" si="44"/>
        <v>0.78632000000000013</v>
      </c>
      <c r="U100" s="2">
        <f>AVERAGE(Q100:T100)</f>
        <v>0.76168250000000004</v>
      </c>
      <c r="W100" t="s">
        <v>0</v>
      </c>
      <c r="X100" s="2">
        <v>0.8518</v>
      </c>
      <c r="Y100" s="2">
        <v>0.84909999999999997</v>
      </c>
      <c r="Z100" s="2">
        <v>0.84940000000000004</v>
      </c>
      <c r="AA100" s="2">
        <v>0.85370000000000001</v>
      </c>
      <c r="AD100" t="s">
        <v>0</v>
      </c>
      <c r="AE100" s="2">
        <v>0.81020000000000003</v>
      </c>
      <c r="AF100" s="2">
        <v>0.8054</v>
      </c>
      <c r="AG100" s="2">
        <v>0.80569999999999997</v>
      </c>
      <c r="AH100" s="2">
        <v>0.8216</v>
      </c>
      <c r="AK100" t="s">
        <v>0</v>
      </c>
      <c r="AL100" s="2">
        <v>0.7571</v>
      </c>
      <c r="AM100" s="2">
        <v>0.74739999999999995</v>
      </c>
      <c r="AN100" s="2">
        <v>0.74739999999999995</v>
      </c>
      <c r="AO100" s="2">
        <v>0.78</v>
      </c>
    </row>
    <row r="101" spans="1:41">
      <c r="B101" t="s">
        <v>4</v>
      </c>
      <c r="C101" s="2">
        <f t="shared" ref="C101:C103" si="45">AVERAGE(X77,X85,X93,X101,X109,X117,X125,X133,X141,X149)</f>
        <v>0.86621000000000004</v>
      </c>
      <c r="D101" s="2">
        <f t="shared" si="42"/>
        <v>0.86166999999999994</v>
      </c>
      <c r="E101" s="2">
        <f t="shared" si="42"/>
        <v>0.86236000000000002</v>
      </c>
      <c r="F101" s="2">
        <f t="shared" si="42"/>
        <v>0.8667999999999999</v>
      </c>
      <c r="G101" s="2">
        <f t="shared" ref="G101:G103" si="46">AVERAGE(C101:F101)</f>
        <v>0.86425999999999992</v>
      </c>
      <c r="I101" t="s">
        <v>4</v>
      </c>
      <c r="J101" s="2">
        <f t="shared" ref="J101:J103" si="47">AVERAGE(AE77,AE85,AE93,AE101,AE109,AE117,AE125,AE133,AE141,AE149)</f>
        <v>0.83209999999999995</v>
      </c>
      <c r="K101" s="2">
        <f t="shared" si="43"/>
        <v>0.81553000000000009</v>
      </c>
      <c r="L101" s="2">
        <f t="shared" si="43"/>
        <v>0.8190900000000001</v>
      </c>
      <c r="M101" s="2">
        <f t="shared" si="43"/>
        <v>0.83521000000000001</v>
      </c>
      <c r="N101" s="2">
        <f t="shared" ref="N101:N103" si="48">AVERAGE(J101:M101)</f>
        <v>0.82548250000000001</v>
      </c>
      <c r="P101" t="s">
        <v>4</v>
      </c>
      <c r="Q101" s="2">
        <f t="shared" ref="Q101:Q103" si="49">AVERAGE(AL77,AL85,AL93,AL101,AL109,AL117,AL125,AL133,AL141,AL149)</f>
        <v>0.78764000000000001</v>
      </c>
      <c r="R101" s="2">
        <f t="shared" si="44"/>
        <v>0.75692000000000015</v>
      </c>
      <c r="S101" s="2">
        <f t="shared" si="44"/>
        <v>0.76241999999999988</v>
      </c>
      <c r="T101" s="2">
        <f t="shared" si="44"/>
        <v>0.79541000000000006</v>
      </c>
      <c r="U101" s="2">
        <f t="shared" ref="U101:U103" si="50">AVERAGE(Q101:T101)</f>
        <v>0.77559750000000005</v>
      </c>
      <c r="W101" t="s">
        <v>4</v>
      </c>
      <c r="X101" s="2">
        <v>0.86219999999999997</v>
      </c>
      <c r="Y101" s="2">
        <v>0.85870000000000002</v>
      </c>
      <c r="Z101" s="2">
        <v>0.85799999999999998</v>
      </c>
      <c r="AA101" s="2">
        <v>0.86229999999999996</v>
      </c>
      <c r="AD101" t="s">
        <v>4</v>
      </c>
      <c r="AE101" s="2">
        <v>0.82709999999999995</v>
      </c>
      <c r="AF101" s="2">
        <v>0.81269999999999998</v>
      </c>
      <c r="AG101" s="2">
        <v>0.81210000000000004</v>
      </c>
      <c r="AH101" s="2">
        <v>0.82850000000000001</v>
      </c>
      <c r="AK101" t="s">
        <v>4</v>
      </c>
      <c r="AL101" s="2">
        <v>0.78220000000000001</v>
      </c>
      <c r="AM101" s="2">
        <v>0.75929999999999997</v>
      </c>
      <c r="AN101" s="2">
        <v>0.75529999999999997</v>
      </c>
      <c r="AO101" s="2">
        <v>0.78869999999999996</v>
      </c>
    </row>
    <row r="102" spans="1:41">
      <c r="B102" t="s">
        <v>6</v>
      </c>
      <c r="C102" s="2">
        <f t="shared" si="45"/>
        <v>0.87507999999999997</v>
      </c>
      <c r="D102" s="2">
        <f t="shared" si="42"/>
        <v>0.87092000000000014</v>
      </c>
      <c r="E102" s="2">
        <f t="shared" si="42"/>
        <v>0.86842000000000019</v>
      </c>
      <c r="F102" s="2">
        <f t="shared" si="42"/>
        <v>0.87316000000000005</v>
      </c>
      <c r="G102" s="2">
        <f t="shared" si="46"/>
        <v>0.87189499999999998</v>
      </c>
      <c r="I102" t="s">
        <v>6</v>
      </c>
      <c r="J102" s="2">
        <f t="shared" si="47"/>
        <v>0.84845000000000004</v>
      </c>
      <c r="K102" s="2">
        <f t="shared" si="43"/>
        <v>0.83527000000000007</v>
      </c>
      <c r="L102" s="2">
        <f t="shared" si="43"/>
        <v>0.82533999999999996</v>
      </c>
      <c r="M102" s="2">
        <f t="shared" si="43"/>
        <v>0.84238999999999997</v>
      </c>
      <c r="N102" s="2">
        <f t="shared" si="48"/>
        <v>0.83786249999999995</v>
      </c>
      <c r="P102" t="s">
        <v>6</v>
      </c>
      <c r="Q102" s="2">
        <f t="shared" si="49"/>
        <v>0.81443999999999994</v>
      </c>
      <c r="R102" s="2">
        <f t="shared" si="44"/>
        <v>0.78970000000000007</v>
      </c>
      <c r="S102" s="2">
        <f t="shared" si="44"/>
        <v>0.76707999999999998</v>
      </c>
      <c r="T102" s="2">
        <f t="shared" si="44"/>
        <v>0.80318000000000001</v>
      </c>
      <c r="U102" s="2">
        <f t="shared" si="50"/>
        <v>0.79360000000000008</v>
      </c>
      <c r="W102" t="s">
        <v>6</v>
      </c>
      <c r="X102" s="2">
        <v>0.87429999999999997</v>
      </c>
      <c r="Y102" s="2">
        <v>0.87039999999999995</v>
      </c>
      <c r="Z102" s="2">
        <v>0.86650000000000005</v>
      </c>
      <c r="AA102" s="2">
        <v>0.87219999999999998</v>
      </c>
      <c r="AD102" t="s">
        <v>6</v>
      </c>
      <c r="AE102" s="2">
        <v>0.84630000000000005</v>
      </c>
      <c r="AF102" s="2">
        <v>0.8357</v>
      </c>
      <c r="AG102" s="2">
        <v>0.82110000000000005</v>
      </c>
      <c r="AH102" s="2">
        <v>0.83960000000000001</v>
      </c>
      <c r="AK102" t="s">
        <v>6</v>
      </c>
      <c r="AL102" s="2">
        <v>0.81189999999999996</v>
      </c>
      <c r="AM102" s="2">
        <v>0.7923</v>
      </c>
      <c r="AN102" s="2">
        <v>0.7611</v>
      </c>
      <c r="AO102" s="2">
        <v>0.79910000000000003</v>
      </c>
    </row>
    <row r="103" spans="1:41">
      <c r="B103" t="s">
        <v>7</v>
      </c>
      <c r="C103" s="2">
        <f t="shared" si="45"/>
        <v>0.86417999999999995</v>
      </c>
      <c r="D103" s="2">
        <f t="shared" si="42"/>
        <v>0.85985999999999996</v>
      </c>
      <c r="E103" s="2">
        <f t="shared" si="42"/>
        <v>0.85738000000000003</v>
      </c>
      <c r="F103" s="2">
        <f t="shared" si="42"/>
        <v>0.85617999999999994</v>
      </c>
      <c r="G103" s="2">
        <f t="shared" si="46"/>
        <v>0.85939999999999994</v>
      </c>
      <c r="I103" t="s">
        <v>7</v>
      </c>
      <c r="J103" s="2">
        <f t="shared" si="47"/>
        <v>0.83679000000000003</v>
      </c>
      <c r="K103" s="2">
        <f t="shared" si="43"/>
        <v>0.82318000000000002</v>
      </c>
      <c r="L103" s="2">
        <f t="shared" si="43"/>
        <v>0.81401000000000001</v>
      </c>
      <c r="M103" s="2">
        <f t="shared" si="43"/>
        <v>0.81068999999999991</v>
      </c>
      <c r="N103" s="2">
        <f t="shared" si="48"/>
        <v>0.82116750000000005</v>
      </c>
      <c r="P103" t="s">
        <v>7</v>
      </c>
      <c r="Q103" s="2">
        <f t="shared" si="49"/>
        <v>0.80366000000000004</v>
      </c>
      <c r="R103" s="2">
        <f t="shared" si="44"/>
        <v>0.77864999999999984</v>
      </c>
      <c r="S103" s="2">
        <f t="shared" si="44"/>
        <v>0.75863000000000003</v>
      </c>
      <c r="T103" s="2">
        <f t="shared" si="44"/>
        <v>0.75379000000000007</v>
      </c>
      <c r="U103" s="2">
        <f t="shared" si="50"/>
        <v>0.77368249999999994</v>
      </c>
      <c r="W103" t="s">
        <v>7</v>
      </c>
      <c r="X103" s="2">
        <v>0.8649</v>
      </c>
      <c r="Y103" s="2">
        <v>0.86099999999999999</v>
      </c>
      <c r="Z103" s="2">
        <v>0.8569</v>
      </c>
      <c r="AA103" s="2">
        <v>0.85619999999999996</v>
      </c>
      <c r="AD103" t="s">
        <v>7</v>
      </c>
      <c r="AE103" s="2">
        <v>0.83840000000000003</v>
      </c>
      <c r="AF103" s="2">
        <v>0.82679999999999998</v>
      </c>
      <c r="AG103" s="2">
        <v>0.81389999999999996</v>
      </c>
      <c r="AH103" s="2">
        <v>0.81130000000000002</v>
      </c>
      <c r="AK103" t="s">
        <v>7</v>
      </c>
      <c r="AL103" s="2">
        <v>0.80410000000000004</v>
      </c>
      <c r="AM103" s="2">
        <v>0.78649999999999998</v>
      </c>
      <c r="AN103" s="2">
        <v>0.75719999999999998</v>
      </c>
      <c r="AO103" s="2">
        <v>0.75309999999999999</v>
      </c>
    </row>
    <row r="105" spans="1:41">
      <c r="A105" t="s">
        <v>44</v>
      </c>
      <c r="V105" t="s">
        <v>29</v>
      </c>
      <c r="W105" t="s">
        <v>22</v>
      </c>
      <c r="AC105" t="s">
        <v>29</v>
      </c>
      <c r="AD105" t="s">
        <v>22</v>
      </c>
      <c r="AJ105" t="s">
        <v>29</v>
      </c>
      <c r="AK105" t="s">
        <v>22</v>
      </c>
    </row>
    <row r="106" spans="1:41">
      <c r="A106" t="s">
        <v>8</v>
      </c>
      <c r="B106" t="s">
        <v>19</v>
      </c>
      <c r="C106">
        <v>0</v>
      </c>
      <c r="D106">
        <v>0.01</v>
      </c>
      <c r="E106">
        <v>0.02</v>
      </c>
      <c r="F106">
        <v>0.03</v>
      </c>
      <c r="G106">
        <v>0.04</v>
      </c>
      <c r="H106">
        <v>0.05</v>
      </c>
      <c r="V106" t="s">
        <v>20</v>
      </c>
      <c r="AC106" t="s">
        <v>23</v>
      </c>
      <c r="AJ106" t="s">
        <v>24</v>
      </c>
    </row>
    <row r="107" spans="1:41">
      <c r="B107" t="s">
        <v>0</v>
      </c>
      <c r="C107">
        <f>16444 / 18800</f>
        <v>0.87468085106382976</v>
      </c>
      <c r="D107">
        <f>16275 / 18800</f>
        <v>0.86569148936170215</v>
      </c>
      <c r="E107">
        <f>16086 / 18800</f>
        <v>0.85563829787234047</v>
      </c>
      <c r="F107">
        <f>15875 / 18800</f>
        <v>0.84441489361702127</v>
      </c>
      <c r="G107">
        <f>15658 / 18800</f>
        <v>0.83287234042553193</v>
      </c>
      <c r="H107">
        <f>15428 / 18800</f>
        <v>0.82063829787234044</v>
      </c>
      <c r="V107" t="s">
        <v>21</v>
      </c>
      <c r="W107" s="2"/>
      <c r="X107" t="s">
        <v>0</v>
      </c>
      <c r="Y107" t="s">
        <v>4</v>
      </c>
      <c r="Z107" t="s">
        <v>6</v>
      </c>
      <c r="AA107" t="s">
        <v>7</v>
      </c>
      <c r="AC107" t="s">
        <v>21</v>
      </c>
      <c r="AD107" s="2"/>
      <c r="AE107" t="s">
        <v>0</v>
      </c>
      <c r="AF107" t="s">
        <v>4</v>
      </c>
      <c r="AG107" t="s">
        <v>6</v>
      </c>
      <c r="AH107" t="s">
        <v>7</v>
      </c>
      <c r="AJ107" t="s">
        <v>21</v>
      </c>
      <c r="AK107" s="2"/>
      <c r="AL107" t="s">
        <v>0</v>
      </c>
      <c r="AM107" t="s">
        <v>4</v>
      </c>
      <c r="AN107" t="s">
        <v>6</v>
      </c>
      <c r="AO107" t="s">
        <v>7</v>
      </c>
    </row>
    <row r="108" spans="1:41">
      <c r="B108" t="s">
        <v>6</v>
      </c>
      <c r="C108">
        <f>16663 / 18800</f>
        <v>0.88632978723404254</v>
      </c>
      <c r="D108">
        <f>16517 / 18800</f>
        <v>0.87856382978723402</v>
      </c>
      <c r="E108">
        <f>16352 / 18800</f>
        <v>0.8697872340425532</v>
      </c>
      <c r="F108">
        <f>16207 / 18800</f>
        <v>0.86207446808510635</v>
      </c>
      <c r="G108">
        <f>16037 / 18800</f>
        <v>0.85303191489361707</v>
      </c>
      <c r="H108">
        <f>15856 / 18800</f>
        <v>0.84340425531914898</v>
      </c>
      <c r="W108" t="s">
        <v>0</v>
      </c>
      <c r="X108" s="2">
        <v>0.84889999999999999</v>
      </c>
      <c r="Y108" s="2">
        <v>0.84530000000000005</v>
      </c>
      <c r="Z108" s="2">
        <v>0.84630000000000005</v>
      </c>
      <c r="AA108" s="2">
        <v>0.85170000000000001</v>
      </c>
      <c r="AD108" t="s">
        <v>0</v>
      </c>
      <c r="AE108" s="2">
        <v>0.80100000000000005</v>
      </c>
      <c r="AF108" s="2">
        <v>0.79290000000000005</v>
      </c>
      <c r="AG108" s="2">
        <v>0.79649999999999999</v>
      </c>
      <c r="AH108" s="2">
        <v>0.81520000000000004</v>
      </c>
      <c r="AK108" t="s">
        <v>0</v>
      </c>
      <c r="AL108" s="2">
        <v>0.74539999999999995</v>
      </c>
      <c r="AM108" s="2">
        <v>0.73129999999999995</v>
      </c>
      <c r="AN108" s="2">
        <v>0.73970000000000002</v>
      </c>
      <c r="AO108" s="2">
        <v>0.77139999999999997</v>
      </c>
    </row>
    <row r="109" spans="1:41">
      <c r="B109" t="s">
        <v>35</v>
      </c>
      <c r="C109">
        <f>C108-C107</f>
        <v>1.1648936170212787E-2</v>
      </c>
      <c r="D109">
        <f t="shared" ref="D109:H109" si="51">D108-D107</f>
        <v>1.287234042553187E-2</v>
      </c>
      <c r="E109">
        <f t="shared" si="51"/>
        <v>1.4148936170212734E-2</v>
      </c>
      <c r="F109">
        <f t="shared" si="51"/>
        <v>1.7659574468085082E-2</v>
      </c>
      <c r="G109">
        <f t="shared" si="51"/>
        <v>2.015957446808514E-2</v>
      </c>
      <c r="H109">
        <f t="shared" si="51"/>
        <v>2.2765957446808538E-2</v>
      </c>
      <c r="W109" t="s">
        <v>4</v>
      </c>
      <c r="X109" s="2">
        <v>0.86450000000000005</v>
      </c>
      <c r="Y109" s="2">
        <v>0.85929999999999995</v>
      </c>
      <c r="Z109" s="2">
        <v>0.86019999999999996</v>
      </c>
      <c r="AA109" s="2">
        <v>0.86539999999999995</v>
      </c>
      <c r="AD109" t="s">
        <v>4</v>
      </c>
      <c r="AE109" s="2">
        <v>0.83030000000000004</v>
      </c>
      <c r="AF109" s="2">
        <v>0.81210000000000004</v>
      </c>
      <c r="AG109" s="2">
        <v>0.81510000000000005</v>
      </c>
      <c r="AH109" s="2">
        <v>0.83130000000000004</v>
      </c>
      <c r="AK109" t="s">
        <v>4</v>
      </c>
      <c r="AL109" s="2">
        <v>0.78210000000000002</v>
      </c>
      <c r="AM109" s="2">
        <v>0.75290000000000001</v>
      </c>
      <c r="AN109" s="2">
        <v>0.75700000000000001</v>
      </c>
      <c r="AO109" s="2">
        <v>0.79049999999999998</v>
      </c>
    </row>
    <row r="110" spans="1:41">
      <c r="B110" t="s">
        <v>36</v>
      </c>
      <c r="C110">
        <f>C108/C107</f>
        <v>1.0133179275115545</v>
      </c>
      <c r="D110">
        <f t="shared" ref="D110:H110" si="52">D108/D107</f>
        <v>1.0148694316436251</v>
      </c>
      <c r="E110">
        <f t="shared" si="52"/>
        <v>1.0165361183637946</v>
      </c>
      <c r="F110">
        <f t="shared" si="52"/>
        <v>1.0209133858267716</v>
      </c>
      <c r="G110">
        <f t="shared" si="52"/>
        <v>1.0242048792949292</v>
      </c>
      <c r="H110">
        <f t="shared" si="52"/>
        <v>1.0277417682136376</v>
      </c>
      <c r="W110" t="s">
        <v>6</v>
      </c>
      <c r="X110" s="2">
        <v>0.87509999999999999</v>
      </c>
      <c r="Y110" s="2">
        <v>0.87060000000000004</v>
      </c>
      <c r="Z110" s="2">
        <v>0.8669</v>
      </c>
      <c r="AA110" s="2">
        <v>0.87239999999999995</v>
      </c>
      <c r="AD110" t="s">
        <v>6</v>
      </c>
      <c r="AE110" s="2">
        <v>0.84519999999999995</v>
      </c>
      <c r="AF110" s="2">
        <v>0.83020000000000005</v>
      </c>
      <c r="AG110" s="2">
        <v>0.82030000000000003</v>
      </c>
      <c r="AH110" s="2">
        <v>0.83879999999999999</v>
      </c>
      <c r="AK110" t="s">
        <v>6</v>
      </c>
      <c r="AL110" s="2">
        <v>0.81259999999999999</v>
      </c>
      <c r="AM110" s="2">
        <v>0.78659999999999997</v>
      </c>
      <c r="AN110" s="2">
        <v>0.76219999999999999</v>
      </c>
      <c r="AO110" s="2">
        <v>0.79900000000000004</v>
      </c>
    </row>
    <row r="111" spans="1:41">
      <c r="W111" t="s">
        <v>7</v>
      </c>
      <c r="X111" s="2">
        <v>0.86699999999999999</v>
      </c>
      <c r="Y111" s="2">
        <v>0.86299999999999999</v>
      </c>
      <c r="Z111" s="2">
        <v>0.86070000000000002</v>
      </c>
      <c r="AA111" s="2">
        <v>0.85980000000000001</v>
      </c>
      <c r="AD111" t="s">
        <v>7</v>
      </c>
      <c r="AE111" s="2">
        <v>0.84060000000000001</v>
      </c>
      <c r="AF111" s="2">
        <v>0.82769999999999999</v>
      </c>
      <c r="AG111" s="2">
        <v>0.81850000000000001</v>
      </c>
      <c r="AH111" s="2">
        <v>0.81440000000000001</v>
      </c>
      <c r="AK111" t="s">
        <v>7</v>
      </c>
      <c r="AL111" s="2">
        <v>0.8095</v>
      </c>
      <c r="AM111" s="2">
        <v>0.78439999999999999</v>
      </c>
      <c r="AN111" s="2">
        <v>0.76100000000000001</v>
      </c>
      <c r="AO111" s="2">
        <v>0.75790000000000002</v>
      </c>
    </row>
    <row r="112" spans="1:41">
      <c r="A112" t="s">
        <v>9</v>
      </c>
      <c r="B112" t="s">
        <v>19</v>
      </c>
      <c r="C112">
        <v>0</v>
      </c>
      <c r="D112">
        <v>0.01</v>
      </c>
      <c r="E112">
        <v>0.02</v>
      </c>
      <c r="F112">
        <v>0.03</v>
      </c>
      <c r="G112">
        <v>0.04</v>
      </c>
      <c r="H112">
        <v>0.05</v>
      </c>
    </row>
    <row r="113" spans="1:41">
      <c r="B113" t="s">
        <v>0</v>
      </c>
      <c r="C113">
        <v>0.86976600000000004</v>
      </c>
      <c r="D113">
        <v>0.86033499999999996</v>
      </c>
      <c r="E113">
        <v>0.85043100000000005</v>
      </c>
      <c r="F113">
        <v>0.83968600000000004</v>
      </c>
      <c r="G113">
        <v>0.82864899999999997</v>
      </c>
      <c r="H113">
        <v>0.81667599999999996</v>
      </c>
      <c r="V113" t="s">
        <v>30</v>
      </c>
      <c r="W113" t="s">
        <v>22</v>
      </c>
      <c r="AC113" t="s">
        <v>30</v>
      </c>
      <c r="AD113" t="s">
        <v>22</v>
      </c>
      <c r="AJ113" t="s">
        <v>30</v>
      </c>
      <c r="AK113" t="s">
        <v>22</v>
      </c>
    </row>
    <row r="114" spans="1:41">
      <c r="B114" t="s">
        <v>6</v>
      </c>
      <c r="C114">
        <v>0.88631400000000005</v>
      </c>
      <c r="D114">
        <v>0.87858499999999995</v>
      </c>
      <c r="E114">
        <v>0.87028700000000003</v>
      </c>
      <c r="F114">
        <v>0.86169099999999998</v>
      </c>
      <c r="G114">
        <v>0.85281399999999996</v>
      </c>
      <c r="H114">
        <v>0.84322299999999994</v>
      </c>
      <c r="V114" t="s">
        <v>20</v>
      </c>
      <c r="AC114" t="s">
        <v>23</v>
      </c>
      <c r="AJ114" t="s">
        <v>24</v>
      </c>
    </row>
    <row r="115" spans="1:41">
      <c r="B115" t="s">
        <v>35</v>
      </c>
      <c r="C115">
        <f>C114-C113</f>
        <v>1.6548000000000007E-2</v>
      </c>
      <c r="D115">
        <f t="shared" ref="D115:H115" si="53">D114-D113</f>
        <v>1.8249999999999988E-2</v>
      </c>
      <c r="E115">
        <f t="shared" si="53"/>
        <v>1.9855999999999985E-2</v>
      </c>
      <c r="F115">
        <f t="shared" si="53"/>
        <v>2.2004999999999941E-2</v>
      </c>
      <c r="G115">
        <f t="shared" si="53"/>
        <v>2.4164999999999992E-2</v>
      </c>
      <c r="H115">
        <f t="shared" si="53"/>
        <v>2.6546999999999987E-2</v>
      </c>
      <c r="V115" t="s">
        <v>21</v>
      </c>
      <c r="W115" s="2"/>
      <c r="X115" t="s">
        <v>0</v>
      </c>
      <c r="Y115" t="s">
        <v>4</v>
      </c>
      <c r="Z115" t="s">
        <v>6</v>
      </c>
      <c r="AA115" t="s">
        <v>7</v>
      </c>
      <c r="AC115" t="s">
        <v>21</v>
      </c>
      <c r="AD115" s="2"/>
      <c r="AE115" t="s">
        <v>0</v>
      </c>
      <c r="AF115" t="s">
        <v>4</v>
      </c>
      <c r="AG115" t="s">
        <v>6</v>
      </c>
      <c r="AH115" t="s">
        <v>7</v>
      </c>
      <c r="AJ115" t="s">
        <v>21</v>
      </c>
      <c r="AK115" s="2"/>
      <c r="AL115" t="s">
        <v>0</v>
      </c>
      <c r="AM115" t="s">
        <v>4</v>
      </c>
      <c r="AN115" t="s">
        <v>6</v>
      </c>
      <c r="AO115" t="s">
        <v>7</v>
      </c>
    </row>
    <row r="116" spans="1:41">
      <c r="B116" t="s">
        <v>36</v>
      </c>
      <c r="C116">
        <f>C114/C113</f>
        <v>1.0190258069411773</v>
      </c>
      <c r="D116">
        <f t="shared" ref="D116:H116" si="54">D114/D113</f>
        <v>1.0212126671587229</v>
      </c>
      <c r="E116">
        <f t="shared" si="54"/>
        <v>1.0233481611088966</v>
      </c>
      <c r="F116">
        <f t="shared" si="54"/>
        <v>1.0262062247078074</v>
      </c>
      <c r="G116">
        <f t="shared" si="54"/>
        <v>1.0291619250128825</v>
      </c>
      <c r="H116">
        <f t="shared" si="54"/>
        <v>1.0325061591132836</v>
      </c>
      <c r="W116" t="s">
        <v>0</v>
      </c>
      <c r="X116" s="2">
        <v>0.85409999999999997</v>
      </c>
      <c r="Y116" s="2">
        <v>0.85150000000000003</v>
      </c>
      <c r="Z116" s="2">
        <v>0.85309999999999997</v>
      </c>
      <c r="AA116" s="2">
        <v>0.8579</v>
      </c>
      <c r="AD116" t="s">
        <v>0</v>
      </c>
      <c r="AE116" s="2">
        <v>0.80969999999999998</v>
      </c>
      <c r="AF116" s="2">
        <v>0.80359999999999998</v>
      </c>
      <c r="AG116" s="2">
        <v>0.81130000000000002</v>
      </c>
      <c r="AH116" s="2">
        <v>0.82769999999999999</v>
      </c>
      <c r="AK116" t="s">
        <v>0</v>
      </c>
      <c r="AL116" s="2">
        <v>0.75870000000000004</v>
      </c>
      <c r="AM116" s="2">
        <v>0.74250000000000005</v>
      </c>
      <c r="AN116" s="2">
        <v>0.7581</v>
      </c>
      <c r="AO116" s="2">
        <v>0.79210000000000003</v>
      </c>
    </row>
    <row r="117" spans="1:41">
      <c r="W117" t="s">
        <v>4</v>
      </c>
      <c r="X117" s="2">
        <v>0.86750000000000005</v>
      </c>
      <c r="Y117" s="2">
        <v>0.86229999999999996</v>
      </c>
      <c r="Z117" s="2">
        <v>0.86360000000000003</v>
      </c>
      <c r="AA117" s="2">
        <v>0.86880000000000002</v>
      </c>
      <c r="AD117" t="s">
        <v>4</v>
      </c>
      <c r="AE117" s="2">
        <v>0.83120000000000005</v>
      </c>
      <c r="AF117" s="2">
        <v>0.81220000000000003</v>
      </c>
      <c r="AG117" s="2">
        <v>0.81859999999999999</v>
      </c>
      <c r="AH117" s="2">
        <v>0.83730000000000004</v>
      </c>
      <c r="AK117" t="s">
        <v>4</v>
      </c>
      <c r="AL117" s="2">
        <v>0.78800000000000003</v>
      </c>
      <c r="AM117" s="2">
        <v>0.75390000000000001</v>
      </c>
      <c r="AN117" s="2">
        <v>0.76619999999999999</v>
      </c>
      <c r="AO117" s="2">
        <v>0.79720000000000002</v>
      </c>
    </row>
    <row r="118" spans="1:41">
      <c r="A118" t="s">
        <v>45</v>
      </c>
      <c r="W118" t="s">
        <v>6</v>
      </c>
      <c r="X118" s="2">
        <v>0.87360000000000004</v>
      </c>
      <c r="Y118" s="2">
        <v>0.86909999999999998</v>
      </c>
      <c r="Z118" s="2">
        <v>0.86650000000000005</v>
      </c>
      <c r="AA118" s="2">
        <v>0.872</v>
      </c>
      <c r="AD118" t="s">
        <v>6</v>
      </c>
      <c r="AE118" s="2">
        <v>0.84819999999999995</v>
      </c>
      <c r="AF118" s="2">
        <v>0.83179999999999998</v>
      </c>
      <c r="AG118" s="2">
        <v>0.82299999999999995</v>
      </c>
      <c r="AH118" s="2">
        <v>0.84230000000000005</v>
      </c>
      <c r="AK118" t="s">
        <v>6</v>
      </c>
      <c r="AL118" s="2">
        <v>0.81259999999999999</v>
      </c>
      <c r="AM118" s="2">
        <v>0.78290000000000004</v>
      </c>
      <c r="AN118" s="2">
        <v>0.76549999999999996</v>
      </c>
      <c r="AO118" s="2">
        <v>0.80100000000000005</v>
      </c>
    </row>
    <row r="119" spans="1:41">
      <c r="A119" t="s">
        <v>8</v>
      </c>
      <c r="B119" t="s">
        <v>19</v>
      </c>
      <c r="C119">
        <v>0</v>
      </c>
      <c r="D119">
        <v>0.01</v>
      </c>
      <c r="E119">
        <v>0.03</v>
      </c>
      <c r="F119">
        <v>0.05</v>
      </c>
      <c r="W119" t="s">
        <v>7</v>
      </c>
      <c r="X119" s="2">
        <v>0.86780000000000002</v>
      </c>
      <c r="Y119" s="2">
        <v>0.86319999999999997</v>
      </c>
      <c r="Z119" s="2">
        <v>0.86129999999999995</v>
      </c>
      <c r="AA119" s="2">
        <v>0.86029999999999995</v>
      </c>
      <c r="AD119" t="s">
        <v>7</v>
      </c>
      <c r="AE119" s="2">
        <v>0.8427</v>
      </c>
      <c r="AF119" s="2">
        <v>0.82720000000000005</v>
      </c>
      <c r="AG119" s="2">
        <v>0.81950000000000001</v>
      </c>
      <c r="AH119" s="2">
        <v>0.81599999999999995</v>
      </c>
      <c r="AK119" t="s">
        <v>7</v>
      </c>
      <c r="AL119" s="2">
        <v>0.81069999999999998</v>
      </c>
      <c r="AM119" s="2">
        <v>0.77990000000000004</v>
      </c>
      <c r="AN119" s="2">
        <v>0.76149999999999995</v>
      </c>
      <c r="AO119" s="2">
        <v>0.75690000000000002</v>
      </c>
    </row>
    <row r="120" spans="1:41">
      <c r="B120" t="s">
        <v>37</v>
      </c>
      <c r="C120" s="2">
        <v>0.87470000000000003</v>
      </c>
      <c r="D120" s="2">
        <v>0.8579</v>
      </c>
      <c r="E120" s="2">
        <v>0.81589999999999996</v>
      </c>
      <c r="F120" s="2">
        <v>0.76259999999999994</v>
      </c>
      <c r="H120" s="2"/>
      <c r="I120" s="2">
        <v>0.85860000000000003</v>
      </c>
      <c r="J120" s="2">
        <v>0.85719999999999996</v>
      </c>
      <c r="K120" s="2">
        <f>AVERAGE(I120,J120)</f>
        <v>0.8579</v>
      </c>
      <c r="M120" s="2">
        <v>0.81779999999999997</v>
      </c>
      <c r="N120" s="2">
        <v>0.81399999999999995</v>
      </c>
      <c r="O120" s="2">
        <f>AVERAGE(M120,N120)</f>
        <v>0.81589999999999996</v>
      </c>
      <c r="Q120" s="2">
        <v>0.76570000000000005</v>
      </c>
      <c r="R120" s="2">
        <v>0.75949999999999995</v>
      </c>
      <c r="S120" s="2">
        <f>AVERAGE(Q120,R120)</f>
        <v>0.76259999999999994</v>
      </c>
    </row>
    <row r="121" spans="1:41">
      <c r="B121" t="s">
        <v>38</v>
      </c>
      <c r="C121" s="2">
        <v>0.88629999999999998</v>
      </c>
      <c r="D121" s="2">
        <v>0.87170000000000003</v>
      </c>
      <c r="E121" s="2">
        <v>0.83650000000000002</v>
      </c>
      <c r="F121" s="2">
        <v>0.7893</v>
      </c>
      <c r="I121" s="2">
        <v>0.87490000000000001</v>
      </c>
      <c r="J121" s="2">
        <v>0.86850000000000005</v>
      </c>
      <c r="K121" s="2">
        <f>AVERAGE(I121,J121)</f>
        <v>0.87170000000000003</v>
      </c>
      <c r="M121" s="2">
        <v>0.84760000000000002</v>
      </c>
      <c r="N121" s="2">
        <v>0.82530000000000003</v>
      </c>
      <c r="O121" s="2">
        <f>AVERAGE(M121,N121)</f>
        <v>0.83645000000000003</v>
      </c>
      <c r="Q121" s="2">
        <v>0.81369999999999998</v>
      </c>
      <c r="R121" s="2">
        <v>0.76490000000000002</v>
      </c>
      <c r="S121" s="2">
        <f>AVERAGE(Q121,R121)</f>
        <v>0.7893</v>
      </c>
      <c r="V121" t="s">
        <v>31</v>
      </c>
      <c r="W121" t="s">
        <v>22</v>
      </c>
      <c r="AC121" t="s">
        <v>31</v>
      </c>
      <c r="AD121" t="s">
        <v>22</v>
      </c>
      <c r="AJ121" t="s">
        <v>31</v>
      </c>
      <c r="AK121" t="s">
        <v>22</v>
      </c>
    </row>
    <row r="122" spans="1:41">
      <c r="B122" t="s">
        <v>35</v>
      </c>
      <c r="C122" s="2">
        <f>C121-C120</f>
        <v>1.1599999999999944E-2</v>
      </c>
      <c r="D122" s="2">
        <f t="shared" ref="D122:F122" si="55">D121-D120</f>
        <v>1.3800000000000034E-2</v>
      </c>
      <c r="E122" s="2">
        <f t="shared" si="55"/>
        <v>2.0600000000000063E-2</v>
      </c>
      <c r="F122" s="2">
        <f t="shared" si="55"/>
        <v>2.6700000000000057E-2</v>
      </c>
      <c r="V122" t="s">
        <v>20</v>
      </c>
      <c r="AC122" t="s">
        <v>23</v>
      </c>
      <c r="AJ122" t="s">
        <v>24</v>
      </c>
    </row>
    <row r="123" spans="1:41">
      <c r="B123" t="s">
        <v>36</v>
      </c>
      <c r="C123" s="3">
        <f>88.63/87.47</f>
        <v>1.0132616897221904</v>
      </c>
      <c r="D123">
        <f>87.17/85.79</f>
        <v>1.0160857908847185</v>
      </c>
      <c r="E123">
        <f>83.65/81.59</f>
        <v>1.0252481921804142</v>
      </c>
      <c r="F123">
        <f>78.93/76.26</f>
        <v>1.0350118017309204</v>
      </c>
      <c r="V123" t="s">
        <v>21</v>
      </c>
      <c r="W123" s="2"/>
      <c r="X123" t="s">
        <v>0</v>
      </c>
      <c r="Y123" t="s">
        <v>4</v>
      </c>
      <c r="Z123" t="s">
        <v>6</v>
      </c>
      <c r="AA123" t="s">
        <v>7</v>
      </c>
      <c r="AC123" t="s">
        <v>21</v>
      </c>
      <c r="AD123" s="2"/>
      <c r="AE123" t="s">
        <v>0</v>
      </c>
      <c r="AF123" t="s">
        <v>4</v>
      </c>
      <c r="AG123" t="s">
        <v>6</v>
      </c>
      <c r="AH123" t="s">
        <v>7</v>
      </c>
      <c r="AJ123" t="s">
        <v>21</v>
      </c>
      <c r="AK123" s="2"/>
      <c r="AL123" t="s">
        <v>0</v>
      </c>
      <c r="AM123" t="s">
        <v>4</v>
      </c>
      <c r="AN123" t="s">
        <v>6</v>
      </c>
      <c r="AO123" t="s">
        <v>7</v>
      </c>
    </row>
    <row r="124" spans="1:41">
      <c r="W124" t="s">
        <v>0</v>
      </c>
      <c r="X124" s="2">
        <v>0.84919999999999995</v>
      </c>
      <c r="Y124" s="2">
        <v>0.84719999999999995</v>
      </c>
      <c r="Z124" s="2">
        <v>0.84899999999999998</v>
      </c>
      <c r="AA124" s="2">
        <v>0.85289999999999999</v>
      </c>
      <c r="AD124" t="s">
        <v>0</v>
      </c>
      <c r="AE124" s="2">
        <v>0.80820000000000003</v>
      </c>
      <c r="AF124" s="2">
        <v>0.79859999999999998</v>
      </c>
      <c r="AG124" s="2">
        <v>0.80479999999999996</v>
      </c>
      <c r="AH124" s="2">
        <v>0.82040000000000002</v>
      </c>
      <c r="AK124" t="s">
        <v>0</v>
      </c>
      <c r="AL124" s="2">
        <v>0.75660000000000005</v>
      </c>
      <c r="AM124" s="2">
        <v>0.74039999999999995</v>
      </c>
      <c r="AN124" s="2">
        <v>0.75070000000000003</v>
      </c>
      <c r="AO124" s="2">
        <v>0.78200000000000003</v>
      </c>
    </row>
    <row r="125" spans="1:41">
      <c r="A125" t="s">
        <v>9</v>
      </c>
      <c r="B125" t="s">
        <v>19</v>
      </c>
      <c r="C125">
        <v>0</v>
      </c>
      <c r="D125">
        <v>0.01</v>
      </c>
      <c r="E125">
        <v>0.03</v>
      </c>
      <c r="F125">
        <v>0.05</v>
      </c>
      <c r="W125" t="s">
        <v>4</v>
      </c>
      <c r="X125" s="2">
        <v>0.86499999999999999</v>
      </c>
      <c r="Y125" s="2">
        <v>0.85950000000000004</v>
      </c>
      <c r="Z125" s="2">
        <v>0.86029999999999995</v>
      </c>
      <c r="AA125" s="2">
        <v>0.86570000000000003</v>
      </c>
      <c r="AD125" t="s">
        <v>4</v>
      </c>
      <c r="AE125" s="2">
        <v>0.83030000000000004</v>
      </c>
      <c r="AF125" s="2">
        <v>0.81069999999999998</v>
      </c>
      <c r="AG125" s="2">
        <v>0.8155</v>
      </c>
      <c r="AH125" s="2">
        <v>0.83199999999999996</v>
      </c>
      <c r="AK125" t="s">
        <v>4</v>
      </c>
      <c r="AL125" s="2">
        <v>0.78539999999999999</v>
      </c>
      <c r="AM125" s="2">
        <v>0.74909999999999999</v>
      </c>
      <c r="AN125" s="2">
        <v>0.75649999999999995</v>
      </c>
      <c r="AO125" s="2">
        <v>0.79290000000000005</v>
      </c>
    </row>
    <row r="126" spans="1:41">
      <c r="B126" t="s">
        <v>37</v>
      </c>
      <c r="C126" s="2">
        <v>0.86980000000000002</v>
      </c>
      <c r="D126" s="2">
        <v>0.85240000000000005</v>
      </c>
      <c r="E126" s="2">
        <v>0.80969999999999998</v>
      </c>
      <c r="F126" s="2">
        <v>0.75680000000000003</v>
      </c>
      <c r="I126" s="2">
        <v>0.85299999999999998</v>
      </c>
      <c r="J126" s="2">
        <v>0.85170000000000001</v>
      </c>
      <c r="K126" s="2">
        <f>AVERAGE(I126,J126)</f>
        <v>0.85234999999999994</v>
      </c>
      <c r="M126" s="2">
        <v>0.81130000000000002</v>
      </c>
      <c r="N126" s="2">
        <v>0.80810000000000004</v>
      </c>
      <c r="O126" s="2">
        <f>AVERAGE(M126,N126)</f>
        <v>0.80970000000000009</v>
      </c>
      <c r="Q126" s="2">
        <v>0.75939999999999996</v>
      </c>
      <c r="R126" s="2">
        <v>0.75419999999999998</v>
      </c>
      <c r="S126" s="2">
        <f>AVERAGE(Q126,R126)</f>
        <v>0.75679999999999992</v>
      </c>
      <c r="W126" t="s">
        <v>6</v>
      </c>
      <c r="X126" s="2">
        <v>0.87529999999999997</v>
      </c>
      <c r="Y126" s="2">
        <v>0.87029999999999996</v>
      </c>
      <c r="Z126" s="2">
        <v>0.86799999999999999</v>
      </c>
      <c r="AA126" s="2">
        <v>0.87319999999999998</v>
      </c>
      <c r="AD126" t="s">
        <v>6</v>
      </c>
      <c r="AE126" s="2">
        <v>0.84919999999999995</v>
      </c>
      <c r="AF126" s="2">
        <v>0.83450000000000002</v>
      </c>
      <c r="AG126" s="2">
        <v>0.82289999999999996</v>
      </c>
      <c r="AH126" s="2">
        <v>0.84160000000000001</v>
      </c>
      <c r="AK126" t="s">
        <v>6</v>
      </c>
      <c r="AL126" s="2">
        <v>0.81399999999999995</v>
      </c>
      <c r="AM126" s="2">
        <v>0.78600000000000003</v>
      </c>
      <c r="AN126" s="2">
        <v>0.76249999999999996</v>
      </c>
      <c r="AO126" s="2">
        <v>0.80179999999999996</v>
      </c>
    </row>
    <row r="127" spans="1:41">
      <c r="B127" t="s">
        <v>38</v>
      </c>
      <c r="C127" s="2">
        <v>0.88629999999999998</v>
      </c>
      <c r="D127" s="2">
        <v>0.87180000000000002</v>
      </c>
      <c r="E127" s="2">
        <v>0.83599999999999997</v>
      </c>
      <c r="F127" s="2">
        <v>0.79079999999999995</v>
      </c>
      <c r="I127" s="2">
        <v>0.87509999999999999</v>
      </c>
      <c r="J127" s="2">
        <v>0.86839999999999995</v>
      </c>
      <c r="K127" s="2">
        <f>AVERAGE(I127,J127)</f>
        <v>0.87175000000000002</v>
      </c>
      <c r="M127" s="2">
        <v>0.84850000000000003</v>
      </c>
      <c r="N127" s="2">
        <v>0.82350000000000001</v>
      </c>
      <c r="O127" s="2">
        <f>AVERAGE(M127,N127)</f>
        <v>0.83600000000000008</v>
      </c>
      <c r="Q127" s="2">
        <v>0.81440000000000001</v>
      </c>
      <c r="R127" s="2">
        <v>0.7671</v>
      </c>
      <c r="S127" s="2">
        <f>AVERAGE(Q127,R127)</f>
        <v>0.79075000000000006</v>
      </c>
      <c r="W127" t="s">
        <v>7</v>
      </c>
      <c r="X127" s="2">
        <v>0.86119999999999997</v>
      </c>
      <c r="Y127" s="2">
        <v>0.85640000000000005</v>
      </c>
      <c r="Z127" s="2">
        <v>0.85309999999999997</v>
      </c>
      <c r="AA127" s="2">
        <v>0.85199999999999998</v>
      </c>
      <c r="AD127" t="s">
        <v>7</v>
      </c>
      <c r="AE127" s="2">
        <v>0.83330000000000004</v>
      </c>
      <c r="AF127" s="2">
        <v>0.81799999999999995</v>
      </c>
      <c r="AG127" s="2">
        <v>0.80930000000000002</v>
      </c>
      <c r="AH127" s="2">
        <v>0.80589999999999995</v>
      </c>
      <c r="AK127" t="s">
        <v>7</v>
      </c>
      <c r="AL127" s="2">
        <v>0.80269999999999997</v>
      </c>
      <c r="AM127" s="2">
        <v>0.77210000000000001</v>
      </c>
      <c r="AN127" s="2">
        <v>0.75129999999999997</v>
      </c>
      <c r="AO127" s="2">
        <v>0.74729999999999996</v>
      </c>
    </row>
    <row r="128" spans="1:41">
      <c r="B128" t="s">
        <v>35</v>
      </c>
      <c r="C128" s="2">
        <f>C127-C126</f>
        <v>1.6499999999999959E-2</v>
      </c>
      <c r="D128" s="2">
        <f t="shared" ref="D128:F128" si="56">D127-D126</f>
        <v>1.9399999999999973E-2</v>
      </c>
      <c r="E128" s="2">
        <f t="shared" si="56"/>
        <v>2.629999999999999E-2</v>
      </c>
      <c r="F128" s="2">
        <f t="shared" si="56"/>
        <v>3.3999999999999919E-2</v>
      </c>
    </row>
    <row r="129" spans="2:41">
      <c r="B129" t="s">
        <v>36</v>
      </c>
      <c r="C129" s="3">
        <f>88.63/86.98</f>
        <v>1.018969878132904</v>
      </c>
      <c r="D129">
        <f>87.18/85.24</f>
        <v>1.0227592679493198</v>
      </c>
      <c r="E129">
        <f>83.6/80.97</f>
        <v>1.0324811658639002</v>
      </c>
      <c r="F129">
        <f>79.08/75.68</f>
        <v>1.0449260042283297</v>
      </c>
      <c r="V129" t="s">
        <v>32</v>
      </c>
      <c r="W129" t="s">
        <v>22</v>
      </c>
      <c r="AC129" t="s">
        <v>32</v>
      </c>
      <c r="AD129" t="s">
        <v>22</v>
      </c>
      <c r="AJ129" t="s">
        <v>32</v>
      </c>
      <c r="AK129" t="s">
        <v>22</v>
      </c>
    </row>
    <row r="130" spans="2:41">
      <c r="V130" t="s">
        <v>20</v>
      </c>
      <c r="AC130" t="s">
        <v>23</v>
      </c>
      <c r="AJ130" t="s">
        <v>24</v>
      </c>
    </row>
    <row r="131" spans="2:41">
      <c r="V131" t="s">
        <v>21</v>
      </c>
      <c r="W131" s="2"/>
      <c r="X131" t="s">
        <v>0</v>
      </c>
      <c r="Y131" t="s">
        <v>4</v>
      </c>
      <c r="Z131" t="s">
        <v>6</v>
      </c>
      <c r="AA131" t="s">
        <v>7</v>
      </c>
      <c r="AC131" t="s">
        <v>21</v>
      </c>
      <c r="AD131" s="2"/>
      <c r="AE131" t="s">
        <v>0</v>
      </c>
      <c r="AF131" t="s">
        <v>4</v>
      </c>
      <c r="AG131" t="s">
        <v>6</v>
      </c>
      <c r="AH131" t="s">
        <v>7</v>
      </c>
      <c r="AJ131" t="s">
        <v>21</v>
      </c>
      <c r="AK131" s="2"/>
      <c r="AL131" t="s">
        <v>0</v>
      </c>
      <c r="AM131" t="s">
        <v>4</v>
      </c>
      <c r="AN131" t="s">
        <v>6</v>
      </c>
      <c r="AO131" t="s">
        <v>7</v>
      </c>
    </row>
    <row r="132" spans="2:41">
      <c r="W132" t="s">
        <v>0</v>
      </c>
      <c r="X132" s="2">
        <v>0.85329999999999995</v>
      </c>
      <c r="Y132" s="2">
        <v>0.85</v>
      </c>
      <c r="Z132" s="2">
        <v>0.85160000000000002</v>
      </c>
      <c r="AA132" s="2">
        <v>0.85619999999999996</v>
      </c>
      <c r="AD132" t="s">
        <v>0</v>
      </c>
      <c r="AE132" s="2">
        <v>0.81630000000000003</v>
      </c>
      <c r="AF132" s="2">
        <v>0.80810000000000004</v>
      </c>
      <c r="AG132" s="2">
        <v>0.81259999999999999</v>
      </c>
      <c r="AH132" s="2">
        <v>0.82879999999999998</v>
      </c>
      <c r="AK132" t="s">
        <v>0</v>
      </c>
      <c r="AL132" s="2">
        <v>0.76729999999999998</v>
      </c>
      <c r="AM132" s="2">
        <v>0.75349999999999995</v>
      </c>
      <c r="AN132" s="2">
        <v>0.7601</v>
      </c>
      <c r="AO132" s="2">
        <v>0.7964</v>
      </c>
    </row>
    <row r="133" spans="2:41">
      <c r="W133" t="s">
        <v>4</v>
      </c>
      <c r="X133" s="2">
        <v>0.86839999999999995</v>
      </c>
      <c r="Y133" s="2">
        <v>0.86370000000000002</v>
      </c>
      <c r="Z133" s="2">
        <v>0.86460000000000004</v>
      </c>
      <c r="AA133" s="2">
        <v>0.86929999999999996</v>
      </c>
      <c r="AD133" t="s">
        <v>4</v>
      </c>
      <c r="AE133" s="2">
        <v>0.83399999999999996</v>
      </c>
      <c r="AF133" s="2">
        <v>0.81899999999999995</v>
      </c>
      <c r="AG133" s="2">
        <v>0.82320000000000004</v>
      </c>
      <c r="AH133" s="2">
        <v>0.83989999999999998</v>
      </c>
      <c r="AK133" t="s">
        <v>4</v>
      </c>
      <c r="AL133" s="2">
        <v>0.79259999999999997</v>
      </c>
      <c r="AM133" s="2">
        <v>0.76049999999999995</v>
      </c>
      <c r="AN133" s="2">
        <v>0.76639999999999997</v>
      </c>
      <c r="AO133" s="2">
        <v>0.8014</v>
      </c>
    </row>
    <row r="134" spans="2:41">
      <c r="W134" t="s">
        <v>6</v>
      </c>
      <c r="X134" s="2">
        <v>0.87470000000000003</v>
      </c>
      <c r="Y134" s="2">
        <v>0.87070000000000003</v>
      </c>
      <c r="Z134" s="2">
        <v>0.86909999999999998</v>
      </c>
      <c r="AA134" s="2">
        <v>0.87319999999999998</v>
      </c>
      <c r="AD134" t="s">
        <v>6</v>
      </c>
      <c r="AE134" s="2">
        <v>0.84819999999999995</v>
      </c>
      <c r="AF134" s="2">
        <v>0.83479999999999999</v>
      </c>
      <c r="AG134" s="2">
        <v>0.82589999999999997</v>
      </c>
      <c r="AH134" s="2">
        <v>0.84360000000000002</v>
      </c>
      <c r="AK134" t="s">
        <v>6</v>
      </c>
      <c r="AL134" s="2">
        <v>0.81310000000000004</v>
      </c>
      <c r="AM134" s="2">
        <v>0.7873</v>
      </c>
      <c r="AN134" s="2">
        <v>0.7661</v>
      </c>
      <c r="AO134" s="2">
        <v>0.80720000000000003</v>
      </c>
    </row>
    <row r="135" spans="2:41">
      <c r="W135" t="s">
        <v>7</v>
      </c>
      <c r="X135" s="2">
        <v>0.86860000000000004</v>
      </c>
      <c r="Y135" s="2">
        <v>0.86439999999999995</v>
      </c>
      <c r="Z135" s="2">
        <v>0.86309999999999998</v>
      </c>
      <c r="AA135" s="2">
        <v>0.86229999999999996</v>
      </c>
      <c r="AD135" t="s">
        <v>7</v>
      </c>
      <c r="AE135" s="2">
        <v>0.8387</v>
      </c>
      <c r="AF135" s="2">
        <v>0.82699999999999996</v>
      </c>
      <c r="AG135" s="2">
        <v>0.81940000000000002</v>
      </c>
      <c r="AH135" s="2">
        <v>0.81820000000000004</v>
      </c>
      <c r="AK135" t="s">
        <v>7</v>
      </c>
      <c r="AL135" s="2">
        <v>0.80420000000000003</v>
      </c>
      <c r="AM135" s="2">
        <v>0.78280000000000005</v>
      </c>
      <c r="AN135" s="2">
        <v>0.76790000000000003</v>
      </c>
      <c r="AO135" s="2">
        <v>0.76600000000000001</v>
      </c>
    </row>
    <row r="137" spans="2:41">
      <c r="V137" t="s">
        <v>33</v>
      </c>
      <c r="W137" t="s">
        <v>22</v>
      </c>
      <c r="AC137" t="s">
        <v>33</v>
      </c>
      <c r="AD137" t="s">
        <v>22</v>
      </c>
      <c r="AJ137" t="s">
        <v>33</v>
      </c>
      <c r="AK137" t="s">
        <v>22</v>
      </c>
    </row>
    <row r="138" spans="2:41">
      <c r="V138" t="s">
        <v>20</v>
      </c>
      <c r="AC138" t="s">
        <v>23</v>
      </c>
      <c r="AJ138" t="s">
        <v>24</v>
      </c>
    </row>
    <row r="139" spans="2:41">
      <c r="V139" t="s">
        <v>21</v>
      </c>
      <c r="W139" s="2"/>
      <c r="X139" t="s">
        <v>0</v>
      </c>
      <c r="Y139" t="s">
        <v>4</v>
      </c>
      <c r="Z139" t="s">
        <v>6</v>
      </c>
      <c r="AA139" t="s">
        <v>7</v>
      </c>
      <c r="AC139" t="s">
        <v>21</v>
      </c>
      <c r="AD139" s="2"/>
      <c r="AE139" t="s">
        <v>0</v>
      </c>
      <c r="AF139" t="s">
        <v>4</v>
      </c>
      <c r="AG139" t="s">
        <v>6</v>
      </c>
      <c r="AH139" t="s">
        <v>7</v>
      </c>
      <c r="AJ139" t="s">
        <v>21</v>
      </c>
      <c r="AK139" s="2"/>
      <c r="AL139" t="s">
        <v>0</v>
      </c>
      <c r="AM139" t="s">
        <v>4</v>
      </c>
      <c r="AN139" t="s">
        <v>6</v>
      </c>
      <c r="AO139" t="s">
        <v>7</v>
      </c>
    </row>
    <row r="140" spans="2:41">
      <c r="W140" t="s">
        <v>0</v>
      </c>
      <c r="X140" s="2">
        <v>0.8609</v>
      </c>
      <c r="Y140" s="2">
        <v>0.85829999999999995</v>
      </c>
      <c r="Z140" s="2">
        <v>0.85909999999999997</v>
      </c>
      <c r="AA140" s="2">
        <v>0.86399999999999999</v>
      </c>
      <c r="AD140" t="s">
        <v>0</v>
      </c>
      <c r="AE140" s="2">
        <v>0.82179999999999997</v>
      </c>
      <c r="AF140" s="2">
        <v>0.81089999999999995</v>
      </c>
      <c r="AG140" s="2">
        <v>0.81469999999999998</v>
      </c>
      <c r="AH140" s="2">
        <v>0.83150000000000002</v>
      </c>
      <c r="AK140" t="s">
        <v>0</v>
      </c>
      <c r="AL140" s="2">
        <v>0.76919999999999999</v>
      </c>
      <c r="AM140" s="2">
        <v>0.74850000000000005</v>
      </c>
      <c r="AN140" s="2">
        <v>0.75890000000000002</v>
      </c>
      <c r="AO140" s="2">
        <v>0.7913</v>
      </c>
    </row>
    <row r="141" spans="2:41">
      <c r="W141" t="s">
        <v>4</v>
      </c>
      <c r="X141" s="2">
        <v>0.86990000000000001</v>
      </c>
      <c r="Y141" s="2">
        <v>0.86539999999999995</v>
      </c>
      <c r="Z141" s="2">
        <v>0.86650000000000005</v>
      </c>
      <c r="AA141" s="2">
        <v>0.87009999999999998</v>
      </c>
      <c r="AD141" t="s">
        <v>4</v>
      </c>
      <c r="AE141" s="2">
        <v>0.83740000000000003</v>
      </c>
      <c r="AF141" s="2">
        <v>0.81630000000000003</v>
      </c>
      <c r="AG141" s="2">
        <v>0.82130000000000003</v>
      </c>
      <c r="AH141" s="2">
        <v>0.83779999999999999</v>
      </c>
      <c r="AK141" t="s">
        <v>4</v>
      </c>
      <c r="AL141" s="2">
        <v>0.79090000000000005</v>
      </c>
      <c r="AM141" s="2">
        <v>0.75290000000000001</v>
      </c>
      <c r="AN141" s="2">
        <v>0.76239999999999997</v>
      </c>
      <c r="AO141" s="2">
        <v>0.79469999999999996</v>
      </c>
    </row>
    <row r="142" spans="2:41">
      <c r="W142" t="s">
        <v>6</v>
      </c>
      <c r="X142" s="2">
        <v>0.87790000000000001</v>
      </c>
      <c r="Y142" s="2">
        <v>0.87309999999999999</v>
      </c>
      <c r="Z142" s="2">
        <v>0.87160000000000004</v>
      </c>
      <c r="AA142" s="2">
        <v>0.87529999999999997</v>
      </c>
      <c r="AD142" t="s">
        <v>6</v>
      </c>
      <c r="AE142" s="2">
        <v>0.85199999999999998</v>
      </c>
      <c r="AF142" s="2">
        <v>0.83709999999999996</v>
      </c>
      <c r="AG142" s="2">
        <v>0.82969999999999999</v>
      </c>
      <c r="AH142" s="2">
        <v>0.84460000000000002</v>
      </c>
      <c r="AK142" t="s">
        <v>6</v>
      </c>
      <c r="AL142" s="2">
        <v>0.81910000000000005</v>
      </c>
      <c r="AM142" s="2">
        <v>0.7903</v>
      </c>
      <c r="AN142" s="2">
        <v>0.77039999999999997</v>
      </c>
      <c r="AO142" s="2">
        <v>0.80549999999999999</v>
      </c>
    </row>
    <row r="143" spans="2:41">
      <c r="W143" t="s">
        <v>7</v>
      </c>
      <c r="X143" s="2">
        <v>0.86050000000000004</v>
      </c>
      <c r="Y143" s="2">
        <v>0.85599999999999998</v>
      </c>
      <c r="Z143" s="2">
        <v>0.85399999999999998</v>
      </c>
      <c r="AA143" s="2">
        <v>0.85240000000000005</v>
      </c>
      <c r="AD143" t="s">
        <v>7</v>
      </c>
      <c r="AE143" s="2">
        <v>0.83240000000000003</v>
      </c>
      <c r="AF143" s="2">
        <v>0.81740000000000002</v>
      </c>
      <c r="AG143" s="2">
        <v>0.81210000000000004</v>
      </c>
      <c r="AH143" s="2">
        <v>0.80759999999999998</v>
      </c>
      <c r="AK143" t="s">
        <v>7</v>
      </c>
      <c r="AL143" s="2">
        <v>0.80049999999999999</v>
      </c>
      <c r="AM143" s="2">
        <v>0.77139999999999997</v>
      </c>
      <c r="AN143" s="2">
        <v>0.7581</v>
      </c>
      <c r="AO143" s="2">
        <v>0.75270000000000004</v>
      </c>
    </row>
    <row r="145" spans="22:41">
      <c r="V145" t="s">
        <v>34</v>
      </c>
      <c r="W145" t="s">
        <v>22</v>
      </c>
      <c r="AC145" t="s">
        <v>34</v>
      </c>
      <c r="AD145" t="s">
        <v>22</v>
      </c>
      <c r="AJ145" t="s">
        <v>34</v>
      </c>
      <c r="AK145" t="s">
        <v>22</v>
      </c>
    </row>
    <row r="146" spans="22:41">
      <c r="V146" t="s">
        <v>20</v>
      </c>
      <c r="AC146" t="s">
        <v>23</v>
      </c>
      <c r="AJ146" t="s">
        <v>24</v>
      </c>
    </row>
    <row r="147" spans="22:41">
      <c r="V147" t="s">
        <v>21</v>
      </c>
      <c r="W147" s="2"/>
      <c r="X147" t="s">
        <v>0</v>
      </c>
      <c r="Y147" t="s">
        <v>4</v>
      </c>
      <c r="Z147" t="s">
        <v>6</v>
      </c>
      <c r="AA147" t="s">
        <v>7</v>
      </c>
      <c r="AC147" t="s">
        <v>21</v>
      </c>
      <c r="AD147" s="2"/>
      <c r="AE147" t="s">
        <v>0</v>
      </c>
      <c r="AF147" t="s">
        <v>4</v>
      </c>
      <c r="AG147" t="s">
        <v>6</v>
      </c>
      <c r="AH147" t="s">
        <v>7</v>
      </c>
      <c r="AJ147" t="s">
        <v>21</v>
      </c>
      <c r="AK147" s="2"/>
      <c r="AL147" t="s">
        <v>0</v>
      </c>
      <c r="AM147" t="s">
        <v>4</v>
      </c>
      <c r="AN147" t="s">
        <v>6</v>
      </c>
      <c r="AO147" t="s">
        <v>7</v>
      </c>
    </row>
    <row r="148" spans="22:41">
      <c r="W148" t="s">
        <v>0</v>
      </c>
      <c r="X148" s="2">
        <v>0.85189999999999999</v>
      </c>
      <c r="Y148" s="2">
        <v>0.84989999999999999</v>
      </c>
      <c r="Z148" s="2">
        <v>0.85109999999999997</v>
      </c>
      <c r="AA148" s="2">
        <v>0.85519999999999996</v>
      </c>
      <c r="AD148" t="s">
        <v>0</v>
      </c>
      <c r="AE148" s="2">
        <v>0.81069999999999998</v>
      </c>
      <c r="AF148" s="2">
        <v>0.80410000000000004</v>
      </c>
      <c r="AG148" s="2">
        <v>0.80569999999999997</v>
      </c>
      <c r="AH148" s="2">
        <v>0.8236</v>
      </c>
      <c r="AK148" t="s">
        <v>0</v>
      </c>
      <c r="AL148" s="2">
        <v>0.7621</v>
      </c>
      <c r="AM148" s="2">
        <v>0.75070000000000003</v>
      </c>
      <c r="AN148" s="2">
        <v>0.75539999999999996</v>
      </c>
      <c r="AO148" s="2">
        <v>0.78790000000000004</v>
      </c>
    </row>
    <row r="149" spans="22:41">
      <c r="W149" t="s">
        <v>4</v>
      </c>
      <c r="X149" s="2">
        <v>0.86550000000000005</v>
      </c>
      <c r="Y149" s="2">
        <v>0.86119999999999997</v>
      </c>
      <c r="Z149" s="2">
        <v>0.86140000000000005</v>
      </c>
      <c r="AA149" s="2">
        <v>0.86609999999999998</v>
      </c>
      <c r="AD149" t="s">
        <v>4</v>
      </c>
      <c r="AE149" s="2">
        <v>0.83309999999999995</v>
      </c>
      <c r="AF149" s="2">
        <v>0.81679999999999997</v>
      </c>
      <c r="AG149" s="2">
        <v>0.81940000000000002</v>
      </c>
      <c r="AH149" s="2">
        <v>0.83520000000000005</v>
      </c>
      <c r="AK149" t="s">
        <v>4</v>
      </c>
      <c r="AL149" s="2">
        <v>0.79200000000000004</v>
      </c>
      <c r="AM149" s="2">
        <v>0.76029999999999998</v>
      </c>
      <c r="AN149" s="2">
        <v>0.76270000000000004</v>
      </c>
      <c r="AO149" s="2">
        <v>0.79910000000000003</v>
      </c>
    </row>
    <row r="150" spans="22:41">
      <c r="W150" t="s">
        <v>6</v>
      </c>
      <c r="X150" s="2">
        <v>0.87290000000000001</v>
      </c>
      <c r="Y150" s="2">
        <v>0.86899999999999999</v>
      </c>
      <c r="Z150" s="2">
        <v>0.86670000000000003</v>
      </c>
      <c r="AA150" s="2">
        <v>0.87119999999999997</v>
      </c>
      <c r="AD150" t="s">
        <v>6</v>
      </c>
      <c r="AE150" s="2">
        <v>0.84889999999999999</v>
      </c>
      <c r="AF150" s="2">
        <v>0.83560000000000001</v>
      </c>
      <c r="AG150" s="2">
        <v>0.8266</v>
      </c>
      <c r="AH150" s="2">
        <v>0.8427</v>
      </c>
      <c r="AK150" t="s">
        <v>6</v>
      </c>
      <c r="AL150" s="2">
        <v>0.81620000000000004</v>
      </c>
      <c r="AM150" s="2">
        <v>0.78990000000000005</v>
      </c>
      <c r="AN150" s="2">
        <v>0.7681</v>
      </c>
      <c r="AO150" s="2">
        <v>0.80510000000000004</v>
      </c>
    </row>
    <row r="151" spans="22:41">
      <c r="W151" t="s">
        <v>7</v>
      </c>
      <c r="X151" s="2">
        <v>0.86119999999999997</v>
      </c>
      <c r="Y151" s="2">
        <v>0.85660000000000003</v>
      </c>
      <c r="Z151" s="2">
        <v>0.85450000000000004</v>
      </c>
      <c r="AA151" s="2">
        <v>0.85319999999999996</v>
      </c>
      <c r="AD151" t="s">
        <v>7</v>
      </c>
      <c r="AE151" s="2">
        <v>0.83609999999999995</v>
      </c>
      <c r="AF151" s="2">
        <v>0.82120000000000004</v>
      </c>
      <c r="AG151" s="2">
        <v>0.81189999999999996</v>
      </c>
      <c r="AH151" s="2">
        <v>0.80979999999999996</v>
      </c>
      <c r="AK151" t="s">
        <v>7</v>
      </c>
      <c r="AL151" s="2">
        <v>0.80489999999999995</v>
      </c>
      <c r="AM151" s="2">
        <v>0.77759999999999996</v>
      </c>
      <c r="AN151" s="2">
        <v>0.75790000000000002</v>
      </c>
      <c r="AO151" s="2">
        <v>0.75439999999999996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2023-09-20T08:58:31Z</dcterms:modified>
</cp:coreProperties>
</file>