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\Desktop\Studia\1 Semestr\Analiza wielowymiarowa\Ćwiczenia\Projekt\"/>
    </mc:Choice>
  </mc:AlternateContent>
  <xr:revisionPtr revIDLastSave="0" documentId="13_ncr:1_{40A1A501-B5E5-4643-806A-EC176A1A484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zyste dane" sheetId="10" r:id="rId1"/>
    <sheet name="Ujednolicony charakter" sheetId="8" r:id="rId2"/>
    <sheet name="Po standaryzacji" sheetId="9" r:id="rId3"/>
    <sheet name="Miernik bezwzorcowy" sheetId="7" r:id="rId4"/>
    <sheet name="Miernik TOPSIS" sheetId="2" r:id="rId5"/>
    <sheet name="Wykresy" sheetId="16" r:id="rId6"/>
    <sheet name="Metoda Najbliższego Sąsiedztwa" sheetId="3" r:id="rId7"/>
    <sheet name="Metoda Najdalszego Sąsiedztwa" sheetId="5" r:id="rId8"/>
    <sheet name="Metoda Warda" sheetId="4" r:id="rId9"/>
    <sheet name="Metoda k-średnich" sheetId="6" r:id="rId10"/>
    <sheet name="ANOVA &amp; Testy Kruskalla-Wallisa" sheetId="12" r:id="rId11"/>
  </sheets>
  <definedNames>
    <definedName name="_xlnm._FilterDatabase" localSheetId="3" hidden="1">'Miernik bezwzorcowy'!$B$87:$D$107</definedName>
    <definedName name="_xlnm._FilterDatabase" localSheetId="4" hidden="1">'Miernik TOPSIS'!$B$103:$D$123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" i="6" l="1"/>
  <c r="J77" i="6"/>
  <c r="J78" i="6"/>
  <c r="H78" i="6"/>
  <c r="H79" i="6"/>
  <c r="H77" i="6"/>
  <c r="J80" i="6"/>
  <c r="K142" i="12"/>
  <c r="K152" i="12"/>
  <c r="S139" i="12"/>
  <c r="S137" i="12"/>
  <c r="S138" i="12"/>
  <c r="N142" i="12"/>
  <c r="X137" i="12"/>
  <c r="W137" i="12"/>
  <c r="W138" i="12"/>
  <c r="W139" i="12"/>
  <c r="X139" i="12"/>
  <c r="X138" i="12"/>
  <c r="N108" i="12"/>
  <c r="N113" i="12"/>
  <c r="N125" i="12"/>
  <c r="N130" i="12"/>
  <c r="N147" i="12"/>
  <c r="K135" i="12"/>
  <c r="K147" i="12"/>
  <c r="K130" i="12"/>
  <c r="K108" i="12"/>
  <c r="K125" i="12"/>
  <c r="H154" i="12"/>
  <c r="G154" i="12"/>
  <c r="G155" i="12"/>
  <c r="H155" i="12"/>
  <c r="F155" i="12"/>
  <c r="F154" i="12"/>
  <c r="G153" i="12"/>
  <c r="F153" i="12"/>
  <c r="H138" i="12"/>
  <c r="G138" i="12"/>
  <c r="F138" i="12"/>
  <c r="G137" i="12"/>
  <c r="F137" i="12"/>
  <c r="H137" i="12"/>
  <c r="H136" i="12"/>
  <c r="G136" i="12"/>
  <c r="H121" i="12"/>
  <c r="G121" i="12"/>
  <c r="F121" i="12"/>
  <c r="H120" i="12"/>
  <c r="G120" i="12"/>
  <c r="F120" i="12"/>
  <c r="H119" i="12"/>
  <c r="G119" i="12"/>
  <c r="F119" i="12"/>
  <c r="H153" i="12"/>
  <c r="H128" i="12"/>
  <c r="F136" i="12"/>
  <c r="G129" i="12"/>
  <c r="F130" i="12"/>
  <c r="F133" i="12"/>
  <c r="G112" i="12"/>
  <c r="F125" i="12"/>
  <c r="H143" i="12"/>
  <c r="H144" i="12"/>
  <c r="H145" i="12"/>
  <c r="G143" i="12"/>
  <c r="G144" i="12"/>
  <c r="G145" i="12"/>
  <c r="G146" i="12"/>
  <c r="G142" i="12"/>
  <c r="H142" i="12"/>
  <c r="F143" i="12"/>
  <c r="F144" i="12"/>
  <c r="F145" i="12"/>
  <c r="F146" i="12"/>
  <c r="F147" i="12"/>
  <c r="F148" i="12"/>
  <c r="F149" i="12"/>
  <c r="F150" i="12"/>
  <c r="F151" i="12"/>
  <c r="F152" i="12"/>
  <c r="F142" i="12"/>
  <c r="H126" i="12"/>
  <c r="H127" i="12"/>
  <c r="G126" i="12"/>
  <c r="G127" i="12"/>
  <c r="G128" i="12"/>
  <c r="G125" i="12"/>
  <c r="H125" i="12"/>
  <c r="F126" i="12"/>
  <c r="F127" i="12"/>
  <c r="F128" i="12"/>
  <c r="F129" i="12"/>
  <c r="F131" i="12"/>
  <c r="F132" i="12"/>
  <c r="F134" i="12"/>
  <c r="F135" i="12"/>
  <c r="F108" i="12"/>
  <c r="H109" i="12"/>
  <c r="H110" i="12"/>
  <c r="H111" i="12"/>
  <c r="G109" i="12"/>
  <c r="G110" i="12"/>
  <c r="G111" i="12"/>
  <c r="G108" i="12"/>
  <c r="H108" i="12"/>
  <c r="F109" i="12"/>
  <c r="F110" i="12"/>
  <c r="F111" i="12"/>
  <c r="F112" i="12"/>
  <c r="F113" i="12"/>
  <c r="F114" i="12"/>
  <c r="F115" i="12"/>
  <c r="F116" i="12"/>
  <c r="F117" i="12"/>
  <c r="F118" i="12"/>
  <c r="T89" i="12"/>
  <c r="O99" i="12"/>
  <c r="O91" i="12"/>
  <c r="E99" i="12"/>
  <c r="J97" i="12"/>
  <c r="D43" i="12"/>
  <c r="T97" i="12"/>
  <c r="J89" i="12"/>
  <c r="O90" i="12"/>
  <c r="O98" i="12"/>
  <c r="E98" i="12"/>
  <c r="O89" i="12"/>
  <c r="O97" i="12"/>
  <c r="E97" i="12"/>
  <c r="E91" i="12"/>
  <c r="E90" i="12"/>
  <c r="E89" i="12"/>
  <c r="L43" i="12"/>
  <c r="L68" i="12" s="1"/>
  <c r="K43" i="12"/>
  <c r="J43" i="12"/>
  <c r="J75" i="12" s="1"/>
  <c r="F43" i="12"/>
  <c r="F65" i="12" s="1"/>
  <c r="H43" i="12"/>
  <c r="G43" i="12"/>
  <c r="G67" i="12" s="1"/>
  <c r="C43" i="12"/>
  <c r="B43" i="12"/>
  <c r="B44" i="12"/>
  <c r="F44" i="12"/>
  <c r="J44" i="12"/>
  <c r="N44" i="12"/>
  <c r="P43" i="12"/>
  <c r="O43" i="12"/>
  <c r="O81" i="12" s="1"/>
  <c r="N43" i="12"/>
  <c r="G69" i="12"/>
  <c r="AD95" i="6"/>
  <c r="AE95" i="6"/>
  <c r="AF95" i="6"/>
  <c r="AG95" i="6"/>
  <c r="AH95" i="6"/>
  <c r="AD96" i="6"/>
  <c r="AE96" i="6"/>
  <c r="AF96" i="6"/>
  <c r="AG96" i="6"/>
  <c r="AH96" i="6"/>
  <c r="AD97" i="6"/>
  <c r="AE97" i="6"/>
  <c r="AF97" i="6"/>
  <c r="AG97" i="6"/>
  <c r="AH97" i="6"/>
  <c r="AC98" i="6"/>
  <c r="AD98" i="6"/>
  <c r="AE98" i="6"/>
  <c r="AF98" i="6"/>
  <c r="AG98" i="6"/>
  <c r="AH98" i="6"/>
  <c r="AB96" i="6"/>
  <c r="AB97" i="6"/>
  <c r="AB98" i="6"/>
  <c r="AB95" i="6"/>
  <c r="O89" i="6" s="1"/>
  <c r="AD88" i="6"/>
  <c r="AE88" i="6"/>
  <c r="AF88" i="6"/>
  <c r="AG88" i="6"/>
  <c r="AH88" i="6"/>
  <c r="AD89" i="6"/>
  <c r="AE89" i="6"/>
  <c r="AF89" i="6"/>
  <c r="AG89" i="6"/>
  <c r="AH89" i="6"/>
  <c r="AD90" i="6"/>
  <c r="AE90" i="6"/>
  <c r="AF90" i="6"/>
  <c r="AG90" i="6"/>
  <c r="AH90" i="6"/>
  <c r="AD91" i="6"/>
  <c r="AE91" i="6"/>
  <c r="AF91" i="6"/>
  <c r="AG91" i="6"/>
  <c r="AH91" i="6"/>
  <c r="AD92" i="6"/>
  <c r="AE92" i="6"/>
  <c r="AF92" i="6"/>
  <c r="AG92" i="6"/>
  <c r="AH92" i="6"/>
  <c r="AB89" i="6"/>
  <c r="AB90" i="6"/>
  <c r="AB91" i="6"/>
  <c r="AB92" i="6"/>
  <c r="AB88" i="6"/>
  <c r="R88" i="6"/>
  <c r="W89" i="6"/>
  <c r="X89" i="6"/>
  <c r="W90" i="6"/>
  <c r="X90" i="6"/>
  <c r="W91" i="6"/>
  <c r="X91" i="6"/>
  <c r="W92" i="6"/>
  <c r="X92" i="6"/>
  <c r="W93" i="6"/>
  <c r="X93" i="6"/>
  <c r="W94" i="6"/>
  <c r="X94" i="6"/>
  <c r="W95" i="6"/>
  <c r="X95" i="6"/>
  <c r="W96" i="6"/>
  <c r="X96" i="6"/>
  <c r="W97" i="6"/>
  <c r="X97" i="6"/>
  <c r="W98" i="6"/>
  <c r="X98" i="6"/>
  <c r="X88" i="6"/>
  <c r="V88" i="6"/>
  <c r="W88" i="6"/>
  <c r="V89" i="6"/>
  <c r="V90" i="6"/>
  <c r="V91" i="6"/>
  <c r="V92" i="6"/>
  <c r="V93" i="6"/>
  <c r="V94" i="6"/>
  <c r="V95" i="6"/>
  <c r="V96" i="6"/>
  <c r="V97" i="6"/>
  <c r="V98" i="6"/>
  <c r="T88" i="6"/>
  <c r="U88" i="6"/>
  <c r="T89" i="6"/>
  <c r="U89" i="6"/>
  <c r="T90" i="6"/>
  <c r="U90" i="6"/>
  <c r="T91" i="6"/>
  <c r="U91" i="6"/>
  <c r="S92" i="6"/>
  <c r="T92" i="6"/>
  <c r="U92" i="6"/>
  <c r="T93" i="6"/>
  <c r="U93" i="6"/>
  <c r="S94" i="6"/>
  <c r="T94" i="6"/>
  <c r="U94" i="6"/>
  <c r="T95" i="6"/>
  <c r="U95" i="6"/>
  <c r="T96" i="6"/>
  <c r="U96" i="6"/>
  <c r="T97" i="6"/>
  <c r="U97" i="6"/>
  <c r="T98" i="6"/>
  <c r="U98" i="6"/>
  <c r="R89" i="6"/>
  <c r="R90" i="6"/>
  <c r="R91" i="6"/>
  <c r="R92" i="6"/>
  <c r="R93" i="6"/>
  <c r="R94" i="6"/>
  <c r="R95" i="6"/>
  <c r="R96" i="6"/>
  <c r="R97" i="6"/>
  <c r="R98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5" i="6"/>
  <c r="C128" i="2"/>
  <c r="C127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30" i="2"/>
  <c r="I31" i="2"/>
  <c r="I32" i="2"/>
  <c r="I33" i="2"/>
  <c r="I34" i="2"/>
  <c r="I29" i="2"/>
  <c r="I37" i="7"/>
  <c r="N24" i="6"/>
  <c r="AC92" i="6" s="1"/>
  <c r="N23" i="6"/>
  <c r="S98" i="6" s="1"/>
  <c r="N22" i="6"/>
  <c r="AC91" i="6" s="1"/>
  <c r="N21" i="6"/>
  <c r="AC90" i="6" s="1"/>
  <c r="N20" i="6"/>
  <c r="S97" i="6" s="1"/>
  <c r="N19" i="6"/>
  <c r="AC89" i="6" s="1"/>
  <c r="N18" i="6"/>
  <c r="S96" i="6" s="1"/>
  <c r="N17" i="6"/>
  <c r="S95" i="6" s="1"/>
  <c r="N15" i="6"/>
  <c r="S93" i="6" s="1"/>
  <c r="N13" i="6"/>
  <c r="S91" i="6" s="1"/>
  <c r="N12" i="6"/>
  <c r="S90" i="6" s="1"/>
  <c r="N11" i="6"/>
  <c r="S89" i="6" s="1"/>
  <c r="N9" i="6"/>
  <c r="AC97" i="6" s="1"/>
  <c r="N8" i="6"/>
  <c r="S88" i="6" s="1"/>
  <c r="N7" i="6"/>
  <c r="AC88" i="6" s="1"/>
  <c r="N6" i="6"/>
  <c r="AC96" i="6" s="1"/>
  <c r="N5" i="6"/>
  <c r="AC95" i="6" s="1"/>
  <c r="G92" i="6"/>
  <c r="H88" i="6"/>
  <c r="J88" i="6"/>
  <c r="O88" i="6"/>
  <c r="C126" i="2"/>
  <c r="C125" i="2"/>
  <c r="C112" i="7"/>
  <c r="C111" i="7"/>
  <c r="C110" i="7"/>
  <c r="C109" i="7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9" i="2"/>
  <c r="G4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9" i="2"/>
  <c r="G90" i="6"/>
  <c r="L90" i="6" s="1"/>
  <c r="G91" i="6"/>
  <c r="L91" i="6" s="1"/>
  <c r="L92" i="6"/>
  <c r="G93" i="6"/>
  <c r="L93" i="6" s="1"/>
  <c r="G94" i="6"/>
  <c r="L94" i="6" s="1"/>
  <c r="G95" i="6"/>
  <c r="L95" i="6" s="1"/>
  <c r="G89" i="6"/>
  <c r="L89" i="6" s="1"/>
  <c r="I88" i="6"/>
  <c r="N88" i="6" s="1"/>
  <c r="M88" i="6"/>
  <c r="I26" i="6"/>
  <c r="H25" i="6"/>
  <c r="C26" i="6"/>
  <c r="C25" i="6"/>
  <c r="C31" i="6" s="1"/>
  <c r="D25" i="6"/>
  <c r="E25" i="6"/>
  <c r="F25" i="6"/>
  <c r="G25" i="6"/>
  <c r="I25" i="6"/>
  <c r="B4" i="3"/>
  <c r="B21" i="3"/>
  <c r="B20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C21" i="10"/>
  <c r="C20" i="10"/>
  <c r="C19" i="10"/>
  <c r="C18" i="10"/>
  <c r="C17" i="10"/>
  <c r="C16" i="10"/>
  <c r="C15" i="10"/>
  <c r="C14" i="10"/>
  <c r="C12" i="10"/>
  <c r="C10" i="10"/>
  <c r="C9" i="10"/>
  <c r="C8" i="10"/>
  <c r="C6" i="10"/>
  <c r="C5" i="10"/>
  <c r="C4" i="10"/>
  <c r="C3" i="10"/>
  <c r="C2" i="10"/>
  <c r="C21" i="4"/>
  <c r="B21" i="4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4" i="5"/>
  <c r="B2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4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B14" i="4"/>
  <c r="B15" i="4"/>
  <c r="B16" i="4"/>
  <c r="B17" i="4"/>
  <c r="B18" i="4"/>
  <c r="B19" i="4"/>
  <c r="B20" i="4"/>
  <c r="B5" i="4"/>
  <c r="B6" i="4"/>
  <c r="B7" i="4"/>
  <c r="B8" i="4"/>
  <c r="B9" i="4"/>
  <c r="B10" i="4"/>
  <c r="B11" i="4"/>
  <c r="B12" i="4"/>
  <c r="B13" i="4"/>
  <c r="B4" i="4"/>
  <c r="H49" i="2"/>
  <c r="H71" i="2"/>
  <c r="H55" i="2"/>
  <c r="H56" i="2"/>
  <c r="H57" i="2"/>
  <c r="H58" i="2"/>
  <c r="H59" i="2"/>
  <c r="H60" i="2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C4" i="4"/>
  <c r="E49" i="2"/>
  <c r="F49" i="2"/>
  <c r="I49" i="2"/>
  <c r="C49" i="2"/>
  <c r="D111" i="2"/>
  <c r="D113" i="2"/>
  <c r="D108" i="2"/>
  <c r="D112" i="2"/>
  <c r="D118" i="2"/>
  <c r="D114" i="2"/>
  <c r="D104" i="2"/>
  <c r="D110" i="2"/>
  <c r="D121" i="2"/>
  <c r="D120" i="2"/>
  <c r="D115" i="2"/>
  <c r="D123" i="2"/>
  <c r="D107" i="2"/>
  <c r="D119" i="2"/>
  <c r="D105" i="2"/>
  <c r="D117" i="2"/>
  <c r="D122" i="2"/>
  <c r="D116" i="2"/>
  <c r="D106" i="2"/>
  <c r="D109" i="2"/>
  <c r="I73" i="2"/>
  <c r="C54" i="2"/>
  <c r="C59" i="2"/>
  <c r="E60" i="2"/>
  <c r="G54" i="2"/>
  <c r="D48" i="2"/>
  <c r="D47" i="2"/>
  <c r="D46" i="2"/>
  <c r="D45" i="2"/>
  <c r="D44" i="2"/>
  <c r="D43" i="2"/>
  <c r="D42" i="2"/>
  <c r="D41" i="2"/>
  <c r="D39" i="2"/>
  <c r="D37" i="2"/>
  <c r="D36" i="2"/>
  <c r="D35" i="2"/>
  <c r="D33" i="2"/>
  <c r="D32" i="2"/>
  <c r="D31" i="2"/>
  <c r="D30" i="2"/>
  <c r="D29" i="2"/>
  <c r="D49" i="2" s="1"/>
  <c r="D24" i="2"/>
  <c r="D23" i="2"/>
  <c r="D22" i="2"/>
  <c r="D21" i="2"/>
  <c r="D20" i="2"/>
  <c r="D19" i="2"/>
  <c r="D18" i="2"/>
  <c r="D17" i="2"/>
  <c r="D15" i="2"/>
  <c r="D13" i="2"/>
  <c r="D12" i="2"/>
  <c r="D11" i="2"/>
  <c r="D9" i="2"/>
  <c r="D8" i="2"/>
  <c r="D7" i="2"/>
  <c r="D6" i="2"/>
  <c r="D5" i="2"/>
  <c r="D100" i="7"/>
  <c r="D89" i="7"/>
  <c r="D104" i="7"/>
  <c r="D107" i="7"/>
  <c r="D91" i="7"/>
  <c r="D97" i="7"/>
  <c r="D94" i="7"/>
  <c r="D99" i="7"/>
  <c r="D88" i="7"/>
  <c r="D95" i="7"/>
  <c r="D105" i="7"/>
  <c r="D102" i="7"/>
  <c r="D96" i="7"/>
  <c r="D101" i="7"/>
  <c r="D93" i="7"/>
  <c r="D106" i="7"/>
  <c r="D90" i="7"/>
  <c r="D98" i="7"/>
  <c r="D103" i="7"/>
  <c r="D92" i="7"/>
  <c r="D56" i="7"/>
  <c r="D55" i="7"/>
  <c r="D54" i="7"/>
  <c r="D53" i="7"/>
  <c r="D52" i="7"/>
  <c r="D51" i="7"/>
  <c r="D50" i="7"/>
  <c r="D49" i="7"/>
  <c r="D47" i="7"/>
  <c r="D45" i="7"/>
  <c r="D44" i="7"/>
  <c r="D43" i="7"/>
  <c r="D41" i="7"/>
  <c r="D40" i="7"/>
  <c r="D39" i="7"/>
  <c r="D38" i="7"/>
  <c r="D37" i="7"/>
  <c r="G46" i="7"/>
  <c r="G42" i="7"/>
  <c r="I42" i="7"/>
  <c r="E29" i="7"/>
  <c r="D26" i="7"/>
  <c r="G29" i="7"/>
  <c r="D57" i="7"/>
  <c r="G56" i="7"/>
  <c r="I38" i="7"/>
  <c r="I39" i="7"/>
  <c r="I40" i="7"/>
  <c r="I41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D26" i="6"/>
  <c r="E26" i="6"/>
  <c r="F26" i="6"/>
  <c r="G26" i="6"/>
  <c r="H26" i="6"/>
  <c r="D48" i="6"/>
  <c r="F54" i="2"/>
  <c r="D54" i="2"/>
  <c r="E54" i="2"/>
  <c r="H54" i="2"/>
  <c r="I54" i="2"/>
  <c r="G52" i="7"/>
  <c r="G53" i="7"/>
  <c r="G54" i="7"/>
  <c r="G55" i="7"/>
  <c r="C57" i="7"/>
  <c r="D25" i="7"/>
  <c r="H29" i="7"/>
  <c r="D27" i="7"/>
  <c r="D28" i="7"/>
  <c r="D24" i="7"/>
  <c r="D23" i="7"/>
  <c r="I30" i="7"/>
  <c r="F30" i="7"/>
  <c r="G30" i="7"/>
  <c r="E30" i="7"/>
  <c r="H30" i="7"/>
  <c r="C30" i="7"/>
  <c r="I29" i="7"/>
  <c r="I31" i="7" s="1"/>
  <c r="F29" i="7"/>
  <c r="C29" i="7"/>
  <c r="C31" i="7" s="1"/>
  <c r="D15" i="7"/>
  <c r="D17" i="7"/>
  <c r="D21" i="7"/>
  <c r="D16" i="7"/>
  <c r="D22" i="7"/>
  <c r="D19" i="7"/>
  <c r="E58" i="7"/>
  <c r="F58" i="7"/>
  <c r="C58" i="7"/>
  <c r="E57" i="7"/>
  <c r="E63" i="7" s="1"/>
  <c r="F57" i="7"/>
  <c r="G51" i="7"/>
  <c r="G50" i="7"/>
  <c r="G49" i="7"/>
  <c r="G48" i="7"/>
  <c r="G47" i="7"/>
  <c r="G45" i="7"/>
  <c r="G44" i="7"/>
  <c r="G43" i="7"/>
  <c r="G41" i="7"/>
  <c r="G40" i="7"/>
  <c r="G39" i="7"/>
  <c r="G38" i="7"/>
  <c r="H37" i="7"/>
  <c r="G37" i="7"/>
  <c r="F31" i="7"/>
  <c r="D13" i="7"/>
  <c r="D12" i="7"/>
  <c r="D11" i="7"/>
  <c r="D10" i="7"/>
  <c r="D9" i="7"/>
  <c r="H80" i="6" l="1"/>
  <c r="H82" i="6" s="1"/>
  <c r="O90" i="6"/>
  <c r="N90" i="6"/>
  <c r="M90" i="6"/>
  <c r="J90" i="6"/>
  <c r="I90" i="6"/>
  <c r="H90" i="6"/>
  <c r="E90" i="6"/>
  <c r="D90" i="6"/>
  <c r="C90" i="6"/>
  <c r="E89" i="6"/>
  <c r="D89" i="6"/>
  <c r="E92" i="6"/>
  <c r="D92" i="6"/>
  <c r="C92" i="6"/>
  <c r="C91" i="6"/>
  <c r="E91" i="6"/>
  <c r="D91" i="6"/>
  <c r="E94" i="6"/>
  <c r="D94" i="6"/>
  <c r="C94" i="6"/>
  <c r="E93" i="6"/>
  <c r="D93" i="6"/>
  <c r="C93" i="6"/>
  <c r="C95" i="6"/>
  <c r="E95" i="6"/>
  <c r="D95" i="6"/>
  <c r="C89" i="6"/>
  <c r="H89" i="6"/>
  <c r="J89" i="6"/>
  <c r="I89" i="6"/>
  <c r="I95" i="6"/>
  <c r="H95" i="6"/>
  <c r="J95" i="6"/>
  <c r="J94" i="6"/>
  <c r="I94" i="6"/>
  <c r="H94" i="6"/>
  <c r="J93" i="6"/>
  <c r="I93" i="6"/>
  <c r="H93" i="6"/>
  <c r="J92" i="6"/>
  <c r="I92" i="6"/>
  <c r="H92" i="6"/>
  <c r="J91" i="6"/>
  <c r="I91" i="6"/>
  <c r="H91" i="6"/>
  <c r="M89" i="6"/>
  <c r="N89" i="6"/>
  <c r="O95" i="6"/>
  <c r="M95" i="6"/>
  <c r="N95" i="6"/>
  <c r="O94" i="6"/>
  <c r="N94" i="6"/>
  <c r="M94" i="6"/>
  <c r="O93" i="6"/>
  <c r="N93" i="6"/>
  <c r="M93" i="6"/>
  <c r="N92" i="6"/>
  <c r="O92" i="6"/>
  <c r="M92" i="6"/>
  <c r="O91" i="6"/>
  <c r="N91" i="6"/>
  <c r="M91" i="6"/>
  <c r="N81" i="12"/>
  <c r="N75" i="12"/>
  <c r="P81" i="12"/>
  <c r="P68" i="12"/>
  <c r="N59" i="12"/>
  <c r="P52" i="12"/>
  <c r="D52" i="12"/>
  <c r="B49" i="12"/>
  <c r="B59" i="12"/>
  <c r="H49" i="12"/>
  <c r="H52" i="12"/>
  <c r="F59" i="12"/>
  <c r="F49" i="12"/>
  <c r="H50" i="12"/>
  <c r="H51" i="12"/>
  <c r="G50" i="12"/>
  <c r="G51" i="12"/>
  <c r="G52" i="12"/>
  <c r="G53" i="12"/>
  <c r="G49" i="12"/>
  <c r="F50" i="12"/>
  <c r="F51" i="12"/>
  <c r="F52" i="12"/>
  <c r="F53" i="12"/>
  <c r="F54" i="12"/>
  <c r="F55" i="12"/>
  <c r="F56" i="12"/>
  <c r="F57" i="12"/>
  <c r="F58" i="12"/>
  <c r="B75" i="12"/>
  <c r="B66" i="12"/>
  <c r="B67" i="12"/>
  <c r="B68" i="12"/>
  <c r="B69" i="12"/>
  <c r="B70" i="12"/>
  <c r="B71" i="12"/>
  <c r="B72" i="12"/>
  <c r="B73" i="12"/>
  <c r="B74" i="12"/>
  <c r="B65" i="12"/>
  <c r="P66" i="12"/>
  <c r="P67" i="12"/>
  <c r="P65" i="12"/>
  <c r="O66" i="12"/>
  <c r="O67" i="12"/>
  <c r="O68" i="12"/>
  <c r="O69" i="12"/>
  <c r="O65" i="12"/>
  <c r="N66" i="12"/>
  <c r="N67" i="12"/>
  <c r="N68" i="12"/>
  <c r="N69" i="12"/>
  <c r="N70" i="12"/>
  <c r="N71" i="12"/>
  <c r="N72" i="12"/>
  <c r="N73" i="12"/>
  <c r="N74" i="12"/>
  <c r="N65" i="12"/>
  <c r="P76" i="12" s="1"/>
  <c r="M98" i="12" s="1"/>
  <c r="Q98" i="12" s="1"/>
  <c r="P50" i="12"/>
  <c r="P49" i="12"/>
  <c r="O53" i="12"/>
  <c r="O50" i="12"/>
  <c r="O51" i="12"/>
  <c r="P51" i="12"/>
  <c r="O52" i="12"/>
  <c r="N50" i="12"/>
  <c r="N51" i="12"/>
  <c r="N52" i="12"/>
  <c r="N53" i="12"/>
  <c r="O49" i="12"/>
  <c r="N49" i="12"/>
  <c r="N58" i="12"/>
  <c r="N57" i="12"/>
  <c r="N56" i="12"/>
  <c r="N55" i="12"/>
  <c r="N54" i="12"/>
  <c r="L66" i="12"/>
  <c r="L67" i="12"/>
  <c r="L65" i="12"/>
  <c r="L81" i="12" s="1"/>
  <c r="K66" i="12"/>
  <c r="K67" i="12"/>
  <c r="K68" i="12"/>
  <c r="K69" i="12"/>
  <c r="K65" i="12"/>
  <c r="K81" i="12" s="1"/>
  <c r="J66" i="12"/>
  <c r="J67" i="12"/>
  <c r="J68" i="12"/>
  <c r="J69" i="12"/>
  <c r="J70" i="12"/>
  <c r="J71" i="12"/>
  <c r="J72" i="12"/>
  <c r="J73" i="12"/>
  <c r="J74" i="12"/>
  <c r="J65" i="12"/>
  <c r="L52" i="12"/>
  <c r="K53" i="12"/>
  <c r="J59" i="12"/>
  <c r="J56" i="12"/>
  <c r="J49" i="12"/>
  <c r="K50" i="12"/>
  <c r="L50" i="12"/>
  <c r="K51" i="12"/>
  <c r="L51" i="12"/>
  <c r="K52" i="12"/>
  <c r="L49" i="12"/>
  <c r="K49" i="12"/>
  <c r="J50" i="12"/>
  <c r="J51" i="12"/>
  <c r="J52" i="12"/>
  <c r="J53" i="12"/>
  <c r="J54" i="12"/>
  <c r="J55" i="12"/>
  <c r="J57" i="12"/>
  <c r="J58" i="12"/>
  <c r="H66" i="12"/>
  <c r="H67" i="12"/>
  <c r="H68" i="12"/>
  <c r="H65" i="12"/>
  <c r="H81" i="12" s="1"/>
  <c r="G66" i="12"/>
  <c r="G68" i="12"/>
  <c r="G65" i="12"/>
  <c r="F66" i="12"/>
  <c r="F67" i="12"/>
  <c r="F68" i="12"/>
  <c r="F69" i="12"/>
  <c r="F70" i="12"/>
  <c r="F71" i="12"/>
  <c r="F72" i="12"/>
  <c r="F73" i="12"/>
  <c r="F74" i="12"/>
  <c r="F75" i="12"/>
  <c r="D65" i="12"/>
  <c r="D66" i="12"/>
  <c r="D67" i="12"/>
  <c r="D68" i="12"/>
  <c r="C66" i="12"/>
  <c r="C67" i="12"/>
  <c r="C68" i="12"/>
  <c r="C69" i="12"/>
  <c r="C65" i="12"/>
  <c r="C81" i="12" s="1"/>
  <c r="D50" i="12"/>
  <c r="D51" i="12"/>
  <c r="D49" i="12"/>
  <c r="C50" i="12"/>
  <c r="C51" i="12"/>
  <c r="C52" i="12"/>
  <c r="C53" i="12"/>
  <c r="C49" i="12"/>
  <c r="B50" i="12"/>
  <c r="B51" i="12"/>
  <c r="B52" i="12"/>
  <c r="B53" i="12"/>
  <c r="B54" i="12"/>
  <c r="B55" i="12"/>
  <c r="B56" i="12"/>
  <c r="B57" i="12"/>
  <c r="B58" i="12"/>
  <c r="I35" i="6"/>
  <c r="I33" i="6"/>
  <c r="G49" i="6"/>
  <c r="F50" i="6"/>
  <c r="F49" i="6"/>
  <c r="H48" i="6"/>
  <c r="H58" i="7"/>
  <c r="H57" i="7"/>
  <c r="H63" i="7" s="1"/>
  <c r="H82" i="7"/>
  <c r="H81" i="7"/>
  <c r="H80" i="7"/>
  <c r="H79" i="7"/>
  <c r="H78" i="7"/>
  <c r="H77" i="7"/>
  <c r="H76" i="7"/>
  <c r="H75" i="7"/>
  <c r="H74" i="7"/>
  <c r="H73" i="7"/>
  <c r="H72" i="7"/>
  <c r="H70" i="7"/>
  <c r="H69" i="7"/>
  <c r="H68" i="7"/>
  <c r="H67" i="7"/>
  <c r="H66" i="7"/>
  <c r="H65" i="7"/>
  <c r="H64" i="7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I31" i="6"/>
  <c r="I32" i="6"/>
  <c r="I34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9" i="6"/>
  <c r="H5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5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9" i="6"/>
  <c r="D50" i="6"/>
  <c r="E73" i="2"/>
  <c r="E71" i="2"/>
  <c r="E72" i="2"/>
  <c r="C75" i="7"/>
  <c r="C68" i="7"/>
  <c r="H31" i="7"/>
  <c r="G31" i="7"/>
  <c r="E31" i="7"/>
  <c r="C65" i="7"/>
  <c r="C70" i="2"/>
  <c r="C55" i="2"/>
  <c r="C56" i="2"/>
  <c r="C57" i="2"/>
  <c r="C58" i="2"/>
  <c r="C60" i="2"/>
  <c r="C61" i="2"/>
  <c r="C62" i="2"/>
  <c r="C63" i="2"/>
  <c r="C64" i="2"/>
  <c r="C65" i="2"/>
  <c r="C66" i="2"/>
  <c r="C67" i="2"/>
  <c r="C68" i="2"/>
  <c r="C69" i="2"/>
  <c r="C71" i="2"/>
  <c r="C72" i="2"/>
  <c r="C73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H61" i="2"/>
  <c r="H62" i="2"/>
  <c r="H63" i="2"/>
  <c r="H64" i="2"/>
  <c r="H65" i="2"/>
  <c r="H66" i="2"/>
  <c r="H67" i="2"/>
  <c r="H68" i="2"/>
  <c r="H69" i="2"/>
  <c r="H70" i="2"/>
  <c r="H72" i="2"/>
  <c r="H73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E55" i="2"/>
  <c r="E56" i="2"/>
  <c r="E57" i="2"/>
  <c r="E58" i="2"/>
  <c r="E59" i="2"/>
  <c r="E61" i="2"/>
  <c r="E62" i="2"/>
  <c r="E63" i="2"/>
  <c r="E64" i="2"/>
  <c r="E65" i="2"/>
  <c r="E66" i="2"/>
  <c r="E67" i="2"/>
  <c r="E68" i="2"/>
  <c r="E69" i="2"/>
  <c r="E70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C64" i="7"/>
  <c r="C66" i="7"/>
  <c r="C67" i="7"/>
  <c r="C69" i="7"/>
  <c r="C70" i="7"/>
  <c r="C71" i="7"/>
  <c r="C72" i="7"/>
  <c r="C73" i="7"/>
  <c r="C74" i="7"/>
  <c r="C76" i="7"/>
  <c r="C77" i="7"/>
  <c r="C78" i="7"/>
  <c r="C79" i="7"/>
  <c r="C80" i="7"/>
  <c r="C81" i="7"/>
  <c r="C82" i="7"/>
  <c r="C63" i="7"/>
  <c r="D30" i="7"/>
  <c r="D29" i="7"/>
  <c r="D31" i="7" s="1"/>
  <c r="D83" i="7" s="1"/>
  <c r="D58" i="7"/>
  <c r="I58" i="7"/>
  <c r="G58" i="7"/>
  <c r="G57" i="7"/>
  <c r="P60" i="12" l="1"/>
  <c r="M99" i="12" s="1"/>
  <c r="D81" i="12"/>
  <c r="F81" i="12"/>
  <c r="G81" i="12"/>
  <c r="H76" i="12"/>
  <c r="M90" i="12" s="1"/>
  <c r="Q90" i="12" s="1"/>
  <c r="L60" i="12"/>
  <c r="C99" i="12" s="1"/>
  <c r="J81" i="12"/>
  <c r="L83" i="12" s="1"/>
  <c r="C97" i="12" s="1"/>
  <c r="G97" i="12" s="1"/>
  <c r="L76" i="12"/>
  <c r="C98" i="12" s="1"/>
  <c r="G98" i="12" s="1"/>
  <c r="B81" i="12"/>
  <c r="D83" i="12" s="1"/>
  <c r="C89" i="12" s="1"/>
  <c r="G89" i="12" s="1"/>
  <c r="D76" i="12"/>
  <c r="C90" i="12" s="1"/>
  <c r="G90" i="12" s="1"/>
  <c r="H60" i="12"/>
  <c r="M91" i="12" s="1"/>
  <c r="D60" i="12"/>
  <c r="C91" i="12" s="1"/>
  <c r="P83" i="12"/>
  <c r="M97" i="12" s="1"/>
  <c r="Q97" i="12" s="1"/>
  <c r="S97" i="12" s="1"/>
  <c r="I63" i="7"/>
  <c r="I82" i="7"/>
  <c r="J82" i="7" s="1"/>
  <c r="H74" i="2"/>
  <c r="H75" i="2"/>
  <c r="E75" i="2"/>
  <c r="D75" i="2"/>
  <c r="D74" i="2"/>
  <c r="E74" i="2"/>
  <c r="F75" i="2"/>
  <c r="F74" i="2"/>
  <c r="G75" i="2"/>
  <c r="G74" i="2"/>
  <c r="I75" i="2"/>
  <c r="I74" i="2"/>
  <c r="C75" i="2"/>
  <c r="D80" i="2" s="1"/>
  <c r="C74" i="2"/>
  <c r="D32" i="7"/>
  <c r="F32" i="7"/>
  <c r="F83" i="7"/>
  <c r="C83" i="7"/>
  <c r="C32" i="7"/>
  <c r="I32" i="7"/>
  <c r="I83" i="7"/>
  <c r="E83" i="7"/>
  <c r="G83" i="7"/>
  <c r="H83" i="7"/>
  <c r="H32" i="7"/>
  <c r="E32" i="7"/>
  <c r="G32" i="7"/>
  <c r="H71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82" i="7"/>
  <c r="G81" i="7"/>
  <c r="G80" i="7"/>
  <c r="G79" i="7"/>
  <c r="G78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I97" i="12" l="1"/>
  <c r="I89" i="12"/>
  <c r="H83" i="12"/>
  <c r="M89" i="12" s="1"/>
  <c r="Q89" i="12" s="1"/>
  <c r="S89" i="12" s="1"/>
  <c r="C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8" i="2"/>
  <c r="D99" i="2"/>
  <c r="J69" i="7"/>
  <c r="J70" i="7"/>
  <c r="J71" i="7"/>
  <c r="J72" i="7"/>
  <c r="J73" i="7"/>
  <c r="J74" i="7"/>
  <c r="J75" i="7"/>
  <c r="J76" i="7"/>
  <c r="J77" i="7"/>
  <c r="J78" i="7"/>
  <c r="J81" i="7"/>
  <c r="C81" i="2"/>
  <c r="E81" i="2"/>
  <c r="C82" i="2"/>
  <c r="E82" i="2"/>
  <c r="C83" i="2"/>
  <c r="E83" i="2"/>
  <c r="C84" i="2"/>
  <c r="E84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C93" i="2"/>
  <c r="E93" i="2"/>
  <c r="C94" i="2"/>
  <c r="E94" i="2"/>
  <c r="C95" i="2"/>
  <c r="E95" i="2"/>
  <c r="C96" i="2"/>
  <c r="C98" i="2"/>
  <c r="E98" i="2"/>
  <c r="C85" i="2"/>
  <c r="E80" i="2"/>
  <c r="D96" i="2"/>
  <c r="C99" i="2"/>
  <c r="E85" i="2"/>
  <c r="E99" i="2"/>
  <c r="E96" i="2"/>
  <c r="J63" i="7"/>
  <c r="E92" i="2" l="1"/>
  <c r="J80" i="7"/>
  <c r="J79" i="7"/>
  <c r="J64" i="7"/>
  <c r="J65" i="7"/>
  <c r="J66" i="7"/>
  <c r="J67" i="7"/>
  <c r="J68" i="7"/>
  <c r="D97" i="2"/>
  <c r="C97" i="2"/>
  <c r="E97" i="2"/>
</calcChain>
</file>

<file path=xl/sharedStrings.xml><?xml version="1.0" encoding="utf-8"?>
<sst xmlns="http://schemas.openxmlformats.org/spreadsheetml/2006/main" count="883" uniqueCount="147">
  <si>
    <t>Film</t>
  </si>
  <si>
    <t>Ocena</t>
  </si>
  <si>
    <t>Rentowność</t>
  </si>
  <si>
    <t>Nagrody i nominacje</t>
  </si>
  <si>
    <t>Średnia ocen 3 najlepszych aktorów</t>
  </si>
  <si>
    <t>Liczba krajów produkcji</t>
  </si>
  <si>
    <t>Czas kręcenia w dniach</t>
  </si>
  <si>
    <t>Długość trwania filmu (minuty)</t>
  </si>
  <si>
    <t>Incepcja</t>
  </si>
  <si>
    <t>Wyspa tajemnic</t>
  </si>
  <si>
    <t>Efekt motyla</t>
  </si>
  <si>
    <t>Kod da Vinci</t>
  </si>
  <si>
    <t>Prestiż</t>
  </si>
  <si>
    <t>To nie jest kraj dla starych ludzi</t>
  </si>
  <si>
    <t>Król wojowników</t>
  </si>
  <si>
    <t>Istota</t>
  </si>
  <si>
    <t>Nagi instynkt 2</t>
  </si>
  <si>
    <t>Węże w samolocie</t>
  </si>
  <si>
    <t>Turysta</t>
  </si>
  <si>
    <t>Wiem kto mnie zabił</t>
  </si>
  <si>
    <t>Zdarzenie</t>
  </si>
  <si>
    <t>Osada</t>
  </si>
  <si>
    <t>Stone</t>
  </si>
  <si>
    <t>Amerykanin</t>
  </si>
  <si>
    <t>Efekt motyla 2</t>
  </si>
  <si>
    <t>Ocean strachu</t>
  </si>
  <si>
    <t>Zamieć</t>
  </si>
  <si>
    <t>Autostopowicz</t>
  </si>
  <si>
    <t>TEMAT PROJEKTU: Thrillery amerykańskie z lat 2000-2010</t>
  </si>
  <si>
    <t>STYMULANTA</t>
  </si>
  <si>
    <t>DESTYMULANTA</t>
  </si>
  <si>
    <t>NOMINANTA</t>
  </si>
  <si>
    <t>Granica dolna</t>
  </si>
  <si>
    <t>Granica górna</t>
  </si>
  <si>
    <t>KORELACJA</t>
  </si>
  <si>
    <t>c</t>
  </si>
  <si>
    <t>lp.</t>
  </si>
  <si>
    <t> </t>
  </si>
  <si>
    <t>ODCHYLENIE STANDARDOWE</t>
  </si>
  <si>
    <t>ŚREDNIA</t>
  </si>
  <si>
    <t>WSPÓŁCZYNNIK ZMIENNOŚCI</t>
  </si>
  <si>
    <t>WAGI</t>
  </si>
  <si>
    <t>UJEDNOLICENIE CHARAKTERU ZMIENNYCH</t>
  </si>
  <si>
    <t>MIN</t>
  </si>
  <si>
    <t>MAX</t>
  </si>
  <si>
    <t>NORMALIZACJA - UNITARYZACJA</t>
  </si>
  <si>
    <t>MIERNIK</t>
  </si>
  <si>
    <t>RANKING</t>
  </si>
  <si>
    <t>Miernik bezwzorcowy</t>
  </si>
  <si>
    <t xml:space="preserve">Miejsce rankingowe </t>
  </si>
  <si>
    <t>SUMA</t>
  </si>
  <si>
    <t>RÓŻNICA</t>
  </si>
  <si>
    <t xml:space="preserve">Miernik bezwzorcowy </t>
  </si>
  <si>
    <t>Miernik TOPSIS</t>
  </si>
  <si>
    <t>NORMALIZACJA WARTOŚCI</t>
  </si>
  <si>
    <t>WZORZEC</t>
  </si>
  <si>
    <t>ANTYWZORZEC</t>
  </si>
  <si>
    <t>USTALENIE WARTOŚCI MIERNIKA</t>
  </si>
  <si>
    <t>di0+</t>
  </si>
  <si>
    <t>di0-</t>
  </si>
  <si>
    <t>Miejsce rankingowe (miernik TOPSIS)</t>
  </si>
  <si>
    <t>Odległości</t>
  </si>
  <si>
    <t>2 SKUPIENIA</t>
  </si>
  <si>
    <t>Przyrosty bezwzględne</t>
  </si>
  <si>
    <t>Przyrosty względne</t>
  </si>
  <si>
    <t xml:space="preserve">I </t>
  </si>
  <si>
    <t>II</t>
  </si>
  <si>
    <t>19 elementów:</t>
  </si>
  <si>
    <t>1 element:</t>
  </si>
  <si>
    <t>16 elementów:</t>
  </si>
  <si>
    <t>4 elementy:</t>
  </si>
  <si>
    <t>Ocean Strachu</t>
  </si>
  <si>
    <t>15 elementów:</t>
  </si>
  <si>
    <t>5 elementów:</t>
  </si>
  <si>
    <t>CZYSTE DANE</t>
  </si>
  <si>
    <t>STANDARYZACJA</t>
  </si>
  <si>
    <t>METODA K-ŚREDNICH</t>
  </si>
  <si>
    <t>PODZIAŁ NA 3 SKUPIENIA - ELEMENTY I ODLEGŁOŚCI OD ŚRODKA WŁAŚCIWEGO SKUPIENIA</t>
  </si>
  <si>
    <t>Skupienie 1</t>
  </si>
  <si>
    <t>Skupienie 2</t>
  </si>
  <si>
    <t>Skupienie 3</t>
  </si>
  <si>
    <t>MIERNIKI JAKOŚCI GRUPOWANIA</t>
  </si>
  <si>
    <t>ODLEGŁOŚCI SKUPIEŃ</t>
  </si>
  <si>
    <t>ds.</t>
  </si>
  <si>
    <t>DS1</t>
  </si>
  <si>
    <t>DS2</t>
  </si>
  <si>
    <t>DS3</t>
  </si>
  <si>
    <t>d</t>
  </si>
  <si>
    <t>D</t>
  </si>
  <si>
    <t>MJG</t>
  </si>
  <si>
    <t>STATYSTYKI OPISOWE SKUPIEŃ</t>
  </si>
  <si>
    <t>SKUPIENIE 1 - FILMY SŁABE</t>
  </si>
  <si>
    <t>SKUPIENIE 2 - FILMY ŚREDNIE</t>
  </si>
  <si>
    <t>SKUPIENIE 3 -  FILMY DOBRE</t>
  </si>
  <si>
    <t>Długość filmu</t>
  </si>
  <si>
    <t>Zmienna</t>
  </si>
  <si>
    <t>Średnia</t>
  </si>
  <si>
    <t>Odchylenie std.</t>
  </si>
  <si>
    <t>Wariancja</t>
  </si>
  <si>
    <t>WYNIKI TESTÓW SHAPIRO-WILKA I LEVENE'A</t>
  </si>
  <si>
    <t>ANALIZA WARIANCJI DLA 4 ZMIENNYCH</t>
  </si>
  <si>
    <t>OCENA</t>
  </si>
  <si>
    <t>Średnia ocen dla 3 najlepszych aktorów</t>
  </si>
  <si>
    <t>SST</t>
  </si>
  <si>
    <t>SSE</t>
  </si>
  <si>
    <t>SSTR</t>
  </si>
  <si>
    <t>N</t>
  </si>
  <si>
    <t>r</t>
  </si>
  <si>
    <t>ZMIENNA: OCENA</t>
  </si>
  <si>
    <t>ZMIENNA: ŚREDNIA OCEN DLA 3 NAJLEPSZYCH AKTORÓW</t>
  </si>
  <si>
    <t>Żródło zmienności</t>
  </si>
  <si>
    <t>Suma kwadratów odchyleń</t>
  </si>
  <si>
    <t>Liczba stopni swobody (df)</t>
  </si>
  <si>
    <t>Średnie odchylenie kwadratowe</t>
  </si>
  <si>
    <t>Statystyka F</t>
  </si>
  <si>
    <t>Zabiegi (grupy)</t>
  </si>
  <si>
    <t>Błedy losowe</t>
  </si>
  <si>
    <t>Razem</t>
  </si>
  <si>
    <t>Wniosek:</t>
  </si>
  <si>
    <t>Odrzucamy H0, nie wszystkie skupienia charakteryzuja się jednakową średnią ocen.</t>
  </si>
  <si>
    <t>Odrzucamy H0, nie wszystkie skupienia charakteryzuja się jednakową średnią ocen dla 3 najlepszych aktorów.</t>
  </si>
  <si>
    <t>ZMIENNA: CZAS KRĘCENIA W DNIACH</t>
  </si>
  <si>
    <t>ZMIENNA: CZAS TRWANIA FILMU (MINUTY)</t>
  </si>
  <si>
    <t>Odrzucamy H0, nie wszystkie skupienia charakteryzuja się jednakowym średnim czasem kręcenia filmu.</t>
  </si>
  <si>
    <t>Odrzucamy H0, nie wszystkie skupienia charakteryzuja się jednakowym średnim czasem trwania filmu.</t>
  </si>
  <si>
    <t>TEST KRUSKALA-WALLISA DLA 3 ZMIENNYCH</t>
  </si>
  <si>
    <t>Rangi</t>
  </si>
  <si>
    <t>H =</t>
  </si>
  <si>
    <t>p-value =</t>
  </si>
  <si>
    <t>Nie odrzucamy H0, wszystkie 3 skupienia charakteryzują się jednakowym rozkładem rentowności.</t>
  </si>
  <si>
    <t>Liczebność</t>
  </si>
  <si>
    <t>Suma rang</t>
  </si>
  <si>
    <t>Średnia ranga</t>
  </si>
  <si>
    <t>C =</t>
  </si>
  <si>
    <t>Para skupień</t>
  </si>
  <si>
    <t>p-value</t>
  </si>
  <si>
    <t>H' =</t>
  </si>
  <si>
    <r>
      <rPr>
        <b/>
        <sz val="11"/>
        <color rgb="FFFF0000"/>
        <rFont val="Calibri"/>
        <family val="2"/>
        <charset val="238"/>
        <scheme val="minor"/>
      </rPr>
      <t>Odrzucamy H0</t>
    </r>
    <r>
      <rPr>
        <sz val="11"/>
        <color rgb="FF000000"/>
        <rFont val="Calibri"/>
        <family val="2"/>
        <charset val="238"/>
        <scheme val="minor"/>
      </rPr>
      <t>, przynajmniej 1 skupienie charakteryzuje się innym rozkładem liczby nagród i nominacji.</t>
    </r>
  </si>
  <si>
    <t>1 - 2</t>
  </si>
  <si>
    <t>Nie odrzucamy H0</t>
  </si>
  <si>
    <t>1 - 3</t>
  </si>
  <si>
    <t>Odrzucamy H0</t>
  </si>
  <si>
    <t>2 - 3</t>
  </si>
  <si>
    <t>Skupienie nr 3 charakteryzuje się innym rozkładem liczby nagród i nominacji niż pozostałe 2 skupienia.</t>
  </si>
  <si>
    <t>Skupienie 1 i 2 charakteryzują się jednakowym rozkładem liczby nagród i nominacji.</t>
  </si>
  <si>
    <t>Nie odrzucamy H0, wszystkie 3 skupienia charakteryzują się jednakowym rozkładem liczby krajów produkcji.</t>
  </si>
  <si>
    <t>SKŁAD GRUPY: MIŁOSZ LAUDA (G01), IZABELA *** (G03), KACPER  *** (G01)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</si>
</sst>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000000000"/>
    <numFmt numFmtId="167" formatCode="0.000000000"/>
    <numFmt numFmtId="168" formatCode="0.00000"/>
    <numFmt numFmtId="169" formatCode="0.0"/>
    <numFmt numFmtId="170" formatCode="0.0000000"/>
    <numFmt numFmtId="171" formatCode="0.0000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38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  <charset val="238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12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1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111111"/>
      </top>
      <bottom style="thin">
        <color rgb="FF111111"/>
      </bottom>
      <diagonal/>
    </border>
    <border>
      <left style="medium">
        <color rgb="FF000000"/>
      </left>
      <right style="medium">
        <color rgb="FF000000"/>
      </right>
      <top style="thin">
        <color rgb="FF111111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111111"/>
      </bottom>
      <diagonal/>
    </border>
    <border>
      <left style="medium">
        <color rgb="FF000000"/>
      </left>
      <right/>
      <top style="thin">
        <color rgb="FF111111"/>
      </top>
      <bottom style="thin">
        <color rgb="FF111111"/>
      </bottom>
      <diagonal/>
    </border>
    <border>
      <left style="medium">
        <color rgb="FF000000"/>
      </left>
      <right/>
      <top style="thin">
        <color rgb="FF111111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medium">
        <color rgb="FF000000"/>
      </right>
      <top style="thin">
        <color rgb="FF111111"/>
      </top>
      <bottom style="thin">
        <color rgb="FF111111"/>
      </bottom>
      <diagonal/>
    </border>
    <border>
      <left style="medium">
        <color rgb="FF000000"/>
      </left>
      <right style="thin">
        <color rgb="FF111111"/>
      </right>
      <top style="thin">
        <color rgb="FF111111"/>
      </top>
      <bottom style="medium">
        <color rgb="FF000000"/>
      </bottom>
      <diagonal/>
    </border>
    <border>
      <left style="thin">
        <color rgb="FF111111"/>
      </left>
      <right style="medium">
        <color rgb="FF000000"/>
      </right>
      <top style="thin">
        <color rgb="FF111111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111111"/>
      </bottom>
      <diagonal/>
    </border>
    <border>
      <left/>
      <right style="medium">
        <color rgb="FF000000"/>
      </right>
      <top style="thin">
        <color rgb="FF111111"/>
      </top>
      <bottom style="thin">
        <color rgb="FF111111"/>
      </bottom>
      <diagonal/>
    </border>
    <border>
      <left/>
      <right style="medium">
        <color rgb="FF000000"/>
      </right>
      <top style="thin">
        <color rgb="FF111111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111111"/>
      </right>
      <top style="medium">
        <color rgb="FF000000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medium">
        <color rgb="FF000000"/>
      </top>
      <bottom style="thin">
        <color rgb="FF111111"/>
      </bottom>
      <diagonal/>
    </border>
    <border>
      <left style="thin">
        <color rgb="FF111111"/>
      </left>
      <right style="medium">
        <color rgb="FF000000"/>
      </right>
      <top style="medium">
        <color rgb="FF000000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111111"/>
      </bottom>
      <diagonal/>
    </border>
    <border>
      <left/>
      <right style="medium">
        <color rgb="FF000000"/>
      </right>
      <top style="medium">
        <color rgb="FF000000"/>
      </top>
      <bottom style="thin">
        <color rgb="FF11111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5" borderId="0" xfId="0" applyFill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30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/>
    <xf numFmtId="2" fontId="0" fillId="5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/>
    </xf>
    <xf numFmtId="0" fontId="3" fillId="5" borderId="0" xfId="0" applyFont="1" applyFill="1"/>
    <xf numFmtId="0" fontId="9" fillId="5" borderId="0" xfId="0" applyFont="1" applyFill="1"/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4" fillId="5" borderId="0" xfId="0" applyFont="1" applyFill="1"/>
    <xf numFmtId="0" fontId="0" fillId="0" borderId="10" xfId="0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3" fillId="0" borderId="34" xfId="0" applyFont="1" applyBorder="1"/>
    <xf numFmtId="0" fontId="3" fillId="0" borderId="10" xfId="0" applyFont="1" applyBorder="1" applyAlignment="1">
      <alignment horizontal="center" vertical="center"/>
    </xf>
    <xf numFmtId="0" fontId="13" fillId="0" borderId="35" xfId="0" applyFont="1" applyBorder="1"/>
    <xf numFmtId="0" fontId="13" fillId="0" borderId="29" xfId="0" applyFont="1" applyBorder="1"/>
    <xf numFmtId="0" fontId="13" fillId="0" borderId="35" xfId="0" applyFont="1" applyBorder="1" applyAlignment="1">
      <alignment wrapText="1"/>
    </xf>
    <xf numFmtId="0" fontId="3" fillId="0" borderId="36" xfId="0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6" fillId="5" borderId="0" xfId="0" applyFont="1" applyFill="1"/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6" fillId="5" borderId="0" xfId="0" applyFont="1" applyFill="1" applyAlignment="1">
      <alignment wrapText="1"/>
    </xf>
    <xf numFmtId="0" fontId="1" fillId="0" borderId="2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47" xfId="0" applyFont="1" applyBorder="1" applyAlignment="1">
      <alignment horizontal="left" vertical="center"/>
    </xf>
    <xf numFmtId="0" fontId="1" fillId="0" borderId="2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46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165" fontId="0" fillId="0" borderId="44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0" fontId="13" fillId="0" borderId="53" xfId="0" applyFon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8" fillId="11" borderId="54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4" fillId="0" borderId="55" xfId="0" applyFont="1" applyBorder="1"/>
    <xf numFmtId="165" fontId="0" fillId="0" borderId="45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5" fontId="0" fillId="0" borderId="51" xfId="0" applyNumberFormat="1" applyBorder="1" applyAlignment="1">
      <alignment horizontal="center" vertical="center"/>
    </xf>
    <xf numFmtId="165" fontId="0" fillId="0" borderId="56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8" xfId="0" applyNumberFormat="1" applyBorder="1" applyAlignment="1">
      <alignment horizontal="center" vertical="center"/>
    </xf>
    <xf numFmtId="165" fontId="0" fillId="0" borderId="49" xfId="0" applyNumberFormat="1" applyBorder="1" applyAlignment="1">
      <alignment horizontal="center" vertical="center"/>
    </xf>
    <xf numFmtId="0" fontId="1" fillId="9" borderId="60" xfId="0" applyFont="1" applyFill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7" xfId="0" applyNumberForma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left" vertical="center"/>
    </xf>
    <xf numFmtId="0" fontId="1" fillId="0" borderId="67" xfId="0" applyFont="1" applyBorder="1" applyAlignment="1">
      <alignment horizontal="left" vertical="center"/>
    </xf>
    <xf numFmtId="0" fontId="13" fillId="0" borderId="67" xfId="0" applyFont="1" applyBorder="1"/>
    <xf numFmtId="0" fontId="13" fillId="0" borderId="68" xfId="0" applyFont="1" applyBorder="1"/>
    <xf numFmtId="0" fontId="13" fillId="0" borderId="0" xfId="0" applyFont="1"/>
    <xf numFmtId="0" fontId="13" fillId="0" borderId="68" xfId="0" applyFont="1" applyBorder="1" applyAlignment="1">
      <alignment wrapText="1"/>
    </xf>
    <xf numFmtId="0" fontId="13" fillId="0" borderId="69" xfId="0" applyFont="1" applyBorder="1"/>
    <xf numFmtId="165" fontId="0" fillId="0" borderId="15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72" xfId="0" applyNumberForma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65" fontId="0" fillId="0" borderId="52" xfId="0" applyNumberFormat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3" fillId="0" borderId="41" xfId="0" applyFont="1" applyBorder="1"/>
    <xf numFmtId="0" fontId="13" fillId="0" borderId="73" xfId="0" applyFont="1" applyBorder="1"/>
    <xf numFmtId="0" fontId="13" fillId="0" borderId="60" xfId="0" applyFont="1" applyBorder="1"/>
    <xf numFmtId="0" fontId="13" fillId="0" borderId="73" xfId="0" applyFont="1" applyBorder="1" applyAlignment="1">
      <alignment wrapText="1"/>
    </xf>
    <xf numFmtId="0" fontId="13" fillId="0" borderId="42" xfId="0" applyFont="1" applyBorder="1"/>
    <xf numFmtId="0" fontId="12" fillId="0" borderId="5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74" xfId="0" applyNumberForma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5" fontId="0" fillId="0" borderId="62" xfId="0" applyNumberForma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165" fontId="0" fillId="0" borderId="73" xfId="0" applyNumberFormat="1" applyBorder="1" applyAlignment="1">
      <alignment horizontal="center" vertical="center"/>
    </xf>
    <xf numFmtId="165" fontId="0" fillId="0" borderId="61" xfId="0" applyNumberForma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left" vertical="center"/>
    </xf>
    <xf numFmtId="0" fontId="1" fillId="8" borderId="0" xfId="0" applyFont="1" applyFill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8" fillId="11" borderId="75" xfId="0" applyFont="1" applyFill="1" applyBorder="1" applyAlignment="1">
      <alignment horizontal="center" vertical="center"/>
    </xf>
    <xf numFmtId="0" fontId="8" fillId="11" borderId="76" xfId="0" applyFont="1" applyFill="1" applyBorder="1" applyAlignment="1">
      <alignment horizontal="center" vertical="center"/>
    </xf>
    <xf numFmtId="0" fontId="8" fillId="11" borderId="70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5" fillId="5" borderId="0" xfId="0" applyFont="1" applyFill="1"/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73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165" fontId="0" fillId="3" borderId="40" xfId="0" applyNumberFormat="1" applyFill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5" fontId="0" fillId="4" borderId="41" xfId="0" applyNumberFormat="1" applyFill="1" applyBorder="1" applyAlignment="1">
      <alignment horizontal="center" vertical="center"/>
    </xf>
    <xf numFmtId="165" fontId="0" fillId="3" borderId="73" xfId="0" applyNumberFormat="1" applyFill="1" applyBorder="1" applyAlignment="1">
      <alignment horizontal="center" vertical="center"/>
    </xf>
    <xf numFmtId="165" fontId="0" fillId="4" borderId="73" xfId="0" applyNumberFormat="1" applyFill="1" applyBorder="1" applyAlignment="1">
      <alignment horizontal="center" vertical="center"/>
    </xf>
    <xf numFmtId="165" fontId="0" fillId="12" borderId="73" xfId="0" applyNumberFormat="1" applyFill="1" applyBorder="1" applyAlignment="1">
      <alignment horizontal="center" vertical="center"/>
    </xf>
    <xf numFmtId="165" fontId="0" fillId="2" borderId="73" xfId="0" applyNumberFormat="1" applyFill="1" applyBorder="1" applyAlignment="1">
      <alignment horizontal="center" vertical="center"/>
    </xf>
    <xf numFmtId="0" fontId="0" fillId="5" borderId="68" xfId="0" applyFill="1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167" fontId="0" fillId="5" borderId="73" xfId="0" applyNumberFormat="1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19" fillId="5" borderId="28" xfId="0" applyFont="1" applyFill="1" applyBorder="1" applyAlignment="1">
      <alignment horizontal="center" vertical="center"/>
    </xf>
    <xf numFmtId="0" fontId="5" fillId="7" borderId="80" xfId="0" applyFont="1" applyFill="1" applyBorder="1" applyAlignment="1">
      <alignment horizontal="center"/>
    </xf>
    <xf numFmtId="0" fontId="5" fillId="7" borderId="77" xfId="0" applyFont="1" applyFill="1" applyBorder="1" applyAlignment="1">
      <alignment horizontal="center"/>
    </xf>
    <xf numFmtId="0" fontId="5" fillId="7" borderId="78" xfId="0" applyFont="1" applyFill="1" applyBorder="1" applyAlignment="1">
      <alignment horizontal="center"/>
    </xf>
    <xf numFmtId="0" fontId="1" fillId="5" borderId="0" xfId="0" applyFont="1" applyFill="1"/>
    <xf numFmtId="0" fontId="0" fillId="5" borderId="28" xfId="0" applyFill="1" applyBorder="1" applyAlignment="1">
      <alignment horizontal="center"/>
    </xf>
    <xf numFmtId="0" fontId="0" fillId="5" borderId="60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28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1" fillId="5" borderId="0" xfId="0" applyFont="1" applyFill="1" applyAlignment="1">
      <alignment vertical="center" wrapText="1"/>
    </xf>
    <xf numFmtId="0" fontId="20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1" fillId="5" borderId="47" xfId="0" applyFont="1" applyFill="1" applyBorder="1" applyAlignment="1">
      <alignment horizontal="left" vertical="center"/>
    </xf>
    <xf numFmtId="166" fontId="0" fillId="5" borderId="7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left" vertical="center"/>
    </xf>
    <xf numFmtId="166" fontId="0" fillId="5" borderId="4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5" borderId="32" xfId="0" applyNumberFormat="1" applyFill="1" applyBorder="1" applyAlignment="1">
      <alignment horizontal="center" vertical="center"/>
    </xf>
    <xf numFmtId="166" fontId="0" fillId="5" borderId="23" xfId="0" applyNumberFormat="1" applyFill="1" applyBorder="1" applyAlignment="1">
      <alignment horizontal="center" vertical="center"/>
    </xf>
    <xf numFmtId="166" fontId="0" fillId="5" borderId="45" xfId="0" applyNumberFormat="1" applyFill="1" applyBorder="1" applyAlignment="1">
      <alignment horizontal="center" vertical="center"/>
    </xf>
    <xf numFmtId="166" fontId="0" fillId="5" borderId="10" xfId="0" applyNumberFormat="1" applyFill="1" applyBorder="1" applyAlignment="1">
      <alignment horizontal="center" vertical="center"/>
    </xf>
    <xf numFmtId="0" fontId="13" fillId="5" borderId="34" xfId="0" applyFont="1" applyFill="1" applyBorder="1"/>
    <xf numFmtId="166" fontId="3" fillId="5" borderId="5" xfId="0" applyNumberFormat="1" applyFont="1" applyFill="1" applyBorder="1" applyAlignment="1">
      <alignment horizontal="center"/>
    </xf>
    <xf numFmtId="166" fontId="3" fillId="5" borderId="1" xfId="0" applyNumberFormat="1" applyFont="1" applyFill="1" applyBorder="1" applyAlignment="1">
      <alignment horizontal="center" vertical="center"/>
    </xf>
    <xf numFmtId="0" fontId="13" fillId="5" borderId="35" xfId="0" applyFont="1" applyFill="1" applyBorder="1"/>
    <xf numFmtId="0" fontId="13" fillId="5" borderId="29" xfId="0" applyFont="1" applyFill="1" applyBorder="1"/>
    <xf numFmtId="0" fontId="13" fillId="5" borderId="35" xfId="0" applyFont="1" applyFill="1" applyBorder="1" applyAlignment="1">
      <alignment wrapText="1"/>
    </xf>
    <xf numFmtId="0" fontId="13" fillId="5" borderId="53" xfId="0" applyFont="1" applyFill="1" applyBorder="1"/>
    <xf numFmtId="166" fontId="3" fillId="5" borderId="36" xfId="0" applyNumberFormat="1" applyFont="1" applyFill="1" applyBorder="1" applyAlignment="1">
      <alignment horizontal="center" vertical="center"/>
    </xf>
    <xf numFmtId="166" fontId="0" fillId="5" borderId="36" xfId="0" applyNumberFormat="1" applyFill="1" applyBorder="1" applyAlignment="1">
      <alignment horizontal="center" vertical="center"/>
    </xf>
    <xf numFmtId="166" fontId="0" fillId="5" borderId="46" xfId="0" applyNumberForma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3" fillId="5" borderId="36" xfId="0" applyNumberFormat="1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6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1" fillId="5" borderId="34" xfId="0" applyFont="1" applyFill="1" applyBorder="1"/>
    <xf numFmtId="0" fontId="1" fillId="5" borderId="53" xfId="0" applyFont="1" applyFill="1" applyBorder="1"/>
    <xf numFmtId="0" fontId="1" fillId="5" borderId="35" xfId="0" applyFont="1" applyFill="1" applyBorder="1"/>
    <xf numFmtId="0" fontId="22" fillId="5" borderId="15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3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5" borderId="10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2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5" fillId="7" borderId="81" xfId="0" applyFont="1" applyFill="1" applyBorder="1" applyAlignment="1">
      <alignment horizontal="center"/>
    </xf>
    <xf numFmtId="0" fontId="5" fillId="7" borderId="82" xfId="0" applyFont="1" applyFill="1" applyBorder="1" applyAlignment="1">
      <alignment horizontal="center"/>
    </xf>
    <xf numFmtId="0" fontId="0" fillId="5" borderId="18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2" fontId="0" fillId="5" borderId="6" xfId="0" applyNumberFormat="1" applyFill="1" applyBorder="1" applyAlignment="1">
      <alignment horizontal="center" vertical="center"/>
    </xf>
    <xf numFmtId="0" fontId="1" fillId="5" borderId="79" xfId="0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1" fillId="5" borderId="73" xfId="0" applyFont="1" applyFill="1" applyBorder="1" applyAlignment="1">
      <alignment horizontal="left" vertical="center"/>
    </xf>
    <xf numFmtId="0" fontId="1" fillId="5" borderId="41" xfId="0" applyFont="1" applyFill="1" applyBorder="1" applyAlignment="1">
      <alignment horizontal="left" vertical="center"/>
    </xf>
    <xf numFmtId="0" fontId="13" fillId="5" borderId="41" xfId="0" applyFont="1" applyFill="1" applyBorder="1"/>
    <xf numFmtId="0" fontId="13" fillId="5" borderId="73" xfId="0" applyFont="1" applyFill="1" applyBorder="1"/>
    <xf numFmtId="0" fontId="13" fillId="5" borderId="60" xfId="0" applyFont="1" applyFill="1" applyBorder="1"/>
    <xf numFmtId="0" fontId="13" fillId="5" borderId="73" xfId="0" applyFont="1" applyFill="1" applyBorder="1" applyAlignment="1">
      <alignment wrapText="1"/>
    </xf>
    <xf numFmtId="0" fontId="13" fillId="5" borderId="42" xfId="0" applyFont="1" applyFill="1" applyBorder="1"/>
    <xf numFmtId="0" fontId="0" fillId="5" borderId="22" xfId="0" applyFill="1" applyBorder="1" applyAlignment="1">
      <alignment horizontal="center" vertical="center"/>
    </xf>
    <xf numFmtId="0" fontId="0" fillId="5" borderId="8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4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168" fontId="3" fillId="5" borderId="1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168" fontId="3" fillId="5" borderId="12" xfId="0" applyNumberFormat="1" applyFont="1" applyFill="1" applyBorder="1" applyAlignment="1">
      <alignment horizontal="center" vertical="center"/>
    </xf>
    <xf numFmtId="0" fontId="13" fillId="0" borderId="40" xfId="0" applyFont="1" applyBorder="1"/>
    <xf numFmtId="165" fontId="0" fillId="2" borderId="61" xfId="0" applyNumberFormat="1" applyFill="1" applyBorder="1" applyAlignment="1">
      <alignment horizontal="center" vertical="center"/>
    </xf>
    <xf numFmtId="0" fontId="13" fillId="0" borderId="47" xfId="0" applyFont="1" applyBorder="1"/>
    <xf numFmtId="0" fontId="13" fillId="0" borderId="34" xfId="0" applyFont="1" applyBorder="1" applyAlignment="1">
      <alignment wrapText="1"/>
    </xf>
    <xf numFmtId="165" fontId="0" fillId="2" borderId="42" xfId="0" applyNumberFormat="1" applyFill="1" applyBorder="1" applyAlignment="1">
      <alignment horizontal="center" vertical="center"/>
    </xf>
    <xf numFmtId="165" fontId="0" fillId="12" borderId="41" xfId="0" applyNumberFormat="1" applyFill="1" applyBorder="1" applyAlignment="1">
      <alignment horizontal="center" vertical="center"/>
    </xf>
    <xf numFmtId="0" fontId="13" fillId="0" borderId="84" xfId="0" applyFont="1" applyBorder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0" fillId="5" borderId="26" xfId="0" applyFill="1" applyBorder="1"/>
    <xf numFmtId="0" fontId="0" fillId="5" borderId="14" xfId="0" applyFill="1" applyBorder="1"/>
    <xf numFmtId="0" fontId="0" fillId="5" borderId="24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11" xfId="0" applyFill="1" applyBorder="1"/>
    <xf numFmtId="0" fontId="0" fillId="5" borderId="70" xfId="0" applyFill="1" applyBorder="1"/>
    <xf numFmtId="0" fontId="0" fillId="5" borderId="71" xfId="0" applyFill="1" applyBorder="1"/>
    <xf numFmtId="0" fontId="1" fillId="5" borderId="0" xfId="0" applyFont="1" applyFill="1" applyAlignment="1">
      <alignment vertical="center"/>
    </xf>
    <xf numFmtId="0" fontId="5" fillId="7" borderId="81" xfId="0" applyFont="1" applyFill="1" applyBorder="1" applyAlignment="1">
      <alignment vertical="center"/>
    </xf>
    <xf numFmtId="0" fontId="5" fillId="7" borderId="81" xfId="0" applyFont="1" applyFill="1" applyBorder="1" applyAlignment="1">
      <alignment vertical="center" wrapText="1"/>
    </xf>
    <xf numFmtId="0" fontId="5" fillId="7" borderId="82" xfId="0" applyFont="1" applyFill="1" applyBorder="1" applyAlignment="1">
      <alignment vertical="center"/>
    </xf>
    <xf numFmtId="0" fontId="0" fillId="5" borderId="34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26" fillId="0" borderId="0" xfId="0" applyFont="1"/>
    <xf numFmtId="0" fontId="25" fillId="5" borderId="15" xfId="0" applyFont="1" applyFill="1" applyBorder="1" applyAlignment="1">
      <alignment horizontal="center" vertical="center"/>
    </xf>
    <xf numFmtId="0" fontId="26" fillId="5" borderId="54" xfId="0" applyFont="1" applyFill="1" applyBorder="1" applyAlignment="1">
      <alignment horizontal="center" vertical="center"/>
    </xf>
    <xf numFmtId="0" fontId="26" fillId="5" borderId="31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6" fillId="5" borderId="16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5" borderId="98" xfId="0" applyFont="1" applyFill="1" applyBorder="1" applyAlignment="1">
      <alignment horizontal="center" vertical="center"/>
    </xf>
    <xf numFmtId="0" fontId="26" fillId="5" borderId="21" xfId="0" applyFont="1" applyFill="1" applyBorder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0" fillId="5" borderId="34" xfId="0" applyFill="1" applyBorder="1" applyAlignment="1">
      <alignment vertical="center" wrapText="1"/>
    </xf>
    <xf numFmtId="169" fontId="0" fillId="5" borderId="15" xfId="0" applyNumberFormat="1" applyFill="1" applyBorder="1" applyAlignment="1">
      <alignment horizontal="center" vertical="center"/>
    </xf>
    <xf numFmtId="169" fontId="0" fillId="5" borderId="52" xfId="0" applyNumberFormat="1" applyFill="1" applyBorder="1" applyAlignment="1">
      <alignment horizontal="center" vertical="center"/>
    </xf>
    <xf numFmtId="169" fontId="0" fillId="5" borderId="31" xfId="0" applyNumberFormat="1" applyFill="1" applyBorder="1" applyAlignment="1">
      <alignment horizontal="center" vertical="center"/>
    </xf>
    <xf numFmtId="169" fontId="3" fillId="5" borderId="31" xfId="0" applyNumberFormat="1" applyFont="1" applyFill="1" applyBorder="1" applyAlignment="1">
      <alignment horizontal="center"/>
    </xf>
    <xf numFmtId="169" fontId="3" fillId="5" borderId="31" xfId="0" applyNumberFormat="1" applyFont="1" applyFill="1" applyBorder="1" applyAlignment="1">
      <alignment horizontal="center" vertical="center"/>
    </xf>
    <xf numFmtId="169" fontId="3" fillId="5" borderId="50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" fontId="0" fillId="5" borderId="44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5" borderId="36" xfId="0" applyNumberFormat="1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56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5" fillId="7" borderId="94" xfId="0" applyFont="1" applyFill="1" applyBorder="1" applyAlignment="1">
      <alignment horizontal="center" vertical="center"/>
    </xf>
    <xf numFmtId="0" fontId="5" fillId="7" borderId="95" xfId="0" applyFont="1" applyFill="1" applyBorder="1" applyAlignment="1">
      <alignment horizontal="center" vertical="center"/>
    </xf>
    <xf numFmtId="0" fontId="5" fillId="7" borderId="96" xfId="0" applyFont="1" applyFill="1" applyBorder="1" applyAlignment="1">
      <alignment horizontal="center" vertical="center"/>
    </xf>
    <xf numFmtId="0" fontId="5" fillId="7" borderId="85" xfId="0" applyFont="1" applyFill="1" applyBorder="1" applyAlignment="1">
      <alignment horizontal="center" vertical="center"/>
    </xf>
    <xf numFmtId="0" fontId="5" fillId="7" borderId="86" xfId="0" applyFont="1" applyFill="1" applyBorder="1" applyAlignment="1">
      <alignment horizontal="center" vertical="center"/>
    </xf>
    <xf numFmtId="0" fontId="5" fillId="7" borderId="87" xfId="0" applyFont="1" applyFill="1" applyBorder="1" applyAlignment="1">
      <alignment horizontal="center" vertical="center"/>
    </xf>
    <xf numFmtId="0" fontId="5" fillId="7" borderId="97" xfId="0" applyFont="1" applyFill="1" applyBorder="1" applyAlignment="1">
      <alignment horizontal="center" vertical="center"/>
    </xf>
    <xf numFmtId="0" fontId="5" fillId="7" borderId="88" xfId="0" applyFont="1" applyFill="1" applyBorder="1" applyAlignment="1">
      <alignment horizontal="center" vertical="center"/>
    </xf>
    <xf numFmtId="170" fontId="26" fillId="5" borderId="75" xfId="0" applyNumberFormat="1" applyFont="1" applyFill="1" applyBorder="1" applyAlignment="1">
      <alignment horizontal="center" vertical="center"/>
    </xf>
    <xf numFmtId="170" fontId="26" fillId="5" borderId="76" xfId="0" applyNumberFormat="1" applyFont="1" applyFill="1" applyBorder="1" applyAlignment="1">
      <alignment horizontal="center" vertical="center"/>
    </xf>
    <xf numFmtId="170" fontId="26" fillId="5" borderId="70" xfId="0" applyNumberFormat="1" applyFont="1" applyFill="1" applyBorder="1" applyAlignment="1">
      <alignment horizontal="center" vertical="center"/>
    </xf>
    <xf numFmtId="171" fontId="26" fillId="5" borderId="8" xfId="0" applyNumberFormat="1" applyFont="1" applyFill="1" applyBorder="1" applyAlignment="1">
      <alignment horizontal="center" vertical="center"/>
    </xf>
    <xf numFmtId="171" fontId="26" fillId="5" borderId="10" xfId="0" applyNumberFormat="1" applyFont="1" applyFill="1" applyBorder="1" applyAlignment="1">
      <alignment horizontal="center" vertical="center"/>
    </xf>
    <xf numFmtId="171" fontId="26" fillId="5" borderId="13" xfId="0" applyNumberFormat="1" applyFont="1" applyFill="1" applyBorder="1" applyAlignment="1">
      <alignment horizontal="center" vertical="center"/>
    </xf>
    <xf numFmtId="0" fontId="0" fillId="5" borderId="84" xfId="0" applyFill="1" applyBorder="1" applyAlignment="1">
      <alignment vertical="center" wrapText="1"/>
    </xf>
    <xf numFmtId="0" fontId="0" fillId="5" borderId="53" xfId="0" applyFill="1" applyBorder="1" applyAlignment="1">
      <alignment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left" vertical="center"/>
    </xf>
    <xf numFmtId="0" fontId="8" fillId="7" borderId="93" xfId="0" applyFont="1" applyFill="1" applyBorder="1" applyAlignment="1">
      <alignment horizontal="left" vertical="center"/>
    </xf>
    <xf numFmtId="0" fontId="8" fillId="7" borderId="80" xfId="0" applyFont="1" applyFill="1" applyBorder="1" applyAlignment="1">
      <alignment horizontal="center"/>
    </xf>
    <xf numFmtId="0" fontId="8" fillId="7" borderId="77" xfId="0" applyFont="1" applyFill="1" applyBorder="1" applyAlignment="1">
      <alignment horizontal="center"/>
    </xf>
    <xf numFmtId="0" fontId="8" fillId="7" borderId="78" xfId="0" applyFont="1" applyFill="1" applyBorder="1" applyAlignment="1">
      <alignment horizontal="center"/>
    </xf>
    <xf numFmtId="0" fontId="8" fillId="7" borderId="90" xfId="0" applyFont="1" applyFill="1" applyBorder="1" applyAlignment="1">
      <alignment horizontal="center" vertical="center"/>
    </xf>
    <xf numFmtId="0" fontId="8" fillId="7" borderId="91" xfId="0" applyFont="1" applyFill="1" applyBorder="1" applyAlignment="1">
      <alignment horizontal="center" vertical="center"/>
    </xf>
    <xf numFmtId="0" fontId="8" fillId="7" borderId="89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0" fillId="4" borderId="79" xfId="0" applyFill="1" applyBorder="1"/>
    <xf numFmtId="0" fontId="0" fillId="4" borderId="28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1" fillId="4" borderId="60" xfId="0" applyFont="1" applyFill="1" applyBorder="1" applyAlignment="1">
      <alignment horizontal="center" vertical="center"/>
    </xf>
    <xf numFmtId="2" fontId="0" fillId="4" borderId="60" xfId="0" applyNumberFormat="1" applyFill="1" applyBorder="1" applyAlignment="1">
      <alignment horizontal="center" vertical="center"/>
    </xf>
    <xf numFmtId="0" fontId="8" fillId="11" borderId="44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 wrapText="1"/>
    </xf>
    <xf numFmtId="0" fontId="8" fillId="11" borderId="93" xfId="0" applyFont="1" applyFill="1" applyBorder="1" applyAlignment="1">
      <alignment horizontal="center" vertical="center" wrapText="1"/>
    </xf>
    <xf numFmtId="0" fontId="9" fillId="4" borderId="79" xfId="0" applyFont="1" applyFill="1" applyBorder="1"/>
    <xf numFmtId="0" fontId="9" fillId="4" borderId="0" xfId="0" applyFont="1" applyFill="1"/>
    <xf numFmtId="0" fontId="0" fillId="4" borderId="79" xfId="0" applyFill="1" applyBorder="1" applyAlignment="1">
      <alignment horizontal="center" vertical="center"/>
    </xf>
    <xf numFmtId="0" fontId="18" fillId="4" borderId="79" xfId="0" applyFont="1" applyFill="1" applyBorder="1" applyAlignment="1">
      <alignment vertical="center"/>
    </xf>
    <xf numFmtId="0" fontId="17" fillId="4" borderId="79" xfId="0" applyFont="1" applyFill="1" applyBorder="1" applyAlignment="1">
      <alignment horizontal="center" vertical="center"/>
    </xf>
    <xf numFmtId="0" fontId="6" fillId="4" borderId="79" xfId="0" applyFont="1" applyFill="1" applyBorder="1"/>
    <xf numFmtId="165" fontId="0" fillId="0" borderId="2" xfId="0" applyNumberFormat="1" applyBorder="1" applyAlignment="1">
      <alignment horizontal="center" vertical="center"/>
    </xf>
    <xf numFmtId="165" fontId="0" fillId="6" borderId="71" xfId="0" applyNumberFormat="1" applyFill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5" fontId="0" fillId="0" borderId="93" xfId="0" applyNumberFormat="1" applyBorder="1" applyAlignment="1">
      <alignment horizontal="center" vertical="center"/>
    </xf>
    <xf numFmtId="165" fontId="0" fillId="6" borderId="11" xfId="0" applyNumberFormat="1" applyFill="1" applyBorder="1" applyAlignment="1">
      <alignment horizontal="center" vertical="center"/>
    </xf>
    <xf numFmtId="165" fontId="0" fillId="6" borderId="70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6" fillId="4" borderId="79" xfId="0" applyFont="1" applyFill="1" applyBorder="1" applyAlignment="1">
      <alignment vertical="center"/>
    </xf>
    <xf numFmtId="0" fontId="15" fillId="4" borderId="79" xfId="0" applyFont="1" applyFill="1" applyBorder="1"/>
    <xf numFmtId="0" fontId="24" fillId="4" borderId="79" xfId="0" applyFont="1" applyFill="1" applyBorder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24" fillId="5" borderId="0" xfId="0" applyFont="1" applyFill="1" applyAlignment="1">
      <alignment vertical="center"/>
    </xf>
    <xf numFmtId="0" fontId="5" fillId="7" borderId="100" xfId="0" applyFont="1" applyFill="1" applyBorder="1" applyAlignment="1">
      <alignment vertical="center"/>
    </xf>
    <xf numFmtId="0" fontId="19" fillId="5" borderId="60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28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5" fillId="7" borderId="103" xfId="0" applyFont="1" applyFill="1" applyBorder="1" applyAlignment="1">
      <alignment horizontal="center" vertical="center" wrapText="1"/>
    </xf>
    <xf numFmtId="0" fontId="5" fillId="7" borderId="104" xfId="0" applyFont="1" applyFill="1" applyBorder="1" applyAlignment="1">
      <alignment horizontal="center" vertical="center" wrapText="1"/>
    </xf>
    <xf numFmtId="0" fontId="19" fillId="5" borderId="26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7" borderId="47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0" fillId="5" borderId="34" xfId="0" applyFill="1" applyBorder="1" applyAlignment="1">
      <alignment vertical="center"/>
    </xf>
    <xf numFmtId="0" fontId="0" fillId="5" borderId="53" xfId="0" applyFill="1" applyBorder="1" applyAlignment="1">
      <alignment vertical="center"/>
    </xf>
    <xf numFmtId="0" fontId="5" fillId="7" borderId="73" xfId="0" applyFont="1" applyFill="1" applyBorder="1" applyAlignment="1">
      <alignment horizontal="center" vertical="center"/>
    </xf>
    <xf numFmtId="0" fontId="5" fillId="7" borderId="61" xfId="0" applyFont="1" applyFill="1" applyBorder="1" applyAlignment="1">
      <alignment horizontal="center" vertical="center"/>
    </xf>
    <xf numFmtId="0" fontId="5" fillId="7" borderId="48" xfId="0" applyFont="1" applyFill="1" applyBorder="1" applyAlignment="1">
      <alignment horizontal="center" vertical="center"/>
    </xf>
    <xf numFmtId="0" fontId="5" fillId="7" borderId="99" xfId="0" applyFont="1" applyFill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5" borderId="106" xfId="0" applyFill="1" applyBorder="1" applyAlignment="1">
      <alignment horizontal="center" vertical="center"/>
    </xf>
    <xf numFmtId="0" fontId="0" fillId="5" borderId="6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107" xfId="0" applyFill="1" applyBorder="1" applyAlignment="1">
      <alignment horizontal="center" vertical="center"/>
    </xf>
    <xf numFmtId="0" fontId="0" fillId="5" borderId="99" xfId="0" applyFill="1" applyBorder="1" applyAlignment="1">
      <alignment horizontal="center" vertical="center"/>
    </xf>
    <xf numFmtId="0" fontId="0" fillId="5" borderId="8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vertical="center"/>
    </xf>
    <xf numFmtId="0" fontId="8" fillId="7" borderId="100" xfId="0" applyFont="1" applyFill="1" applyBorder="1" applyAlignment="1">
      <alignment vertical="center"/>
    </xf>
    <xf numFmtId="0" fontId="8" fillId="7" borderId="81" xfId="0" applyFont="1" applyFill="1" applyBorder="1" applyAlignment="1">
      <alignment vertical="center"/>
    </xf>
    <xf numFmtId="0" fontId="8" fillId="7" borderId="82" xfId="0" applyFont="1" applyFill="1" applyBorder="1" applyAlignment="1">
      <alignment vertical="center"/>
    </xf>
    <xf numFmtId="0" fontId="0" fillId="5" borderId="71" xfId="0" applyFill="1" applyBorder="1" applyAlignment="1">
      <alignment horizontal="center" vertical="center"/>
    </xf>
    <xf numFmtId="0" fontId="0" fillId="4" borderId="19" xfId="0" applyFill="1" applyBorder="1"/>
    <xf numFmtId="0" fontId="5" fillId="7" borderId="0" xfId="0" applyFont="1" applyFill="1" applyAlignment="1">
      <alignment horizontal="center" vertical="center" wrapText="1"/>
    </xf>
    <xf numFmtId="0" fontId="26" fillId="0" borderId="47" xfId="0" applyFont="1" applyBorder="1"/>
    <xf numFmtId="0" fontId="26" fillId="0" borderId="9" xfId="0" applyFont="1" applyBorder="1"/>
    <xf numFmtId="0" fontId="26" fillId="0" borderId="11" xfId="0" applyFont="1" applyBorder="1"/>
    <xf numFmtId="0" fontId="0" fillId="5" borderId="47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5" borderId="99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49" xfId="0" applyFill="1" applyBorder="1" applyAlignment="1">
      <alignment horizontal="center"/>
    </xf>
    <xf numFmtId="2" fontId="0" fillId="8" borderId="48" xfId="0" applyNumberFormat="1" applyFill="1" applyBorder="1" applyAlignment="1">
      <alignment horizontal="center" vertical="center"/>
    </xf>
    <xf numFmtId="2" fontId="0" fillId="8" borderId="99" xfId="0" applyNumberFormat="1" applyFill="1" applyBorder="1" applyAlignment="1">
      <alignment horizontal="center" vertical="center"/>
    </xf>
    <xf numFmtId="2" fontId="0" fillId="8" borderId="49" xfId="0" applyNumberFormat="1" applyFill="1" applyBorder="1" applyAlignment="1">
      <alignment horizontal="center" vertical="center"/>
    </xf>
    <xf numFmtId="2" fontId="0" fillId="10" borderId="40" xfId="0" applyNumberFormat="1" applyFill="1" applyBorder="1" applyAlignment="1">
      <alignment horizontal="center" vertical="center"/>
    </xf>
    <xf numFmtId="2" fontId="0" fillId="10" borderId="41" xfId="0" applyNumberFormat="1" applyFill="1" applyBorder="1" applyAlignment="1">
      <alignment horizontal="center" vertical="center"/>
    </xf>
    <xf numFmtId="2" fontId="0" fillId="10" borderId="42" xfId="0" applyNumberFormat="1" applyFill="1" applyBorder="1" applyAlignment="1">
      <alignment horizontal="center" vertical="center"/>
    </xf>
    <xf numFmtId="2" fontId="0" fillId="14" borderId="47" xfId="0" applyNumberFormat="1" applyFill="1" applyBorder="1" applyAlignment="1">
      <alignment horizontal="center" vertical="center"/>
    </xf>
    <xf numFmtId="2" fontId="0" fillId="14" borderId="34" xfId="0" applyNumberFormat="1" applyFill="1" applyBorder="1" applyAlignment="1">
      <alignment horizontal="center" vertical="center"/>
    </xf>
    <xf numFmtId="2" fontId="0" fillId="14" borderId="73" xfId="0" applyNumberFormat="1" applyFill="1" applyBorder="1" applyAlignment="1">
      <alignment horizontal="center" vertical="center"/>
    </xf>
    <xf numFmtId="2" fontId="0" fillId="14" borderId="41" xfId="0" applyNumberFormat="1" applyFill="1" applyBorder="1" applyAlignment="1">
      <alignment horizontal="center" vertical="center"/>
    </xf>
    <xf numFmtId="2" fontId="0" fillId="14" borderId="42" xfId="0" applyNumberFormat="1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73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29" fillId="5" borderId="0" xfId="0" applyFont="1" applyFill="1"/>
    <xf numFmtId="0" fontId="26" fillId="5" borderId="0" xfId="0" applyFont="1" applyFill="1"/>
    <xf numFmtId="49" fontId="26" fillId="0" borderId="1" xfId="0" applyNumberFormat="1" applyFont="1" applyBorder="1" applyAlignment="1">
      <alignment horizontal="center"/>
    </xf>
    <xf numFmtId="0" fontId="30" fillId="5" borderId="0" xfId="0" applyFont="1" applyFill="1"/>
    <xf numFmtId="0" fontId="26" fillId="13" borderId="1" xfId="0" applyFont="1" applyFill="1" applyBorder="1"/>
    <xf numFmtId="0" fontId="26" fillId="9" borderId="111" xfId="0" applyFont="1" applyFill="1" applyBorder="1"/>
    <xf numFmtId="0" fontId="32" fillId="5" borderId="0" xfId="0" applyFont="1" applyFill="1"/>
    <xf numFmtId="2" fontId="0" fillId="5" borderId="53" xfId="0" applyNumberFormat="1" applyFill="1" applyBorder="1" applyAlignment="1">
      <alignment horizontal="center"/>
    </xf>
    <xf numFmtId="2" fontId="0" fillId="5" borderId="53" xfId="0" applyNumberFormat="1" applyFill="1" applyBorder="1" applyAlignment="1">
      <alignment horizontal="center" vertical="center"/>
    </xf>
    <xf numFmtId="168" fontId="0" fillId="5" borderId="47" xfId="0" applyNumberFormat="1" applyFill="1" applyBorder="1" applyAlignment="1">
      <alignment horizontal="center" vertical="center"/>
    </xf>
    <xf numFmtId="168" fontId="0" fillId="5" borderId="40" xfId="0" applyNumberFormat="1" applyFill="1" applyBorder="1" applyAlignment="1">
      <alignment horizontal="center" vertical="center"/>
    </xf>
    <xf numFmtId="168" fontId="0" fillId="5" borderId="35" xfId="0" applyNumberFormat="1" applyFill="1" applyBorder="1" applyAlignment="1">
      <alignment horizontal="center" vertical="center"/>
    </xf>
    <xf numFmtId="168" fontId="0" fillId="5" borderId="73" xfId="0" applyNumberFormat="1" applyFill="1" applyBorder="1" applyAlignment="1">
      <alignment horizontal="center" vertical="center"/>
    </xf>
    <xf numFmtId="168" fontId="0" fillId="5" borderId="11" xfId="0" applyNumberFormat="1" applyFill="1" applyBorder="1" applyAlignment="1">
      <alignment horizontal="center" vertical="center"/>
    </xf>
    <xf numFmtId="168" fontId="0" fillId="5" borderId="61" xfId="0" applyNumberFormat="1" applyFill="1" applyBorder="1" applyAlignment="1">
      <alignment horizontal="center" vertical="center"/>
    </xf>
    <xf numFmtId="2" fontId="0" fillId="5" borderId="47" xfId="0" applyNumberForma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5" fillId="5" borderId="35" xfId="0" applyNumberFormat="1" applyFont="1" applyFill="1" applyBorder="1" applyAlignment="1">
      <alignment horizontal="center" vertical="center"/>
    </xf>
    <xf numFmtId="2" fontId="5" fillId="7" borderId="35" xfId="0" applyNumberFormat="1" applyFont="1" applyFill="1" applyBorder="1" applyAlignment="1">
      <alignment horizontal="center" vertical="center"/>
    </xf>
    <xf numFmtId="0" fontId="31" fillId="0" borderId="108" xfId="0" applyFont="1" applyBorder="1" applyAlignment="1">
      <alignment horizontal="center" vertical="center" wrapText="1"/>
    </xf>
    <xf numFmtId="0" fontId="31" fillId="0" borderId="113" xfId="0" applyFont="1" applyBorder="1" applyAlignment="1">
      <alignment horizontal="center" vertical="center" wrapText="1"/>
    </xf>
    <xf numFmtId="0" fontId="28" fillId="5" borderId="4" xfId="0" applyFont="1" applyFill="1" applyBorder="1" applyAlignment="1">
      <alignment horizontal="center"/>
    </xf>
    <xf numFmtId="0" fontId="28" fillId="5" borderId="0" xfId="0" applyFont="1" applyFill="1" applyAlignment="1">
      <alignment horizontal="center"/>
    </xf>
    <xf numFmtId="0" fontId="31" fillId="0" borderId="110" xfId="0" applyFont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0" fontId="28" fillId="5" borderId="0" xfId="0" applyFont="1" applyFill="1"/>
    <xf numFmtId="0" fontId="28" fillId="5" borderId="0" xfId="0" applyFont="1" applyFill="1" applyAlignment="1">
      <alignment horizontal="center" vertical="center"/>
    </xf>
    <xf numFmtId="0" fontId="28" fillId="0" borderId="1" xfId="0" applyFont="1" applyBorder="1"/>
    <xf numFmtId="0" fontId="28" fillId="5" borderId="6" xfId="0" applyFont="1" applyFill="1" applyBorder="1" applyAlignment="1">
      <alignment horizontal="center" vertical="center"/>
    </xf>
    <xf numFmtId="0" fontId="28" fillId="5" borderId="1" xfId="0" applyFont="1" applyFill="1" applyBorder="1"/>
    <xf numFmtId="0" fontId="28" fillId="5" borderId="1" xfId="0" applyFont="1" applyFill="1" applyBorder="1" applyAlignment="1">
      <alignment vertical="center"/>
    </xf>
    <xf numFmtId="165" fontId="0" fillId="3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8" fillId="7" borderId="80" xfId="0" applyFont="1" applyFill="1" applyBorder="1" applyAlignment="1">
      <alignment vertical="center"/>
    </xf>
    <xf numFmtId="0" fontId="8" fillId="7" borderId="77" xfId="0" applyFont="1" applyFill="1" applyBorder="1" applyAlignment="1">
      <alignment vertical="center"/>
    </xf>
    <xf numFmtId="0" fontId="8" fillId="7" borderId="78" xfId="0" applyFont="1" applyFill="1" applyBorder="1" applyAlignment="1">
      <alignment vertical="center"/>
    </xf>
    <xf numFmtId="170" fontId="26" fillId="5" borderId="0" xfId="0" applyNumberFormat="1" applyFont="1" applyFill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171" fontId="26" fillId="5" borderId="0" xfId="0" applyNumberFormat="1" applyFont="1" applyFill="1" applyAlignment="1">
      <alignment horizontal="center" vertical="center"/>
    </xf>
    <xf numFmtId="0" fontId="5" fillId="7" borderId="0" xfId="0" applyFont="1" applyFill="1"/>
    <xf numFmtId="2" fontId="0" fillId="5" borderId="0" xfId="0" applyNumberFormat="1" applyFill="1"/>
    <xf numFmtId="0" fontId="27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5" fillId="7" borderId="0" xfId="0" applyFont="1" applyFill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30" xfId="0" applyFill="1" applyBorder="1" applyAlignment="1">
      <alignment horizontal="left" vertical="center"/>
    </xf>
    <xf numFmtId="0" fontId="0" fillId="5" borderId="70" xfId="0" applyFill="1" applyBorder="1" applyAlignment="1">
      <alignment horizontal="left" vertical="center"/>
    </xf>
    <xf numFmtId="0" fontId="0" fillId="5" borderId="71" xfId="0" applyFill="1" applyBorder="1" applyAlignment="1">
      <alignment horizontal="left" vertical="center"/>
    </xf>
    <xf numFmtId="0" fontId="0" fillId="5" borderId="26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70" xfId="0" applyFill="1" applyBorder="1" applyAlignment="1">
      <alignment horizontal="center" vertical="center" wrapText="1"/>
    </xf>
    <xf numFmtId="0" fontId="18" fillId="4" borderId="19" xfId="0" applyFont="1" applyFill="1" applyBorder="1" applyAlignment="1">
      <alignment horizontal="center" vertical="center"/>
    </xf>
    <xf numFmtId="0" fontId="18" fillId="4" borderId="79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79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3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8" borderId="24" xfId="0" applyFont="1" applyFill="1" applyBorder="1" applyAlignment="1">
      <alignment horizontal="center" vertical="center"/>
    </xf>
    <xf numFmtId="0" fontId="15" fillId="8" borderId="29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8" borderId="30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70" xfId="0" applyFont="1" applyFill="1" applyBorder="1" applyAlignment="1">
      <alignment horizontal="center" vertical="center"/>
    </xf>
    <xf numFmtId="0" fontId="15" fillId="8" borderId="71" xfId="0" applyFont="1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70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60" xfId="0" applyFont="1" applyFill="1" applyBorder="1" applyAlignment="1">
      <alignment horizontal="center" vertical="center"/>
    </xf>
    <xf numFmtId="0" fontId="15" fillId="9" borderId="61" xfId="0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9" borderId="29" xfId="0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/>
    </xf>
    <xf numFmtId="0" fontId="15" fillId="4" borderId="79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 vertical="center"/>
    </xf>
    <xf numFmtId="0" fontId="15" fillId="4" borderId="7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/>
    </xf>
    <xf numFmtId="0" fontId="1" fillId="5" borderId="79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71" xfId="0" applyFill="1" applyBorder="1" applyAlignment="1">
      <alignment horizontal="center"/>
    </xf>
    <xf numFmtId="0" fontId="8" fillId="7" borderId="33" xfId="0" applyFont="1" applyFill="1" applyBorder="1" applyAlignment="1">
      <alignment horizontal="left" vertical="center"/>
    </xf>
    <xf numFmtId="0" fontId="8" fillId="7" borderId="20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27" fillId="5" borderId="58" xfId="0" applyFont="1" applyFill="1" applyBorder="1" applyAlignment="1">
      <alignment horizontal="center" vertical="center"/>
    </xf>
    <xf numFmtId="0" fontId="27" fillId="5" borderId="92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70" xfId="0" applyFont="1" applyFill="1" applyBorder="1" applyAlignment="1">
      <alignment horizontal="center" vertical="center"/>
    </xf>
    <xf numFmtId="0" fontId="1" fillId="5" borderId="71" xfId="0" applyFont="1" applyFill="1" applyBorder="1" applyAlignment="1">
      <alignment horizontal="center" vertical="center"/>
    </xf>
    <xf numFmtId="0" fontId="8" fillId="7" borderId="100" xfId="0" applyFont="1" applyFill="1" applyBorder="1" applyAlignment="1">
      <alignment horizontal="center" vertical="center"/>
    </xf>
    <xf numFmtId="0" fontId="8" fillId="7" borderId="101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0" fontId="8" fillId="7" borderId="90" xfId="0" applyFont="1" applyFill="1" applyBorder="1" applyAlignment="1">
      <alignment horizontal="center" vertical="center"/>
    </xf>
    <xf numFmtId="0" fontId="8" fillId="7" borderId="82" xfId="0" applyFont="1" applyFill="1" applyBorder="1" applyAlignment="1">
      <alignment horizontal="center" vertical="center"/>
    </xf>
    <xf numFmtId="0" fontId="8" fillId="7" borderId="91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left" vertical="center"/>
    </xf>
    <xf numFmtId="0" fontId="8" fillId="7" borderId="99" xfId="0" applyFont="1" applyFill="1" applyBorder="1" applyAlignment="1">
      <alignment horizontal="left" vertical="center"/>
    </xf>
    <xf numFmtId="0" fontId="1" fillId="5" borderId="79" xfId="0" applyFont="1" applyFill="1" applyBorder="1" applyAlignment="1">
      <alignment horizontal="center" vertical="center"/>
    </xf>
    <xf numFmtId="0" fontId="8" fillId="7" borderId="53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27" fillId="5" borderId="19" xfId="0" applyFont="1" applyFill="1" applyBorder="1" applyAlignment="1">
      <alignment horizontal="center" vertical="center"/>
    </xf>
    <xf numFmtId="0" fontId="27" fillId="5" borderId="21" xfId="0" applyFont="1" applyFill="1" applyBorder="1" applyAlignment="1">
      <alignment horizontal="center" vertical="center"/>
    </xf>
    <xf numFmtId="0" fontId="8" fillId="7" borderId="47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8" fillId="7" borderId="9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6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3" fillId="4" borderId="79" xfId="0" applyFont="1" applyFill="1" applyBorder="1" applyAlignment="1">
      <alignment horizontal="center"/>
    </xf>
    <xf numFmtId="0" fontId="33" fillId="4" borderId="19" xfId="0" applyFont="1" applyFill="1" applyBorder="1" applyAlignment="1">
      <alignment horizontal="center"/>
    </xf>
    <xf numFmtId="0" fontId="1" fillId="5" borderId="102" xfId="0" applyFont="1" applyFill="1" applyBorder="1" applyAlignment="1">
      <alignment horizontal="center" vertical="center"/>
    </xf>
    <xf numFmtId="0" fontId="1" fillId="5" borderId="105" xfId="0" applyFont="1" applyFill="1" applyBorder="1" applyAlignment="1">
      <alignment horizontal="center" vertical="center"/>
    </xf>
    <xf numFmtId="0" fontId="1" fillId="5" borderId="104" xfId="0" applyFont="1" applyFill="1" applyBorder="1" applyAlignment="1">
      <alignment horizontal="center" vertical="center"/>
    </xf>
    <xf numFmtId="0" fontId="1" fillId="5" borderId="102" xfId="0" applyFont="1" applyFill="1" applyBorder="1" applyAlignment="1">
      <alignment horizontal="center" vertical="center" wrapText="1"/>
    </xf>
    <xf numFmtId="0" fontId="1" fillId="5" borderId="105" xfId="0" applyFont="1" applyFill="1" applyBorder="1" applyAlignment="1">
      <alignment horizontal="center" vertical="center" wrapText="1"/>
    </xf>
    <xf numFmtId="0" fontId="1" fillId="5" borderId="104" xfId="0" applyFont="1" applyFill="1" applyBorder="1" applyAlignment="1">
      <alignment horizontal="center" vertical="center" wrapText="1"/>
    </xf>
    <xf numFmtId="0" fontId="31" fillId="0" borderId="112" xfId="0" applyFont="1" applyBorder="1" applyAlignment="1">
      <alignment horizontal="center" vertical="center" wrapText="1"/>
    </xf>
    <xf numFmtId="0" fontId="31" fillId="0" borderId="109" xfId="0" applyFont="1" applyBorder="1" applyAlignment="1">
      <alignment horizontal="center" vertical="center" wrapText="1"/>
    </xf>
    <xf numFmtId="0" fontId="31" fillId="0" borderId="113" xfId="0" applyFont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 wrapText="1"/>
    </xf>
    <xf numFmtId="0" fontId="28" fillId="5" borderId="5" xfId="0" applyFont="1" applyFill="1" applyBorder="1" applyAlignment="1">
      <alignment horizontal="center" vertical="center" wrapText="1"/>
    </xf>
    <xf numFmtId="171" fontId="31" fillId="0" borderId="112" xfId="0" applyNumberFormat="1" applyFont="1" applyBorder="1" applyAlignment="1">
      <alignment horizontal="center" vertical="center" wrapText="1"/>
    </xf>
    <xf numFmtId="171" fontId="31" fillId="0" borderId="109" xfId="0" applyNumberFormat="1" applyFont="1" applyBorder="1" applyAlignment="1">
      <alignment horizontal="center" vertical="center" wrapText="1"/>
    </xf>
    <xf numFmtId="171" fontId="31" fillId="0" borderId="112" xfId="0" applyNumberFormat="1" applyFont="1" applyBorder="1" applyAlignment="1">
      <alignment horizontal="center" vertical="center"/>
    </xf>
    <xf numFmtId="171" fontId="31" fillId="0" borderId="109" xfId="0" applyNumberFormat="1" applyFont="1" applyBorder="1" applyAlignment="1">
      <alignment horizontal="center" vertical="center"/>
    </xf>
    <xf numFmtId="0" fontId="31" fillId="0" borderId="112" xfId="0" applyFont="1" applyBorder="1" applyAlignment="1">
      <alignment horizontal="center" vertical="center"/>
    </xf>
    <xf numFmtId="0" fontId="31" fillId="0" borderId="109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28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26" fillId="0" borderId="63" xfId="0" applyFont="1" applyBorder="1" applyAlignment="1">
      <alignment horizontal="center" vertical="center"/>
    </xf>
    <xf numFmtId="0" fontId="26" fillId="5" borderId="0" xfId="0" applyFont="1" applyFill="1" applyAlignment="1">
      <alignment horizontal="left" wrapText="1"/>
    </xf>
    <xf numFmtId="0" fontId="29" fillId="0" borderId="26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1" fillId="5" borderId="60" xfId="0" applyFont="1" applyFill="1" applyBorder="1" applyAlignment="1">
      <alignment horizontal="center" vertical="center"/>
    </xf>
    <xf numFmtId="0" fontId="1" fillId="5" borderId="61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71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0" fontId="26" fillId="6" borderId="114" xfId="0" applyFont="1" applyFill="1" applyBorder="1" applyAlignment="1">
      <alignment horizontal="center" vertical="center"/>
    </xf>
    <xf numFmtId="0" fontId="26" fillId="5" borderId="0" xfId="0" applyFont="1" applyFill="1"/>
    <xf numFmtId="0" fontId="26" fillId="15" borderId="76" xfId="0" applyFont="1" applyFill="1" applyBorder="1" applyAlignment="1">
      <alignment horizontal="center"/>
    </xf>
    <xf numFmtId="0" fontId="26" fillId="15" borderId="113" xfId="0" applyFont="1" applyFill="1" applyBorder="1" applyAlignment="1">
      <alignment horizontal="center"/>
    </xf>
    <xf numFmtId="0" fontId="26" fillId="15" borderId="115" xfId="0" applyFont="1" applyFill="1" applyBorder="1" applyAlignment="1">
      <alignment horizontal="center" wrapText="1"/>
    </xf>
    <xf numFmtId="0" fontId="26" fillId="15" borderId="113" xfId="0" applyFont="1" applyFill="1" applyBorder="1" applyAlignment="1">
      <alignment horizontal="center" wrapText="1"/>
    </xf>
    <xf numFmtId="0" fontId="29" fillId="0" borderId="116" xfId="0" applyFont="1" applyBorder="1" applyAlignment="1">
      <alignment horizontal="center" vertical="center"/>
    </xf>
    <xf numFmtId="0" fontId="29" fillId="0" borderId="117" xfId="0" applyFont="1" applyBorder="1" applyAlignment="1">
      <alignment horizontal="center" vertical="center"/>
    </xf>
    <xf numFmtId="0" fontId="29" fillId="0" borderId="11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31" fillId="5" borderId="0" xfId="0" applyFont="1" applyFill="1" applyAlignment="1">
      <alignment horizontal="left" wrapText="1"/>
    </xf>
    <xf numFmtId="0" fontId="29" fillId="0" borderId="2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'Miernik bezwzorcowy'!$C$87</c:f>
              <c:strCache>
                <c:ptCount val="1"/>
                <c:pt idx="0">
                  <c:v>Miernik bezwzorcowy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'Miernik bezwzorcowy'!$B$88:$B$107</c:f>
              <c:strCache>
                <c:ptCount val="20"/>
                <c:pt idx="0">
                  <c:v>Ocean strachu</c:v>
                </c:pt>
                <c:pt idx="1">
                  <c:v>To nie jest kraj dla starych ludzi</c:v>
                </c:pt>
                <c:pt idx="2">
                  <c:v>Incepcja</c:v>
                </c:pt>
                <c:pt idx="3">
                  <c:v>Wyspa tajemnic</c:v>
                </c:pt>
                <c:pt idx="4">
                  <c:v>Efekt motyla</c:v>
                </c:pt>
                <c:pt idx="5">
                  <c:v>Osada</c:v>
                </c:pt>
                <c:pt idx="6">
                  <c:v>Efekt motyla 2</c:v>
                </c:pt>
                <c:pt idx="7">
                  <c:v>Stone</c:v>
                </c:pt>
                <c:pt idx="8">
                  <c:v>Prestiż</c:v>
                </c:pt>
                <c:pt idx="9">
                  <c:v>Autostopowicz</c:v>
                </c:pt>
                <c:pt idx="10">
                  <c:v>Wiem kto mnie zabił</c:v>
                </c:pt>
                <c:pt idx="11">
                  <c:v>Zamieć</c:v>
                </c:pt>
                <c:pt idx="12">
                  <c:v>Kod da Vinci</c:v>
                </c:pt>
                <c:pt idx="13">
                  <c:v>Istota</c:v>
                </c:pt>
                <c:pt idx="14">
                  <c:v>Amerykanin</c:v>
                </c:pt>
                <c:pt idx="15">
                  <c:v>Turysta</c:v>
                </c:pt>
                <c:pt idx="16">
                  <c:v>Zdarzenie</c:v>
                </c:pt>
                <c:pt idx="17">
                  <c:v>Węże w samolocie</c:v>
                </c:pt>
                <c:pt idx="18">
                  <c:v>Nagi instynkt 2</c:v>
                </c:pt>
                <c:pt idx="19">
                  <c:v>Król wojowników</c:v>
                </c:pt>
              </c:strCache>
            </c:strRef>
          </c:cat>
          <c:val>
            <c:numRef>
              <c:f>'Miernik bezwzorcowy'!$C$88:$C$107</c:f>
              <c:numCache>
                <c:formatCode>0.0000</c:formatCode>
                <c:ptCount val="20"/>
                <c:pt idx="0">
                  <c:v>0.52600107335607671</c:v>
                </c:pt>
                <c:pt idx="1">
                  <c:v>0.47211888988245077</c:v>
                </c:pt>
                <c:pt idx="2">
                  <c:v>0.40110095236749438</c:v>
                </c:pt>
                <c:pt idx="3">
                  <c:v>0.24663655583803171</c:v>
                </c:pt>
                <c:pt idx="4">
                  <c:v>0.20651741073010801</c:v>
                </c:pt>
                <c:pt idx="5">
                  <c:v>0.19394347019328934</c:v>
                </c:pt>
                <c:pt idx="6">
                  <c:v>0.19344883404270352</c:v>
                </c:pt>
                <c:pt idx="7">
                  <c:v>0.18807806610514055</c:v>
                </c:pt>
                <c:pt idx="8">
                  <c:v>0.17688682359859412</c:v>
                </c:pt>
                <c:pt idx="9">
                  <c:v>0.15965155279782609</c:v>
                </c:pt>
                <c:pt idx="10">
                  <c:v>0.1535809898155788</c:v>
                </c:pt>
                <c:pt idx="11">
                  <c:v>0.13652831114301783</c:v>
                </c:pt>
                <c:pt idx="12">
                  <c:v>0.13310715153703909</c:v>
                </c:pt>
                <c:pt idx="13">
                  <c:v>0.11035701150321557</c:v>
                </c:pt>
                <c:pt idx="14">
                  <c:v>0.10877743602481338</c:v>
                </c:pt>
                <c:pt idx="15">
                  <c:v>0.10608469312409391</c:v>
                </c:pt>
                <c:pt idx="16">
                  <c:v>0.10117925830165744</c:v>
                </c:pt>
                <c:pt idx="17">
                  <c:v>8.2703292187294386E-2</c:v>
                </c:pt>
                <c:pt idx="18">
                  <c:v>6.2950263858956967E-2</c:v>
                </c:pt>
                <c:pt idx="19">
                  <c:v>3.3832808434846928E-2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2-4CBB-9232-8C4705FA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907400"/>
        <c:axId val="1022909448"/>
      </c:barChart>
      <c:catAx>
        <c:axId val="10229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2909448"/>
        <c:crosses val="autoZero"/>
        <c:auto val="1"/>
        <c:lblAlgn val="ctr"/>
        <c:lblOffset val="100"/>
        <c:noMultiLvlLbl val="0"/>
      </c:catAx>
      <c:valAx>
        <c:axId val="10229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290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'Miernik TOPSIS'!$C$103</c:f>
              <c:strCache>
                <c:ptCount val="1"/>
                <c:pt idx="0">
                  <c:v>Miernik TOPSIS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'Miernik TOPSIS'!$B$104:$B$123</c:f>
              <c:strCache>
                <c:ptCount val="20"/>
                <c:pt idx="0">
                  <c:v>Ocean strachu</c:v>
                </c:pt>
                <c:pt idx="1">
                  <c:v>Incepcja</c:v>
                </c:pt>
                <c:pt idx="2">
                  <c:v>To nie jest kraj dla starych ludzi</c:v>
                </c:pt>
                <c:pt idx="3">
                  <c:v>Efekt motyla 2</c:v>
                </c:pt>
                <c:pt idx="4">
                  <c:v>Efekt motyla</c:v>
                </c:pt>
                <c:pt idx="5">
                  <c:v>Wyspa tajemnic</c:v>
                </c:pt>
                <c:pt idx="6">
                  <c:v>Stone</c:v>
                </c:pt>
                <c:pt idx="7">
                  <c:v>Osada</c:v>
                </c:pt>
                <c:pt idx="8">
                  <c:v>Autostopowicz</c:v>
                </c:pt>
                <c:pt idx="9">
                  <c:v>Wiem kto mnie zabił</c:v>
                </c:pt>
                <c:pt idx="10">
                  <c:v>Zamieć</c:v>
                </c:pt>
                <c:pt idx="11">
                  <c:v>Istota</c:v>
                </c:pt>
                <c:pt idx="12">
                  <c:v>Prestiż</c:v>
                </c:pt>
                <c:pt idx="13">
                  <c:v>Turysta</c:v>
                </c:pt>
                <c:pt idx="14">
                  <c:v>Zdarzenie</c:v>
                </c:pt>
                <c:pt idx="15">
                  <c:v>Kod da Vinci</c:v>
                </c:pt>
                <c:pt idx="16">
                  <c:v>Amerykanin</c:v>
                </c:pt>
                <c:pt idx="17">
                  <c:v>Węże w samolocie</c:v>
                </c:pt>
                <c:pt idx="18">
                  <c:v>Nagi instynkt 2</c:v>
                </c:pt>
                <c:pt idx="19">
                  <c:v>Król wojowników</c:v>
                </c:pt>
              </c:strCache>
            </c:strRef>
          </c:cat>
          <c:val>
            <c:numRef>
              <c:f>'Miernik TOPSIS'!$C$104:$C$123</c:f>
              <c:numCache>
                <c:formatCode>0.0000</c:formatCode>
                <c:ptCount val="20"/>
                <c:pt idx="0">
                  <c:v>0.56185555843567203</c:v>
                </c:pt>
                <c:pt idx="1">
                  <c:v>0.42984870272803571</c:v>
                </c:pt>
                <c:pt idx="2">
                  <c:v>0.41449451600107518</c:v>
                </c:pt>
                <c:pt idx="3">
                  <c:v>0.25830626083121039</c:v>
                </c:pt>
                <c:pt idx="4">
                  <c:v>0.24966398586990529</c:v>
                </c:pt>
                <c:pt idx="5">
                  <c:v>0.22980446271765975</c:v>
                </c:pt>
                <c:pt idx="6">
                  <c:v>0.22644347939290094</c:v>
                </c:pt>
                <c:pt idx="7">
                  <c:v>0.20482639177978526</c:v>
                </c:pt>
                <c:pt idx="8">
                  <c:v>0.19608626547129937</c:v>
                </c:pt>
                <c:pt idx="9">
                  <c:v>0.18130553795643464</c:v>
                </c:pt>
                <c:pt idx="10">
                  <c:v>0.17561569104116911</c:v>
                </c:pt>
                <c:pt idx="11">
                  <c:v>0.16948294957846788</c:v>
                </c:pt>
                <c:pt idx="12">
                  <c:v>0.16603193108591296</c:v>
                </c:pt>
                <c:pt idx="13">
                  <c:v>0.12963437061425132</c:v>
                </c:pt>
                <c:pt idx="14">
                  <c:v>0.12531764656556324</c:v>
                </c:pt>
                <c:pt idx="15">
                  <c:v>0.12524569466283958</c:v>
                </c:pt>
                <c:pt idx="16">
                  <c:v>0.1107610574138676</c:v>
                </c:pt>
                <c:pt idx="17">
                  <c:v>9.7207179952641887E-2</c:v>
                </c:pt>
                <c:pt idx="18">
                  <c:v>7.3283510003543648E-2</c:v>
                </c:pt>
                <c:pt idx="19">
                  <c:v>7.2052699045080576E-2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B-4665-B2E2-5330880D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929928"/>
        <c:axId val="1957258248"/>
      </c:barChart>
      <c:catAx>
        <c:axId val="102292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7258248"/>
        <c:crosses val="autoZero"/>
        <c:auto val="1"/>
        <c:lblAlgn val="ctr"/>
        <c:lblOffset val="100"/>
        <c:noMultiLvlLbl val="0"/>
      </c:catAx>
      <c:valAx>
        <c:axId val="19572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292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581025</xdr:colOff>
      <xdr:row>22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38A1C5-6A23-4CC8-84E1-9E653441D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13</xdr:col>
      <xdr:colOff>533400</xdr:colOff>
      <xdr:row>43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521361E-DA03-46A5-AB8F-9820CD6BD07F}"/>
            </a:ext>
            <a:ext uri="{147F2762-F138-4A5C-976F-8EAC2B608ADB}">
              <a16:predDERef xmlns:a16="http://schemas.microsoft.com/office/drawing/2014/main" pred="{A038A1C5-6A23-4CC8-84E1-9E653441D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1</xdr:row>
      <xdr:rowOff>95250</xdr:rowOff>
    </xdr:from>
    <xdr:to>
      <xdr:col>17</xdr:col>
      <xdr:colOff>542925</xdr:colOff>
      <xdr:row>24</xdr:row>
      <xdr:rowOff>85725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1AEC2ED-D530-269E-F71A-37F752287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285750"/>
          <a:ext cx="6267450" cy="468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1</xdr:row>
      <xdr:rowOff>133350</xdr:rowOff>
    </xdr:from>
    <xdr:to>
      <xdr:col>18</xdr:col>
      <xdr:colOff>200025</xdr:colOff>
      <xdr:row>24</xdr:row>
      <xdr:rowOff>123825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F8EFA72-2F26-8D28-4DB3-E4AF8E72E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323850"/>
          <a:ext cx="6000750" cy="4467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1</xdr:row>
      <xdr:rowOff>123825</xdr:rowOff>
    </xdr:from>
    <xdr:to>
      <xdr:col>18</xdr:col>
      <xdr:colOff>228600</xdr:colOff>
      <xdr:row>25</xdr:row>
      <xdr:rowOff>95250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F1825345-17C4-19E3-9880-EF207E770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314325"/>
          <a:ext cx="6067425" cy="4543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53</xdr:row>
      <xdr:rowOff>57150</xdr:rowOff>
    </xdr:from>
    <xdr:to>
      <xdr:col>11</xdr:col>
      <xdr:colOff>1457325</xdr:colOff>
      <xdr:row>59</xdr:row>
      <xdr:rowOff>114300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A4C0D54-CF8A-43C8-893B-F8816438A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0200" y="11010900"/>
          <a:ext cx="3762375" cy="1200150"/>
        </a:xfrm>
        <a:prstGeom prst="rect">
          <a:avLst/>
        </a:prstGeom>
      </xdr:spPr>
    </xdr:pic>
    <xdr:clientData/>
  </xdr:twoCellAnchor>
  <xdr:twoCellAnchor>
    <xdr:from>
      <xdr:col>15</xdr:col>
      <xdr:colOff>114300</xdr:colOff>
      <xdr:row>86</xdr:row>
      <xdr:rowOff>28575</xdr:rowOff>
    </xdr:from>
    <xdr:to>
      <xdr:col>15</xdr:col>
      <xdr:colOff>1009650</xdr:colOff>
      <xdr:row>95</xdr:row>
      <xdr:rowOff>333375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E6E04E6B-96B4-7D64-ADD9-892693BC97FF}"/>
            </a:ext>
            <a:ext uri="{147F2762-F138-4A5C-976F-8EAC2B608ADB}">
              <a16:predDERef xmlns:a16="http://schemas.microsoft.com/office/drawing/2014/main" pred="{6A4C0D54-CF8A-43C8-893B-F8816438A4F3}"/>
            </a:ext>
          </a:extLst>
        </xdr:cNvPr>
        <xdr:cNvSpPr txBox="1"/>
      </xdr:nvSpPr>
      <xdr:spPr>
        <a:xfrm rot="16200000">
          <a:off x="15144750" y="19278600"/>
          <a:ext cx="400050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CZYSTE DANE W PODZIALE NA SKUPIENIA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104775</xdr:rowOff>
    </xdr:from>
    <xdr:to>
      <xdr:col>8</xdr:col>
      <xdr:colOff>447675</xdr:colOff>
      <xdr:row>12</xdr:row>
      <xdr:rowOff>76200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8D83539-5BA2-51A7-BF96-7C42CDC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85800"/>
          <a:ext cx="5905500" cy="168592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14</xdr:row>
      <xdr:rowOff>142875</xdr:rowOff>
    </xdr:from>
    <xdr:to>
      <xdr:col>13</xdr:col>
      <xdr:colOff>504825</xdr:colOff>
      <xdr:row>25</xdr:row>
      <xdr:rowOff>85725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F288142-60D1-3098-5F62-AC534E334E99}"/>
            </a:ext>
            <a:ext uri="{147F2762-F138-4A5C-976F-8EAC2B608ADB}">
              <a16:predDERef xmlns:a16="http://schemas.microsoft.com/office/drawing/2014/main" pred="{A8D83539-5BA2-51A7-BF96-7C42CDC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2819400"/>
          <a:ext cx="9401175" cy="203835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43</xdr:row>
      <xdr:rowOff>0</xdr:rowOff>
    </xdr:from>
    <xdr:to>
      <xdr:col>0</xdr:col>
      <xdr:colOff>523875</xdr:colOff>
      <xdr:row>44</xdr:row>
      <xdr:rowOff>38100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FC2485F-5558-A848-88BF-24EBC29B5521}"/>
            </a:ext>
            <a:ext uri="{147F2762-F138-4A5C-976F-8EAC2B608ADB}">
              <a16:predDERef xmlns:a16="http://schemas.microsoft.com/office/drawing/2014/main" pred="{CF288142-60D1-3098-5F62-AC534E334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391525"/>
          <a:ext cx="257175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42</xdr:row>
      <xdr:rowOff>0</xdr:rowOff>
    </xdr:from>
    <xdr:to>
      <xdr:col>0</xdr:col>
      <xdr:colOff>533400</xdr:colOff>
      <xdr:row>43</xdr:row>
      <xdr:rowOff>162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A5EF1C2-3A9D-D872-3F61-3F32CB5C9549}"/>
            </a:ext>
            <a:ext uri="{147F2762-F138-4A5C-976F-8EAC2B608ADB}">
              <a16:predDERef xmlns:a16="http://schemas.microsoft.com/office/drawing/2014/main" pred="{AFC2485F-5558-A848-88BF-24EBC29B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" y="8201025"/>
          <a:ext cx="266700" cy="180975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43</xdr:row>
      <xdr:rowOff>0</xdr:rowOff>
    </xdr:from>
    <xdr:to>
      <xdr:col>4</xdr:col>
      <xdr:colOff>523875</xdr:colOff>
      <xdr:row>44</xdr:row>
      <xdr:rowOff>38100</xdr:rowOff>
    </xdr:to>
    <xdr:pic>
      <xdr:nvPicPr>
        <xdr:cNvPr id="6" name="Obraz 3">
          <a:extLst>
            <a:ext uri="{FF2B5EF4-FFF2-40B4-BE49-F238E27FC236}">
              <a16:creationId xmlns:a16="http://schemas.microsoft.com/office/drawing/2014/main" id="{C02D6752-7BBC-4130-8875-1FA5EB56229D}"/>
            </a:ext>
            <a:ext uri="{147F2762-F138-4A5C-976F-8EAC2B608ADB}">
              <a16:predDERef xmlns:a16="http://schemas.microsoft.com/office/drawing/2014/main" pred="{1A5EF1C2-3A9D-D872-3F61-3F32CB5C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391525"/>
          <a:ext cx="257175" cy="2286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42</xdr:row>
      <xdr:rowOff>0</xdr:rowOff>
    </xdr:from>
    <xdr:to>
      <xdr:col>4</xdr:col>
      <xdr:colOff>533400</xdr:colOff>
      <xdr:row>43</xdr:row>
      <xdr:rowOff>162</xdr:rowOff>
    </xdr:to>
    <xdr:pic>
      <xdr:nvPicPr>
        <xdr:cNvPr id="7" name="Obraz 4">
          <a:extLst>
            <a:ext uri="{FF2B5EF4-FFF2-40B4-BE49-F238E27FC236}">
              <a16:creationId xmlns:a16="http://schemas.microsoft.com/office/drawing/2014/main" id="{AC4C7F1B-BB1C-4C7E-B4F2-A51DD488AEA5}"/>
            </a:ext>
            <a:ext uri="{147F2762-F138-4A5C-976F-8EAC2B608ADB}">
              <a16:predDERef xmlns:a16="http://schemas.microsoft.com/office/drawing/2014/main" pred="{C02D6752-7BBC-4130-8875-1FA5EB562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" y="8201025"/>
          <a:ext cx="266700" cy="180975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43</xdr:row>
      <xdr:rowOff>0</xdr:rowOff>
    </xdr:from>
    <xdr:to>
      <xdr:col>8</xdr:col>
      <xdr:colOff>523875</xdr:colOff>
      <xdr:row>44</xdr:row>
      <xdr:rowOff>38100</xdr:rowOff>
    </xdr:to>
    <xdr:pic>
      <xdr:nvPicPr>
        <xdr:cNvPr id="8" name="Obraz 3">
          <a:extLst>
            <a:ext uri="{FF2B5EF4-FFF2-40B4-BE49-F238E27FC236}">
              <a16:creationId xmlns:a16="http://schemas.microsoft.com/office/drawing/2014/main" id="{26AAE990-1B06-4108-8C2A-47AB7B674A87}"/>
            </a:ext>
            <a:ext uri="{147F2762-F138-4A5C-976F-8EAC2B608ADB}">
              <a16:predDERef xmlns:a16="http://schemas.microsoft.com/office/drawing/2014/main" pred="{AC4C7F1B-BB1C-4C7E-B4F2-A51DD488A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391525"/>
          <a:ext cx="257175" cy="228600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42</xdr:row>
      <xdr:rowOff>0</xdr:rowOff>
    </xdr:from>
    <xdr:to>
      <xdr:col>8</xdr:col>
      <xdr:colOff>533400</xdr:colOff>
      <xdr:row>43</xdr:row>
      <xdr:rowOff>162</xdr:rowOff>
    </xdr:to>
    <xdr:pic>
      <xdr:nvPicPr>
        <xdr:cNvPr id="9" name="Obraz 4">
          <a:extLst>
            <a:ext uri="{FF2B5EF4-FFF2-40B4-BE49-F238E27FC236}">
              <a16:creationId xmlns:a16="http://schemas.microsoft.com/office/drawing/2014/main" id="{08FF64A3-9DFA-4B55-9D86-857D11D5E819}"/>
            </a:ext>
            <a:ext uri="{147F2762-F138-4A5C-976F-8EAC2B608ADB}">
              <a16:predDERef xmlns:a16="http://schemas.microsoft.com/office/drawing/2014/main" pred="{26AAE990-1B06-4108-8C2A-47AB7B674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" y="8201025"/>
          <a:ext cx="266700" cy="180975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43</xdr:row>
      <xdr:rowOff>0</xdr:rowOff>
    </xdr:from>
    <xdr:to>
      <xdr:col>12</xdr:col>
      <xdr:colOff>523875</xdr:colOff>
      <xdr:row>44</xdr:row>
      <xdr:rowOff>38100</xdr:rowOff>
    </xdr:to>
    <xdr:pic>
      <xdr:nvPicPr>
        <xdr:cNvPr id="10" name="Obraz 3">
          <a:extLst>
            <a:ext uri="{FF2B5EF4-FFF2-40B4-BE49-F238E27FC236}">
              <a16:creationId xmlns:a16="http://schemas.microsoft.com/office/drawing/2014/main" id="{230C2F1A-DE86-4CBC-952E-F2303E24792B}"/>
            </a:ext>
            <a:ext uri="{147F2762-F138-4A5C-976F-8EAC2B608ADB}">
              <a16:predDERef xmlns:a16="http://schemas.microsoft.com/office/drawing/2014/main" pred="{08FF64A3-9DFA-4B55-9D86-857D11D5E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391525"/>
          <a:ext cx="257175" cy="2286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42</xdr:row>
      <xdr:rowOff>0</xdr:rowOff>
    </xdr:from>
    <xdr:to>
      <xdr:col>12</xdr:col>
      <xdr:colOff>533400</xdr:colOff>
      <xdr:row>43</xdr:row>
      <xdr:rowOff>162</xdr:rowOff>
    </xdr:to>
    <xdr:pic>
      <xdr:nvPicPr>
        <xdr:cNvPr id="11" name="Obraz 4">
          <a:extLst>
            <a:ext uri="{FF2B5EF4-FFF2-40B4-BE49-F238E27FC236}">
              <a16:creationId xmlns:a16="http://schemas.microsoft.com/office/drawing/2014/main" id="{6CEE211C-4D01-4114-920E-DEA5AB90241D}"/>
            </a:ext>
            <a:ext uri="{147F2762-F138-4A5C-976F-8EAC2B608ADB}">
              <a16:predDERef xmlns:a16="http://schemas.microsoft.com/office/drawing/2014/main" pred="{230C2F1A-DE86-4CBC-952E-F2303E24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" y="8201025"/>
          <a:ext cx="266700" cy="18097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95</xdr:row>
      <xdr:rowOff>66675</xdr:rowOff>
    </xdr:from>
    <xdr:to>
      <xdr:col>9</xdr:col>
      <xdr:colOff>571500</xdr:colOff>
      <xdr:row>95</xdr:row>
      <xdr:rowOff>323850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9BA8CC4C-00E5-A227-203D-FBFE04B27E14}"/>
            </a:ext>
            <a:ext uri="{147F2762-F138-4A5C-976F-8EAC2B608ADB}">
              <a16:predDERef xmlns:a16="http://schemas.microsoft.com/office/drawing/2014/main" pred="{6CEE211C-4D01-4114-920E-DEA5AB902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15125" y="18335625"/>
          <a:ext cx="447675" cy="25717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87</xdr:row>
      <xdr:rowOff>66675</xdr:rowOff>
    </xdr:from>
    <xdr:to>
      <xdr:col>9</xdr:col>
      <xdr:colOff>571500</xdr:colOff>
      <xdr:row>87</xdr:row>
      <xdr:rowOff>323850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F7FB8574-4DEE-4B5D-89B5-B1047A16C1CC}"/>
            </a:ext>
            <a:ext uri="{147F2762-F138-4A5C-976F-8EAC2B608ADB}">
              <a16:predDERef xmlns:a16="http://schemas.microsoft.com/office/drawing/2014/main" pred="{9BA8CC4C-00E5-A227-203D-FBFE04B27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15125" y="16459200"/>
          <a:ext cx="447675" cy="257175"/>
        </a:xfrm>
        <a:prstGeom prst="rect">
          <a:avLst/>
        </a:prstGeom>
      </xdr:spPr>
    </xdr:pic>
    <xdr:clientData/>
  </xdr:twoCellAnchor>
  <xdr:twoCellAnchor editAs="oneCell">
    <xdr:from>
      <xdr:col>19</xdr:col>
      <xdr:colOff>47625</xdr:colOff>
      <xdr:row>87</xdr:row>
      <xdr:rowOff>47625</xdr:rowOff>
    </xdr:from>
    <xdr:to>
      <xdr:col>19</xdr:col>
      <xdr:colOff>495300</xdr:colOff>
      <xdr:row>87</xdr:row>
      <xdr:rowOff>304800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CBD0C668-8917-41F8-85E2-3535CDEB8F57}"/>
            </a:ext>
            <a:ext uri="{147F2762-F138-4A5C-976F-8EAC2B608ADB}">
              <a16:predDERef xmlns:a16="http://schemas.microsoft.com/office/drawing/2014/main" pred="{F7FB8574-4DEE-4B5D-89B5-B1047A16C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87450" y="16440150"/>
          <a:ext cx="447675" cy="257175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95</xdr:row>
      <xdr:rowOff>57150</xdr:rowOff>
    </xdr:from>
    <xdr:to>
      <xdr:col>19</xdr:col>
      <xdr:colOff>514350</xdr:colOff>
      <xdr:row>95</xdr:row>
      <xdr:rowOff>314325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4362F64B-0881-4C85-8910-B8D8793CAC52}"/>
            </a:ext>
            <a:ext uri="{147F2762-F138-4A5C-976F-8EAC2B608ADB}">
              <a16:predDERef xmlns:a16="http://schemas.microsoft.com/office/drawing/2014/main" pred="{CBD0C668-8917-41F8-85E2-3535CDEB8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0" y="18326100"/>
          <a:ext cx="447675" cy="25717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107</xdr:row>
      <xdr:rowOff>171450</xdr:rowOff>
    </xdr:from>
    <xdr:to>
      <xdr:col>12</xdr:col>
      <xdr:colOff>542925</xdr:colOff>
      <xdr:row>109</xdr:row>
      <xdr:rowOff>0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A4A78A73-775C-DE2D-3E46-B1E5D6D39A22}"/>
            </a:ext>
            <a:ext uri="{147F2762-F138-4A5C-976F-8EAC2B608ADB}">
              <a16:predDERef xmlns:a16="http://schemas.microsoft.com/office/drawing/2014/main" pred="{4362F64B-0881-4C85-8910-B8D8793CA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48775" y="21850350"/>
          <a:ext cx="466725" cy="20955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124</xdr:row>
      <xdr:rowOff>171450</xdr:rowOff>
    </xdr:from>
    <xdr:to>
      <xdr:col>12</xdr:col>
      <xdr:colOff>542925</xdr:colOff>
      <xdr:row>126</xdr:row>
      <xdr:rowOff>0</xdr:rowOff>
    </xdr:to>
    <xdr:pic>
      <xdr:nvPicPr>
        <xdr:cNvPr id="18" name="Obraz 16">
          <a:extLst>
            <a:ext uri="{FF2B5EF4-FFF2-40B4-BE49-F238E27FC236}">
              <a16:creationId xmlns:a16="http://schemas.microsoft.com/office/drawing/2014/main" id="{5389EE7B-0B21-4021-849B-09105F652E40}"/>
            </a:ext>
            <a:ext uri="{147F2762-F138-4A5C-976F-8EAC2B608ADB}">
              <a16:predDERef xmlns:a16="http://schemas.microsoft.com/office/drawing/2014/main" pred="{A4A78A73-775C-DE2D-3E46-B1E5D6D39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48775" y="21850350"/>
          <a:ext cx="466725" cy="20955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141</xdr:row>
      <xdr:rowOff>171450</xdr:rowOff>
    </xdr:from>
    <xdr:to>
      <xdr:col>12</xdr:col>
      <xdr:colOff>542925</xdr:colOff>
      <xdr:row>143</xdr:row>
      <xdr:rowOff>0</xdr:rowOff>
    </xdr:to>
    <xdr:pic>
      <xdr:nvPicPr>
        <xdr:cNvPr id="19" name="Obraz 16">
          <a:extLst>
            <a:ext uri="{FF2B5EF4-FFF2-40B4-BE49-F238E27FC236}">
              <a16:creationId xmlns:a16="http://schemas.microsoft.com/office/drawing/2014/main" id="{061FA578-8E77-4988-81F1-8E1818FB0AFC}"/>
            </a:ext>
            <a:ext uri="{147F2762-F138-4A5C-976F-8EAC2B608ADB}">
              <a16:predDERef xmlns:a16="http://schemas.microsoft.com/office/drawing/2014/main" pred="{5389EE7B-0B21-4021-849B-09105F652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48775" y="21850350"/>
          <a:ext cx="466725" cy="209550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323850</xdr:colOff>
      <xdr:row>121</xdr:row>
      <xdr:rowOff>161925</xdr:rowOff>
    </xdr:from>
    <xdr:to>
      <xdr:col>20</xdr:col>
      <xdr:colOff>381000</xdr:colOff>
      <xdr:row>130</xdr:row>
      <xdr:rowOff>162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5F7DF567-F3BF-0BAD-54EA-BB07BA4F437B}"/>
            </a:ext>
            <a:ext uri="{147F2762-F138-4A5C-976F-8EAC2B608ADB}">
              <a16:predDERef xmlns:a16="http://schemas.microsoft.com/office/drawing/2014/main" pred="{061FA578-8E77-4988-81F1-8E1818FB0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87075" y="24507825"/>
          <a:ext cx="4191000" cy="1543050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28575</xdr:colOff>
      <xdr:row>133</xdr:row>
      <xdr:rowOff>133350</xdr:rowOff>
    </xdr:from>
    <xdr:to>
      <xdr:col>22</xdr:col>
      <xdr:colOff>581025</xdr:colOff>
      <xdr:row>135</xdr:row>
      <xdr:rowOff>47625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6382A8F0-3244-2A3A-E07B-CD1BF87674BA}"/>
            </a:ext>
            <a:ext uri="{147F2762-F138-4A5C-976F-8EAC2B608ADB}">
              <a16:predDERef xmlns:a16="http://schemas.microsoft.com/office/drawing/2014/main" pred="{5F7DF567-F3BF-0BAD-54EA-BB07BA4F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35325" y="26765250"/>
          <a:ext cx="552450" cy="295275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2</xdr:row>
      <xdr:rowOff>142875</xdr:rowOff>
    </xdr:from>
    <xdr:to>
      <xdr:col>23</xdr:col>
      <xdr:colOff>238125</xdr:colOff>
      <xdr:row>26</xdr:row>
      <xdr:rowOff>161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BEAE9E8-9675-E56A-954E-723D9CC2C0DD}"/>
            </a:ext>
            <a:ext uri="{147F2762-F138-4A5C-976F-8EAC2B608ADB}">
              <a16:predDERef xmlns:a16="http://schemas.microsoft.com/office/drawing/2014/main" pred="{6382A8F0-3244-2A3A-E07B-CD1BF8767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77550" y="533400"/>
          <a:ext cx="5886450" cy="4419600"/>
        </a:xfrm>
        <a:prstGeom prst="rect">
          <a:avLst/>
        </a:prstGeom>
      </xdr:spPr>
    </xdr:pic>
    <xdr:clientData/>
  </xdr:twoCellAnchor>
  <xdr:twoCellAnchor editAs="oneCell">
    <xdr:from>
      <xdr:col>23</xdr:col>
      <xdr:colOff>352425</xdr:colOff>
      <xdr:row>2</xdr:row>
      <xdr:rowOff>142875</xdr:rowOff>
    </xdr:from>
    <xdr:to>
      <xdr:col>33</xdr:col>
      <xdr:colOff>123825</xdr:colOff>
      <xdr:row>26</xdr:row>
      <xdr:rowOff>161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C11ED2A4-5944-C241-D120-8EFD7F5303E0}"/>
            </a:ext>
            <a:ext uri="{147F2762-F138-4A5C-976F-8EAC2B608ADB}">
              <a16:predDERef xmlns:a16="http://schemas.microsoft.com/office/drawing/2014/main" pred="{6BEAE9E8-9675-E56A-954E-723D9CC2C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878300" y="533400"/>
          <a:ext cx="5876925" cy="4419600"/>
        </a:xfrm>
        <a:prstGeom prst="rect">
          <a:avLst/>
        </a:prstGeom>
      </xdr:spPr>
    </xdr:pic>
    <xdr:clientData/>
  </xdr:twoCellAnchor>
  <xdr:twoCellAnchor editAs="oneCell">
    <xdr:from>
      <xdr:col>33</xdr:col>
      <xdr:colOff>161925</xdr:colOff>
      <xdr:row>2</xdr:row>
      <xdr:rowOff>161925</xdr:rowOff>
    </xdr:from>
    <xdr:to>
      <xdr:col>42</xdr:col>
      <xdr:colOff>581025</xdr:colOff>
      <xdr:row>26</xdr:row>
      <xdr:rowOff>19050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EC90E122-FC45-86BB-CC25-6116CACC27C6}"/>
            </a:ext>
            <a:ext uri="{147F2762-F138-4A5C-976F-8EAC2B608ADB}">
              <a16:predDERef xmlns:a16="http://schemas.microsoft.com/office/drawing/2014/main" pred="{C11ED2A4-5944-C241-D120-8EFD7F530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793325" y="552450"/>
          <a:ext cx="5905500" cy="4429125"/>
        </a:xfrm>
        <a:prstGeom prst="rect">
          <a:avLst/>
        </a:prstGeom>
      </xdr:spPr>
    </xdr:pic>
    <xdr:clientData/>
  </xdr:twoCellAnchor>
  <xdr:twoCellAnchor editAs="oneCell">
    <xdr:from>
      <xdr:col>43</xdr:col>
      <xdr:colOff>161925</xdr:colOff>
      <xdr:row>2</xdr:row>
      <xdr:rowOff>142875</xdr:rowOff>
    </xdr:from>
    <xdr:to>
      <xdr:col>52</xdr:col>
      <xdr:colOff>571500</xdr:colOff>
      <xdr:row>26</xdr:row>
      <xdr:rowOff>0</xdr:rowOff>
    </xdr:to>
    <xdr:pic>
      <xdr:nvPicPr>
        <xdr:cNvPr id="24" name="Obraz 23">
          <a:extLst>
            <a:ext uri="{FF2B5EF4-FFF2-40B4-BE49-F238E27FC236}">
              <a16:creationId xmlns:a16="http://schemas.microsoft.com/office/drawing/2014/main" id="{D17E45D8-B378-C51D-F79B-0F66C39699F3}"/>
            </a:ext>
            <a:ext uri="{147F2762-F138-4A5C-976F-8EAC2B608ADB}">
              <a16:predDERef xmlns:a16="http://schemas.microsoft.com/office/drawing/2014/main" pred="{EC90E122-FC45-86BB-CC25-6116CACC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889325" y="533400"/>
          <a:ext cx="5895975" cy="4429125"/>
        </a:xfrm>
        <a:prstGeom prst="rect">
          <a:avLst/>
        </a:prstGeom>
      </xdr:spPr>
    </xdr:pic>
    <xdr:clientData/>
  </xdr:twoCellAnchor>
  <xdr:twoCellAnchor editAs="oneCell">
    <xdr:from>
      <xdr:col>53</xdr:col>
      <xdr:colOff>76200</xdr:colOff>
      <xdr:row>2</xdr:row>
      <xdr:rowOff>123825</xdr:rowOff>
    </xdr:from>
    <xdr:to>
      <xdr:col>62</xdr:col>
      <xdr:colOff>495300</xdr:colOff>
      <xdr:row>26</xdr:row>
      <xdr:rowOff>161</xdr:rowOff>
    </xdr:to>
    <xdr:pic>
      <xdr:nvPicPr>
        <xdr:cNvPr id="26" name="Obraz 25">
          <a:extLst>
            <a:ext uri="{FF2B5EF4-FFF2-40B4-BE49-F238E27FC236}">
              <a16:creationId xmlns:a16="http://schemas.microsoft.com/office/drawing/2014/main" id="{D4995BD4-889C-A4F4-37A1-8F063915A7CF}"/>
            </a:ext>
            <a:ext uri="{147F2762-F138-4A5C-976F-8EAC2B608ADB}">
              <a16:predDERef xmlns:a16="http://schemas.microsoft.com/office/drawing/2014/main" pred="{D17E45D8-B378-C51D-F79B-0F66C3969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899600" y="514350"/>
          <a:ext cx="5905500" cy="4438650"/>
        </a:xfrm>
        <a:prstGeom prst="rect">
          <a:avLst/>
        </a:prstGeom>
      </xdr:spPr>
    </xdr:pic>
    <xdr:clientData/>
  </xdr:twoCellAnchor>
  <xdr:twoCellAnchor editAs="oneCell">
    <xdr:from>
      <xdr:col>63</xdr:col>
      <xdr:colOff>85725</xdr:colOff>
      <xdr:row>2</xdr:row>
      <xdr:rowOff>142875</xdr:rowOff>
    </xdr:from>
    <xdr:to>
      <xdr:col>72</xdr:col>
      <xdr:colOff>466725</xdr:colOff>
      <xdr:row>25</xdr:row>
      <xdr:rowOff>161925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B0257ACA-9904-C6C8-467C-AEB43FF20A2F}"/>
            </a:ext>
            <a:ext uri="{147F2762-F138-4A5C-976F-8EAC2B608ADB}">
              <a16:predDERef xmlns:a16="http://schemas.microsoft.com/office/drawing/2014/main" pred="{D4995BD4-889C-A4F4-37A1-8F063915A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1005125" y="533400"/>
          <a:ext cx="5867400" cy="4400550"/>
        </a:xfrm>
        <a:prstGeom prst="rect">
          <a:avLst/>
        </a:prstGeom>
      </xdr:spPr>
    </xdr:pic>
    <xdr:clientData/>
  </xdr:twoCellAnchor>
  <xdr:twoCellAnchor editAs="oneCell">
    <xdr:from>
      <xdr:col>73</xdr:col>
      <xdr:colOff>28575</xdr:colOff>
      <xdr:row>2</xdr:row>
      <xdr:rowOff>142875</xdr:rowOff>
    </xdr:from>
    <xdr:to>
      <xdr:col>82</xdr:col>
      <xdr:colOff>400050</xdr:colOff>
      <xdr:row>25</xdr:row>
      <xdr:rowOff>152400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B3AA69E2-257F-B27A-E349-75C051661DAE}"/>
            </a:ext>
            <a:ext uri="{147F2762-F138-4A5C-976F-8EAC2B608ADB}">
              <a16:predDERef xmlns:a16="http://schemas.microsoft.com/office/drawing/2014/main" pred="{B0257ACA-9904-C6C8-467C-AEB43FF2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043975" y="533400"/>
          <a:ext cx="5857875" cy="439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9974-32C9-48C6-95B2-F88952C5C720}">
  <dimension ref="A1:H23"/>
  <sheetViews>
    <sheetView tabSelected="1" zoomScaleNormal="100" workbookViewId="0">
      <selection activeCell="R47" sqref="R47"/>
    </sheetView>
  </sheetViews>
  <sheetFormatPr defaultColWidth="9.08984375" defaultRowHeight="14.5" x14ac:dyDescent="0.35"/>
  <cols>
    <col min="1" max="1" width="29.08984375" style="12" customWidth="1"/>
    <col min="2" max="8" width="15.6328125" style="12" customWidth="1"/>
    <col min="9" max="16384" width="9.08984375" style="12"/>
  </cols>
  <sheetData>
    <row r="1" spans="1:8" ht="46.5" customHeight="1" x14ac:dyDescent="0.35">
      <c r="A1" s="247" t="s">
        <v>0</v>
      </c>
      <c r="B1" s="289" t="s">
        <v>1</v>
      </c>
      <c r="C1" s="247" t="s">
        <v>2</v>
      </c>
      <c r="D1" s="289" t="s">
        <v>3</v>
      </c>
      <c r="E1" s="287" t="s">
        <v>4</v>
      </c>
      <c r="F1" s="287" t="s">
        <v>5</v>
      </c>
      <c r="G1" s="287" t="s">
        <v>6</v>
      </c>
      <c r="H1" s="247" t="s">
        <v>7</v>
      </c>
    </row>
    <row r="2" spans="1:8" x14ac:dyDescent="0.35">
      <c r="A2" s="293" t="s">
        <v>8</v>
      </c>
      <c r="B2" s="300">
        <v>8.1999999999999993</v>
      </c>
      <c r="C2" s="288">
        <f>837186610/160000000</f>
        <v>5.2324163124999998</v>
      </c>
      <c r="D2" s="290">
        <v>379</v>
      </c>
      <c r="E2" s="291">
        <v>8.42</v>
      </c>
      <c r="F2" s="291">
        <v>6</v>
      </c>
      <c r="G2" s="290">
        <v>166</v>
      </c>
      <c r="H2" s="292">
        <v>148</v>
      </c>
    </row>
    <row r="3" spans="1:8" x14ac:dyDescent="0.35">
      <c r="A3" s="294" t="s">
        <v>9</v>
      </c>
      <c r="B3" s="301">
        <v>8.1999999999999993</v>
      </c>
      <c r="C3" s="248">
        <f>294805697/80000000</f>
        <v>3.6850712125</v>
      </c>
      <c r="D3" s="249">
        <v>77</v>
      </c>
      <c r="E3" s="250">
        <v>8.23</v>
      </c>
      <c r="F3" s="250">
        <v>1</v>
      </c>
      <c r="G3" s="249">
        <v>116</v>
      </c>
      <c r="H3" s="251">
        <v>138</v>
      </c>
    </row>
    <row r="4" spans="1:8" x14ac:dyDescent="0.35">
      <c r="A4" s="294" t="s">
        <v>10</v>
      </c>
      <c r="B4" s="302">
        <v>7.8</v>
      </c>
      <c r="C4" s="252">
        <f>96822421/13000000</f>
        <v>7.4478785384615387</v>
      </c>
      <c r="D4" s="195">
        <v>9</v>
      </c>
      <c r="E4" s="195">
        <v>7.67</v>
      </c>
      <c r="F4" s="195">
        <v>2</v>
      </c>
      <c r="G4" s="253">
        <v>30</v>
      </c>
      <c r="H4" s="251">
        <v>113</v>
      </c>
    </row>
    <row r="5" spans="1:8" x14ac:dyDescent="0.35">
      <c r="A5" s="294" t="s">
        <v>11</v>
      </c>
      <c r="B5" s="302">
        <v>6.7</v>
      </c>
      <c r="C5" s="252">
        <f>760006945/125000000</f>
        <v>6.0800555599999999</v>
      </c>
      <c r="D5" s="195">
        <v>29</v>
      </c>
      <c r="E5" s="195">
        <v>7.6300000000000008</v>
      </c>
      <c r="F5" s="195">
        <v>2</v>
      </c>
      <c r="G5" s="253">
        <v>99</v>
      </c>
      <c r="H5" s="251">
        <v>149</v>
      </c>
    </row>
    <row r="6" spans="1:8" x14ac:dyDescent="0.35">
      <c r="A6" s="294" t="s">
        <v>12</v>
      </c>
      <c r="B6" s="302">
        <v>8.1</v>
      </c>
      <c r="C6" s="252">
        <f>109676311/40000000</f>
        <v>2.741907775</v>
      </c>
      <c r="D6" s="195">
        <v>51</v>
      </c>
      <c r="E6" s="252">
        <v>8.3000000000000007</v>
      </c>
      <c r="F6" s="195">
        <v>2</v>
      </c>
      <c r="G6" s="253">
        <v>83</v>
      </c>
      <c r="H6" s="251">
        <v>130</v>
      </c>
    </row>
    <row r="7" spans="1:8" x14ac:dyDescent="0.35">
      <c r="A7" s="295" t="s">
        <v>13</v>
      </c>
      <c r="B7" s="254">
        <v>7.6</v>
      </c>
      <c r="C7" s="254">
        <v>6.87</v>
      </c>
      <c r="D7" s="255">
        <v>303</v>
      </c>
      <c r="E7" s="256">
        <v>8.8000000000000007</v>
      </c>
      <c r="F7" s="257">
        <v>1</v>
      </c>
      <c r="G7" s="253">
        <v>85</v>
      </c>
      <c r="H7" s="258">
        <v>122</v>
      </c>
    </row>
    <row r="8" spans="1:8" x14ac:dyDescent="0.35">
      <c r="A8" s="295" t="s">
        <v>14</v>
      </c>
      <c r="B8" s="303">
        <v>4.3</v>
      </c>
      <c r="C8" s="260">
        <f>502153/12000000</f>
        <v>4.1846083333333332E-2</v>
      </c>
      <c r="D8" s="261">
        <v>0</v>
      </c>
      <c r="E8" s="260">
        <v>8</v>
      </c>
      <c r="F8" s="261">
        <v>6</v>
      </c>
      <c r="G8" s="255">
        <v>76</v>
      </c>
      <c r="H8" s="262">
        <v>89</v>
      </c>
    </row>
    <row r="9" spans="1:8" x14ac:dyDescent="0.35">
      <c r="A9" s="296" t="s">
        <v>15</v>
      </c>
      <c r="B9" s="303">
        <v>5.2</v>
      </c>
      <c r="C9" s="260">
        <f>26857459/30000000</f>
        <v>0.89524863333333338</v>
      </c>
      <c r="D9" s="261">
        <v>3</v>
      </c>
      <c r="E9" s="260">
        <v>7.5</v>
      </c>
      <c r="F9" s="261">
        <v>3</v>
      </c>
      <c r="G9" s="255">
        <v>40</v>
      </c>
      <c r="H9" s="262">
        <v>107</v>
      </c>
    </row>
    <row r="10" spans="1:8" x14ac:dyDescent="0.35">
      <c r="A10" s="296" t="s">
        <v>16</v>
      </c>
      <c r="B10" s="303">
        <v>5.3</v>
      </c>
      <c r="C10" s="260">
        <f>38629478/70000000</f>
        <v>0.55184968571428572</v>
      </c>
      <c r="D10" s="261">
        <v>7</v>
      </c>
      <c r="E10" s="260">
        <v>7.13</v>
      </c>
      <c r="F10" s="261">
        <v>4</v>
      </c>
      <c r="G10" s="255">
        <v>120</v>
      </c>
      <c r="H10" s="262">
        <v>114</v>
      </c>
    </row>
    <row r="11" spans="1:8" x14ac:dyDescent="0.35">
      <c r="A11" s="296" t="s">
        <v>17</v>
      </c>
      <c r="B11" s="303">
        <v>4.0999999999999996</v>
      </c>
      <c r="C11" s="261">
        <v>1.88</v>
      </c>
      <c r="D11" s="261">
        <v>12</v>
      </c>
      <c r="E11" s="260">
        <v>7.13</v>
      </c>
      <c r="F11" s="261">
        <v>3</v>
      </c>
      <c r="G11" s="255">
        <v>70</v>
      </c>
      <c r="H11" s="262">
        <v>105</v>
      </c>
    </row>
    <row r="12" spans="1:8" x14ac:dyDescent="0.35">
      <c r="A12" s="296" t="s">
        <v>18</v>
      </c>
      <c r="B12" s="303">
        <v>6.6</v>
      </c>
      <c r="C12" s="260">
        <f>278346189/100000000</f>
        <v>2.7834618899999999</v>
      </c>
      <c r="D12" s="261">
        <v>6</v>
      </c>
      <c r="E12" s="260">
        <v>7.33</v>
      </c>
      <c r="F12" s="261">
        <v>3</v>
      </c>
      <c r="G12" s="255">
        <v>58</v>
      </c>
      <c r="H12" s="262">
        <v>103</v>
      </c>
    </row>
    <row r="13" spans="1:8" x14ac:dyDescent="0.35">
      <c r="A13" s="297" t="s">
        <v>19</v>
      </c>
      <c r="B13" s="303">
        <v>4.8</v>
      </c>
      <c r="C13" s="261">
        <v>0.81</v>
      </c>
      <c r="D13" s="261">
        <v>11</v>
      </c>
      <c r="E13" s="260">
        <v>6.73</v>
      </c>
      <c r="F13" s="261">
        <v>1</v>
      </c>
      <c r="G13" s="255">
        <v>90</v>
      </c>
      <c r="H13" s="262">
        <v>105</v>
      </c>
    </row>
    <row r="14" spans="1:8" x14ac:dyDescent="0.35">
      <c r="A14" s="295" t="s">
        <v>20</v>
      </c>
      <c r="B14" s="303">
        <v>5.3</v>
      </c>
      <c r="C14" s="260">
        <f>163403799/48000000</f>
        <v>3.4042458125000001</v>
      </c>
      <c r="D14" s="261">
        <v>5</v>
      </c>
      <c r="E14" s="40">
        <v>6.57</v>
      </c>
      <c r="F14" s="261">
        <v>2</v>
      </c>
      <c r="G14" s="255">
        <v>60</v>
      </c>
      <c r="H14" s="262">
        <v>90</v>
      </c>
    </row>
    <row r="15" spans="1:8" x14ac:dyDescent="0.35">
      <c r="A15" s="298" t="s">
        <v>21</v>
      </c>
      <c r="B15" s="303">
        <v>6.2</v>
      </c>
      <c r="C15" s="260">
        <f>256697520/60000000</f>
        <v>4.2782920000000004</v>
      </c>
      <c r="D15" s="261">
        <v>6</v>
      </c>
      <c r="E15" s="260">
        <v>7.33</v>
      </c>
      <c r="F15" s="261">
        <v>1</v>
      </c>
      <c r="G15" s="255">
        <v>60</v>
      </c>
      <c r="H15" s="262">
        <v>108</v>
      </c>
    </row>
    <row r="16" spans="1:8" x14ac:dyDescent="0.35">
      <c r="A16" s="297" t="s">
        <v>22</v>
      </c>
      <c r="B16" s="303">
        <v>5.9</v>
      </c>
      <c r="C16" s="260">
        <f>9479718/22000000</f>
        <v>0.43089627272727271</v>
      </c>
      <c r="D16" s="261">
        <v>1</v>
      </c>
      <c r="E16" s="260">
        <v>7.03</v>
      </c>
      <c r="F16" s="261">
        <v>1</v>
      </c>
      <c r="G16" s="255">
        <v>40</v>
      </c>
      <c r="H16" s="262">
        <v>105</v>
      </c>
    </row>
    <row r="17" spans="1:8" x14ac:dyDescent="0.35">
      <c r="A17" s="295" t="s">
        <v>23</v>
      </c>
      <c r="B17" s="303">
        <v>5.8</v>
      </c>
      <c r="C17" s="260">
        <f>67876281/20000000</f>
        <v>3.39381405</v>
      </c>
      <c r="D17" s="261">
        <v>4</v>
      </c>
      <c r="E17" s="260">
        <v>7.53</v>
      </c>
      <c r="F17" s="261">
        <v>2</v>
      </c>
      <c r="G17" s="255">
        <v>90</v>
      </c>
      <c r="H17" s="262">
        <v>105</v>
      </c>
    </row>
    <row r="18" spans="1:8" x14ac:dyDescent="0.35">
      <c r="A18" s="295" t="s">
        <v>24</v>
      </c>
      <c r="B18" s="303">
        <v>5.5</v>
      </c>
      <c r="C18" s="260">
        <f>966458/4000000</f>
        <v>0.24161450000000001</v>
      </c>
      <c r="D18" s="261">
        <v>1</v>
      </c>
      <c r="E18" s="260">
        <v>7.07</v>
      </c>
      <c r="F18" s="261">
        <v>1</v>
      </c>
      <c r="G18" s="255">
        <v>30</v>
      </c>
      <c r="H18" s="262">
        <v>92</v>
      </c>
    </row>
    <row r="19" spans="1:8" x14ac:dyDescent="0.35">
      <c r="A19" s="295" t="s">
        <v>25</v>
      </c>
      <c r="B19" s="303">
        <v>5.2</v>
      </c>
      <c r="C19" s="260">
        <f>54667954/500000</f>
        <v>109.335908</v>
      </c>
      <c r="D19" s="261">
        <v>8</v>
      </c>
      <c r="E19" s="260">
        <v>6.53</v>
      </c>
      <c r="F19" s="261">
        <v>2</v>
      </c>
      <c r="G19" s="255">
        <v>45</v>
      </c>
      <c r="H19" s="262">
        <v>79</v>
      </c>
    </row>
    <row r="20" spans="1:8" x14ac:dyDescent="0.35">
      <c r="A20" s="295" t="s">
        <v>26</v>
      </c>
      <c r="B20" s="303">
        <v>5.7</v>
      </c>
      <c r="C20" s="260">
        <f>17840867/35000000</f>
        <v>0.50973905714285717</v>
      </c>
      <c r="D20" s="261">
        <v>0</v>
      </c>
      <c r="E20" s="260">
        <v>7.67</v>
      </c>
      <c r="F20" s="261">
        <v>1</v>
      </c>
      <c r="G20" s="255">
        <v>135</v>
      </c>
      <c r="H20" s="262">
        <v>96</v>
      </c>
    </row>
    <row r="21" spans="1:8" x14ac:dyDescent="0.35">
      <c r="A21" s="299" t="s">
        <v>27</v>
      </c>
      <c r="B21" s="304">
        <v>5.8</v>
      </c>
      <c r="C21" s="263">
        <f>25399945/10000000</f>
        <v>2.5399945000000002</v>
      </c>
      <c r="D21" s="264">
        <v>4</v>
      </c>
      <c r="E21" s="263">
        <v>7.03</v>
      </c>
      <c r="F21" s="264">
        <v>1</v>
      </c>
      <c r="G21" s="265">
        <v>59</v>
      </c>
      <c r="H21" s="266">
        <v>83</v>
      </c>
    </row>
    <row r="23" spans="1:8" x14ac:dyDescent="0.35">
      <c r="C23" s="57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D815-F9EB-467B-AA17-9A3EABF4D963}">
  <dimension ref="A2:AH106"/>
  <sheetViews>
    <sheetView zoomScaleNormal="100" workbookViewId="0">
      <selection activeCell="P42" sqref="P42"/>
    </sheetView>
  </sheetViews>
  <sheetFormatPr defaultColWidth="9.08984375" defaultRowHeight="14.5" x14ac:dyDescent="0.35"/>
  <cols>
    <col min="1" max="1" width="5.54296875" style="12" customWidth="1"/>
    <col min="2" max="2" width="29.453125" style="12" customWidth="1"/>
    <col min="3" max="5" width="16.6328125" style="12" customWidth="1"/>
    <col min="6" max="6" width="14.54296875" style="12" customWidth="1"/>
    <col min="7" max="10" width="16.6328125" style="12" customWidth="1"/>
    <col min="11" max="11" width="6.36328125" style="12" customWidth="1"/>
    <col min="12" max="12" width="23.54296875" style="12" customWidth="1"/>
    <col min="13" max="20" width="16.6328125" style="12" customWidth="1"/>
    <col min="21" max="21" width="18.6328125" style="12" customWidth="1"/>
    <col min="22" max="24" width="16.6328125" style="12" customWidth="1"/>
    <col min="25" max="25" width="9.08984375" style="12"/>
    <col min="26" max="26" width="21.36328125" style="12" customWidth="1"/>
    <col min="27" max="27" width="9.08984375" style="12"/>
    <col min="28" max="34" width="16.6328125" style="12" customWidth="1"/>
    <col min="35" max="16384" width="9.08984375" style="12"/>
  </cols>
  <sheetData>
    <row r="2" spans="1:19" s="415" customFormat="1" ht="15.5" x14ac:dyDescent="0.35">
      <c r="A2" s="590" t="s">
        <v>42</v>
      </c>
      <c r="B2" s="591"/>
      <c r="C2" s="591"/>
      <c r="D2" s="591"/>
      <c r="E2" s="591"/>
      <c r="F2" s="591"/>
      <c r="G2" s="591"/>
      <c r="H2" s="591"/>
      <c r="I2" s="591"/>
      <c r="J2" s="437"/>
      <c r="K2" s="437"/>
      <c r="L2" s="617" t="s">
        <v>74</v>
      </c>
      <c r="M2" s="617"/>
      <c r="N2" s="617"/>
      <c r="O2" s="617"/>
      <c r="P2" s="617"/>
      <c r="Q2" s="617"/>
      <c r="R2" s="617"/>
      <c r="S2" s="617"/>
    </row>
    <row r="4" spans="1:19" ht="47.25" customHeight="1" x14ac:dyDescent="0.35">
      <c r="A4" s="22" t="s">
        <v>36</v>
      </c>
      <c r="B4" s="65" t="s">
        <v>0</v>
      </c>
      <c r="C4" s="65" t="s">
        <v>1</v>
      </c>
      <c r="D4" s="65" t="s">
        <v>2</v>
      </c>
      <c r="E4" s="65" t="s">
        <v>3</v>
      </c>
      <c r="F4" s="65" t="s">
        <v>4</v>
      </c>
      <c r="G4" s="177" t="s">
        <v>5</v>
      </c>
      <c r="H4" s="184" t="s">
        <v>6</v>
      </c>
      <c r="I4" s="386" t="s">
        <v>7</v>
      </c>
      <c r="L4" s="247" t="s">
        <v>0</v>
      </c>
      <c r="M4" s="289" t="s">
        <v>1</v>
      </c>
      <c r="N4" s="247" t="s">
        <v>2</v>
      </c>
      <c r="O4" s="289" t="s">
        <v>3</v>
      </c>
      <c r="P4" s="287" t="s">
        <v>4</v>
      </c>
      <c r="Q4" s="287" t="s">
        <v>5</v>
      </c>
      <c r="R4" s="287" t="s">
        <v>6</v>
      </c>
      <c r="S4" s="247" t="s">
        <v>7</v>
      </c>
    </row>
    <row r="5" spans="1:19" x14ac:dyDescent="0.35">
      <c r="A5" s="58">
        <v>1</v>
      </c>
      <c r="B5" s="72" t="s">
        <v>8</v>
      </c>
      <c r="C5" s="69">
        <v>8.1999999999999993</v>
      </c>
      <c r="D5" s="8">
        <v>5.2324163124999998</v>
      </c>
      <c r="E5" s="70">
        <v>379</v>
      </c>
      <c r="F5" s="70">
        <v>8.42</v>
      </c>
      <c r="G5" s="29">
        <f>1/Q5</f>
        <v>0.16666666666666666</v>
      </c>
      <c r="H5" s="29">
        <f>1/R5</f>
        <v>6.024096385542169E-3</v>
      </c>
      <c r="I5" s="79">
        <v>1.20481927710843E-2</v>
      </c>
      <c r="L5" s="293" t="s">
        <v>8</v>
      </c>
      <c r="M5" s="300">
        <v>8.1999999999999993</v>
      </c>
      <c r="N5" s="288">
        <f>837186610/160000000</f>
        <v>5.2324163124999998</v>
      </c>
      <c r="O5" s="290">
        <v>379</v>
      </c>
      <c r="P5" s="291">
        <v>8.42</v>
      </c>
      <c r="Q5" s="291">
        <v>6</v>
      </c>
      <c r="R5" s="290">
        <v>166</v>
      </c>
      <c r="S5" s="292">
        <v>148</v>
      </c>
    </row>
    <row r="6" spans="1:19" x14ac:dyDescent="0.35">
      <c r="A6" s="58">
        <v>2</v>
      </c>
      <c r="B6" s="49" t="s">
        <v>9</v>
      </c>
      <c r="C6" s="90">
        <v>8.1999999999999993</v>
      </c>
      <c r="D6" s="6">
        <v>3.6850712125</v>
      </c>
      <c r="E6" s="7">
        <v>77</v>
      </c>
      <c r="F6" s="7">
        <v>8.23</v>
      </c>
      <c r="G6" s="29">
        <f t="shared" ref="G6:H24" si="0">1/Q6</f>
        <v>1</v>
      </c>
      <c r="H6" s="29">
        <f t="shared" si="0"/>
        <v>8.6206896551724137E-3</v>
      </c>
      <c r="I6" s="81">
        <v>1.3698630136986301E-2</v>
      </c>
      <c r="L6" s="294" t="s">
        <v>9</v>
      </c>
      <c r="M6" s="301">
        <v>8.1999999999999993</v>
      </c>
      <c r="N6" s="248">
        <f>294805697/80000000</f>
        <v>3.6850712125</v>
      </c>
      <c r="O6" s="249">
        <v>77</v>
      </c>
      <c r="P6" s="250">
        <v>8.23</v>
      </c>
      <c r="Q6" s="250">
        <v>1</v>
      </c>
      <c r="R6" s="249">
        <v>116</v>
      </c>
      <c r="S6" s="251">
        <v>138</v>
      </c>
    </row>
    <row r="7" spans="1:19" x14ac:dyDescent="0.35">
      <c r="A7" s="58">
        <v>3</v>
      </c>
      <c r="B7" s="49" t="s">
        <v>10</v>
      </c>
      <c r="C7" s="71">
        <v>7.8</v>
      </c>
      <c r="D7" s="3">
        <v>7.4478785384615387</v>
      </c>
      <c r="E7" s="1">
        <v>9</v>
      </c>
      <c r="F7" s="2">
        <v>7.67</v>
      </c>
      <c r="G7" s="29">
        <f t="shared" si="0"/>
        <v>0.5</v>
      </c>
      <c r="H7" s="29">
        <f t="shared" si="0"/>
        <v>3.3333333333333333E-2</v>
      </c>
      <c r="I7" s="107">
        <v>1.5384615384615385E-2</v>
      </c>
      <c r="L7" s="294" t="s">
        <v>10</v>
      </c>
      <c r="M7" s="302">
        <v>7.8</v>
      </c>
      <c r="N7" s="252">
        <f>96822421/13000000</f>
        <v>7.4478785384615387</v>
      </c>
      <c r="O7" s="195">
        <v>9</v>
      </c>
      <c r="P7" s="195">
        <v>7.67</v>
      </c>
      <c r="Q7" s="195">
        <v>2</v>
      </c>
      <c r="R7" s="253">
        <v>30</v>
      </c>
      <c r="S7" s="251">
        <v>113</v>
      </c>
    </row>
    <row r="8" spans="1:19" x14ac:dyDescent="0.35">
      <c r="A8" s="58">
        <v>4</v>
      </c>
      <c r="B8" s="49" t="s">
        <v>11</v>
      </c>
      <c r="C8" s="71">
        <v>6.7</v>
      </c>
      <c r="D8" s="3">
        <v>6.0800555599999999</v>
      </c>
      <c r="E8" s="1">
        <v>29</v>
      </c>
      <c r="F8" s="2">
        <v>7.6300000000000008</v>
      </c>
      <c r="G8" s="29">
        <f t="shared" si="0"/>
        <v>0.5</v>
      </c>
      <c r="H8" s="29">
        <f t="shared" si="0"/>
        <v>1.0101010101010102E-2</v>
      </c>
      <c r="I8" s="108">
        <v>1.1904761904761904E-2</v>
      </c>
      <c r="L8" s="294" t="s">
        <v>11</v>
      </c>
      <c r="M8" s="302">
        <v>6.7</v>
      </c>
      <c r="N8" s="252">
        <f>760006945/125000000</f>
        <v>6.0800555599999999</v>
      </c>
      <c r="O8" s="195">
        <v>29</v>
      </c>
      <c r="P8" s="195">
        <v>7.6300000000000008</v>
      </c>
      <c r="Q8" s="195">
        <v>2</v>
      </c>
      <c r="R8" s="253">
        <v>99</v>
      </c>
      <c r="S8" s="251">
        <v>149</v>
      </c>
    </row>
    <row r="9" spans="1:19" x14ac:dyDescent="0.35">
      <c r="A9" s="58">
        <v>5</v>
      </c>
      <c r="B9" s="49" t="s">
        <v>12</v>
      </c>
      <c r="C9" s="71">
        <v>8.1</v>
      </c>
      <c r="D9" s="3">
        <v>2.741907775</v>
      </c>
      <c r="E9" s="1">
        <v>51</v>
      </c>
      <c r="F9" s="382">
        <v>8.3000000000000007</v>
      </c>
      <c r="G9" s="29">
        <f t="shared" si="0"/>
        <v>0.5</v>
      </c>
      <c r="H9" s="29">
        <f t="shared" si="0"/>
        <v>1.2048192771084338E-2</v>
      </c>
      <c r="I9" s="108">
        <v>1.5384615384615385E-2</v>
      </c>
      <c r="L9" s="294" t="s">
        <v>12</v>
      </c>
      <c r="M9" s="302">
        <v>8.1</v>
      </c>
      <c r="N9" s="252">
        <f>109676311/40000000</f>
        <v>2.741907775</v>
      </c>
      <c r="O9" s="195">
        <v>51</v>
      </c>
      <c r="P9" s="252">
        <v>8.3000000000000007</v>
      </c>
      <c r="Q9" s="195">
        <v>2</v>
      </c>
      <c r="R9" s="253">
        <v>83</v>
      </c>
      <c r="S9" s="251">
        <v>130</v>
      </c>
    </row>
    <row r="10" spans="1:19" x14ac:dyDescent="0.35">
      <c r="A10" s="58">
        <v>6</v>
      </c>
      <c r="B10" s="50" t="s">
        <v>13</v>
      </c>
      <c r="C10" s="91">
        <v>7.6</v>
      </c>
      <c r="D10" s="89">
        <v>6.87</v>
      </c>
      <c r="E10" s="34">
        <v>303</v>
      </c>
      <c r="F10" s="383">
        <v>8.8000000000000007</v>
      </c>
      <c r="G10" s="29">
        <f t="shared" si="0"/>
        <v>1</v>
      </c>
      <c r="H10" s="29">
        <f t="shared" si="0"/>
        <v>1.1764705882352941E-2</v>
      </c>
      <c r="I10" s="108">
        <v>1.5384615384615385E-2</v>
      </c>
      <c r="L10" s="295" t="s">
        <v>13</v>
      </c>
      <c r="M10" s="254">
        <v>7.6</v>
      </c>
      <c r="N10" s="254">
        <v>6.87</v>
      </c>
      <c r="O10" s="255">
        <v>303</v>
      </c>
      <c r="P10" s="256">
        <v>8.8000000000000007</v>
      </c>
      <c r="Q10" s="257">
        <v>1</v>
      </c>
      <c r="R10" s="253">
        <v>85</v>
      </c>
      <c r="S10" s="258">
        <v>122</v>
      </c>
    </row>
    <row r="11" spans="1:19" x14ac:dyDescent="0.35">
      <c r="A11" s="58">
        <v>7</v>
      </c>
      <c r="B11" s="50" t="s">
        <v>14</v>
      </c>
      <c r="C11" s="93">
        <v>4.3</v>
      </c>
      <c r="D11" s="20">
        <v>4.1846083333333332E-2</v>
      </c>
      <c r="E11" s="18">
        <v>0</v>
      </c>
      <c r="F11" s="384">
        <v>8</v>
      </c>
      <c r="G11" s="29">
        <f t="shared" si="0"/>
        <v>0.16666666666666666</v>
      </c>
      <c r="H11" s="29">
        <f t="shared" si="0"/>
        <v>1.3157894736842105E-2</v>
      </c>
      <c r="I11" s="108">
        <v>1.1627906976744186E-2</v>
      </c>
      <c r="L11" s="295" t="s">
        <v>14</v>
      </c>
      <c r="M11" s="303">
        <v>4.3</v>
      </c>
      <c r="N11" s="260">
        <f>502153/12000000</f>
        <v>4.1846083333333332E-2</v>
      </c>
      <c r="O11" s="261">
        <v>0</v>
      </c>
      <c r="P11" s="260">
        <v>8</v>
      </c>
      <c r="Q11" s="261">
        <v>6</v>
      </c>
      <c r="R11" s="255">
        <v>76</v>
      </c>
      <c r="S11" s="262">
        <v>89</v>
      </c>
    </row>
    <row r="12" spans="1:19" x14ac:dyDescent="0.35">
      <c r="A12" s="58">
        <v>8</v>
      </c>
      <c r="B12" s="52" t="s">
        <v>15</v>
      </c>
      <c r="C12" s="93">
        <v>5.2</v>
      </c>
      <c r="D12" s="20">
        <v>0.89524863333333338</v>
      </c>
      <c r="E12" s="18">
        <v>3</v>
      </c>
      <c r="F12" s="384">
        <v>7.5</v>
      </c>
      <c r="G12" s="29">
        <f t="shared" si="0"/>
        <v>0.33333333333333331</v>
      </c>
      <c r="H12" s="29">
        <f t="shared" si="0"/>
        <v>2.5000000000000001E-2</v>
      </c>
      <c r="I12" s="108">
        <v>1.4705882352941201E-2</v>
      </c>
      <c r="L12" s="296" t="s">
        <v>15</v>
      </c>
      <c r="M12" s="303">
        <v>5.2</v>
      </c>
      <c r="N12" s="260">
        <f>26857459/30000000</f>
        <v>0.89524863333333338</v>
      </c>
      <c r="O12" s="261">
        <v>3</v>
      </c>
      <c r="P12" s="260">
        <v>7.5</v>
      </c>
      <c r="Q12" s="261">
        <v>3</v>
      </c>
      <c r="R12" s="255">
        <v>40</v>
      </c>
      <c r="S12" s="262">
        <v>107</v>
      </c>
    </row>
    <row r="13" spans="1:19" x14ac:dyDescent="0.35">
      <c r="A13" s="58">
        <v>9</v>
      </c>
      <c r="B13" s="52" t="s">
        <v>16</v>
      </c>
      <c r="C13" s="93">
        <v>5.3</v>
      </c>
      <c r="D13" s="20">
        <v>0.55184968571428572</v>
      </c>
      <c r="E13" s="18">
        <v>7</v>
      </c>
      <c r="F13" s="384">
        <v>7.13</v>
      </c>
      <c r="G13" s="29">
        <f t="shared" si="0"/>
        <v>0.25</v>
      </c>
      <c r="H13" s="29">
        <f t="shared" si="0"/>
        <v>8.3333333333333332E-3</v>
      </c>
      <c r="I13" s="108">
        <v>1.5384615384615385E-2</v>
      </c>
      <c r="L13" s="296" t="s">
        <v>16</v>
      </c>
      <c r="M13" s="303">
        <v>5.3</v>
      </c>
      <c r="N13" s="260">
        <f>38629478/70000000</f>
        <v>0.55184968571428572</v>
      </c>
      <c r="O13" s="261">
        <v>7</v>
      </c>
      <c r="P13" s="260">
        <v>7.13</v>
      </c>
      <c r="Q13" s="261">
        <v>4</v>
      </c>
      <c r="R13" s="255">
        <v>120</v>
      </c>
      <c r="S13" s="262">
        <v>114</v>
      </c>
    </row>
    <row r="14" spans="1:19" x14ac:dyDescent="0.35">
      <c r="A14" s="58">
        <v>10</v>
      </c>
      <c r="B14" s="52" t="s">
        <v>17</v>
      </c>
      <c r="C14" s="93">
        <v>4.0999999999999996</v>
      </c>
      <c r="D14" s="18">
        <v>1.88</v>
      </c>
      <c r="E14" s="18">
        <v>12</v>
      </c>
      <c r="F14" s="384">
        <v>7.13</v>
      </c>
      <c r="G14" s="29">
        <f t="shared" si="0"/>
        <v>0.33333333333333331</v>
      </c>
      <c r="H14" s="29">
        <f t="shared" si="0"/>
        <v>1.4285714285714285E-2</v>
      </c>
      <c r="I14" s="108">
        <v>1.4285714285714285E-2</v>
      </c>
      <c r="L14" s="296" t="s">
        <v>17</v>
      </c>
      <c r="M14" s="303">
        <v>4.0999999999999996</v>
      </c>
      <c r="N14" s="261">
        <v>1.88</v>
      </c>
      <c r="O14" s="261">
        <v>12</v>
      </c>
      <c r="P14" s="260">
        <v>7.13</v>
      </c>
      <c r="Q14" s="261">
        <v>3</v>
      </c>
      <c r="R14" s="255">
        <v>70</v>
      </c>
      <c r="S14" s="262">
        <v>105</v>
      </c>
    </row>
    <row r="15" spans="1:19" x14ac:dyDescent="0.35">
      <c r="A15" s="58">
        <v>11</v>
      </c>
      <c r="B15" s="52" t="s">
        <v>18</v>
      </c>
      <c r="C15" s="93">
        <v>6.6</v>
      </c>
      <c r="D15" s="20">
        <v>2.7834618899999999</v>
      </c>
      <c r="E15" s="18">
        <v>6</v>
      </c>
      <c r="F15" s="384">
        <v>7.33</v>
      </c>
      <c r="G15" s="29">
        <f t="shared" si="0"/>
        <v>0.33333333333333331</v>
      </c>
      <c r="H15" s="29">
        <f t="shared" si="0"/>
        <v>1.7241379310344827E-2</v>
      </c>
      <c r="I15" s="108">
        <v>1.3888888888888888E-2</v>
      </c>
      <c r="L15" s="296" t="s">
        <v>18</v>
      </c>
      <c r="M15" s="303">
        <v>6.6</v>
      </c>
      <c r="N15" s="260">
        <f>278346189/100000000</f>
        <v>2.7834618899999999</v>
      </c>
      <c r="O15" s="261">
        <v>6</v>
      </c>
      <c r="P15" s="260">
        <v>7.33</v>
      </c>
      <c r="Q15" s="261">
        <v>3</v>
      </c>
      <c r="R15" s="255">
        <v>58</v>
      </c>
      <c r="S15" s="262">
        <v>103</v>
      </c>
    </row>
    <row r="16" spans="1:19" x14ac:dyDescent="0.35">
      <c r="A16" s="58">
        <v>12</v>
      </c>
      <c r="B16" s="53" t="s">
        <v>19</v>
      </c>
      <c r="C16" s="93">
        <v>4.8</v>
      </c>
      <c r="D16" s="18">
        <v>0.81</v>
      </c>
      <c r="E16" s="18">
        <v>11</v>
      </c>
      <c r="F16" s="384">
        <v>6.73</v>
      </c>
      <c r="G16" s="29">
        <f t="shared" si="0"/>
        <v>1</v>
      </c>
      <c r="H16" s="29">
        <f t="shared" si="0"/>
        <v>1.1111111111111112E-2</v>
      </c>
      <c r="I16" s="108">
        <v>1.4285714285714285E-2</v>
      </c>
      <c r="L16" s="297" t="s">
        <v>19</v>
      </c>
      <c r="M16" s="303">
        <v>4.8</v>
      </c>
      <c r="N16" s="261">
        <v>0.81</v>
      </c>
      <c r="O16" s="261">
        <v>11</v>
      </c>
      <c r="P16" s="260">
        <v>6.73</v>
      </c>
      <c r="Q16" s="261">
        <v>1</v>
      </c>
      <c r="R16" s="255">
        <v>90</v>
      </c>
      <c r="S16" s="262">
        <v>105</v>
      </c>
    </row>
    <row r="17" spans="1:19" x14ac:dyDescent="0.35">
      <c r="A17" s="58">
        <v>13</v>
      </c>
      <c r="B17" s="50" t="s">
        <v>20</v>
      </c>
      <c r="C17" s="93">
        <v>5.3</v>
      </c>
      <c r="D17" s="20">
        <v>3.4042458125000001</v>
      </c>
      <c r="E17" s="18">
        <v>5</v>
      </c>
      <c r="F17" s="94">
        <v>6.57</v>
      </c>
      <c r="G17" s="29">
        <f t="shared" si="0"/>
        <v>0.5</v>
      </c>
      <c r="H17" s="29">
        <f t="shared" si="0"/>
        <v>1.6666666666666666E-2</v>
      </c>
      <c r="I17" s="108">
        <v>1.1764705882352941E-2</v>
      </c>
      <c r="L17" s="295" t="s">
        <v>20</v>
      </c>
      <c r="M17" s="303">
        <v>5.3</v>
      </c>
      <c r="N17" s="260">
        <f>163403799/48000000</f>
        <v>3.4042458125000001</v>
      </c>
      <c r="O17" s="261">
        <v>5</v>
      </c>
      <c r="P17" s="40">
        <v>6.57</v>
      </c>
      <c r="Q17" s="261">
        <v>2</v>
      </c>
      <c r="R17" s="255">
        <v>60</v>
      </c>
      <c r="S17" s="262">
        <v>90</v>
      </c>
    </row>
    <row r="18" spans="1:19" x14ac:dyDescent="0.35">
      <c r="A18" s="58">
        <v>14</v>
      </c>
      <c r="B18" s="54" t="s">
        <v>21</v>
      </c>
      <c r="C18" s="93">
        <v>6.2</v>
      </c>
      <c r="D18" s="20">
        <v>4.2782920000000004</v>
      </c>
      <c r="E18" s="18">
        <v>6</v>
      </c>
      <c r="F18" s="384">
        <v>7.33</v>
      </c>
      <c r="G18" s="29">
        <f t="shared" si="0"/>
        <v>1</v>
      </c>
      <c r="H18" s="29">
        <f t="shared" si="0"/>
        <v>1.6666666666666666E-2</v>
      </c>
      <c r="I18" s="108">
        <v>1.4925373134328358E-2</v>
      </c>
      <c r="L18" s="298" t="s">
        <v>21</v>
      </c>
      <c r="M18" s="303">
        <v>6.2</v>
      </c>
      <c r="N18" s="260">
        <f>256697520/60000000</f>
        <v>4.2782920000000004</v>
      </c>
      <c r="O18" s="261">
        <v>6</v>
      </c>
      <c r="P18" s="260">
        <v>7.33</v>
      </c>
      <c r="Q18" s="261">
        <v>1</v>
      </c>
      <c r="R18" s="255">
        <v>60</v>
      </c>
      <c r="S18" s="262">
        <v>108</v>
      </c>
    </row>
    <row r="19" spans="1:19" x14ac:dyDescent="0.35">
      <c r="A19" s="58">
        <v>15</v>
      </c>
      <c r="B19" s="53" t="s">
        <v>22</v>
      </c>
      <c r="C19" s="93">
        <v>5.9</v>
      </c>
      <c r="D19" s="20">
        <v>0.43089627272727271</v>
      </c>
      <c r="E19" s="18">
        <v>1</v>
      </c>
      <c r="F19" s="384">
        <v>7.03</v>
      </c>
      <c r="G19" s="29">
        <f t="shared" si="0"/>
        <v>1</v>
      </c>
      <c r="H19" s="29">
        <f t="shared" si="0"/>
        <v>2.5000000000000001E-2</v>
      </c>
      <c r="I19" s="108">
        <v>1.4285714285714285E-2</v>
      </c>
      <c r="L19" s="297" t="s">
        <v>22</v>
      </c>
      <c r="M19" s="303">
        <v>5.9</v>
      </c>
      <c r="N19" s="260">
        <f>9479718/22000000</f>
        <v>0.43089627272727271</v>
      </c>
      <c r="O19" s="261">
        <v>1</v>
      </c>
      <c r="P19" s="260">
        <v>7.03</v>
      </c>
      <c r="Q19" s="261">
        <v>1</v>
      </c>
      <c r="R19" s="255">
        <v>40</v>
      </c>
      <c r="S19" s="262">
        <v>105</v>
      </c>
    </row>
    <row r="20" spans="1:19" x14ac:dyDescent="0.35">
      <c r="A20" s="58">
        <v>16</v>
      </c>
      <c r="B20" s="50" t="s">
        <v>23</v>
      </c>
      <c r="C20" s="93">
        <v>5.8</v>
      </c>
      <c r="D20" s="20">
        <v>3.39381405</v>
      </c>
      <c r="E20" s="18">
        <v>4</v>
      </c>
      <c r="F20" s="384">
        <v>7.53</v>
      </c>
      <c r="G20" s="29">
        <f t="shared" si="0"/>
        <v>0.5</v>
      </c>
      <c r="H20" s="29">
        <f t="shared" si="0"/>
        <v>1.1111111111111112E-2</v>
      </c>
      <c r="I20" s="108">
        <v>1.4285714285714285E-2</v>
      </c>
      <c r="L20" s="295" t="s">
        <v>23</v>
      </c>
      <c r="M20" s="303">
        <v>5.8</v>
      </c>
      <c r="N20" s="260">
        <f>67876281/20000000</f>
        <v>3.39381405</v>
      </c>
      <c r="O20" s="261">
        <v>4</v>
      </c>
      <c r="P20" s="260">
        <v>7.53</v>
      </c>
      <c r="Q20" s="261">
        <v>2</v>
      </c>
      <c r="R20" s="255">
        <v>90</v>
      </c>
      <c r="S20" s="262">
        <v>105</v>
      </c>
    </row>
    <row r="21" spans="1:19" x14ac:dyDescent="0.35">
      <c r="A21" s="58">
        <v>17</v>
      </c>
      <c r="B21" s="50" t="s">
        <v>24</v>
      </c>
      <c r="C21" s="93">
        <v>5.5</v>
      </c>
      <c r="D21" s="20">
        <v>0.24161450000000001</v>
      </c>
      <c r="E21" s="18">
        <v>1</v>
      </c>
      <c r="F21" s="384">
        <v>7.07</v>
      </c>
      <c r="G21" s="29">
        <f t="shared" si="0"/>
        <v>1</v>
      </c>
      <c r="H21" s="29">
        <f t="shared" si="0"/>
        <v>3.3333333333333333E-2</v>
      </c>
      <c r="I21" s="108">
        <v>1.2048192771084338E-2</v>
      </c>
      <c r="L21" s="295" t="s">
        <v>24</v>
      </c>
      <c r="M21" s="303">
        <v>5.5</v>
      </c>
      <c r="N21" s="260">
        <f>966458/4000000</f>
        <v>0.24161450000000001</v>
      </c>
      <c r="O21" s="261">
        <v>1</v>
      </c>
      <c r="P21" s="260">
        <v>7.07</v>
      </c>
      <c r="Q21" s="261">
        <v>1</v>
      </c>
      <c r="R21" s="255">
        <v>30</v>
      </c>
      <c r="S21" s="262">
        <v>92</v>
      </c>
    </row>
    <row r="22" spans="1:19" x14ac:dyDescent="0.35">
      <c r="A22" s="58">
        <v>18</v>
      </c>
      <c r="B22" s="50" t="s">
        <v>25</v>
      </c>
      <c r="C22" s="93">
        <v>5.2</v>
      </c>
      <c r="D22" s="20">
        <v>109.335908</v>
      </c>
      <c r="E22" s="18">
        <v>8</v>
      </c>
      <c r="F22" s="384">
        <v>6.53</v>
      </c>
      <c r="G22" s="29">
        <f t="shared" si="0"/>
        <v>0.5</v>
      </c>
      <c r="H22" s="29">
        <f t="shared" si="0"/>
        <v>2.2222222222222223E-2</v>
      </c>
      <c r="I22" s="108">
        <v>1.0416666666666666E-2</v>
      </c>
      <c r="L22" s="295" t="s">
        <v>25</v>
      </c>
      <c r="M22" s="303">
        <v>5.2</v>
      </c>
      <c r="N22" s="260">
        <f>54667954/500000</f>
        <v>109.335908</v>
      </c>
      <c r="O22" s="261">
        <v>8</v>
      </c>
      <c r="P22" s="260">
        <v>6.53</v>
      </c>
      <c r="Q22" s="261">
        <v>2</v>
      </c>
      <c r="R22" s="255">
        <v>45</v>
      </c>
      <c r="S22" s="262">
        <v>79</v>
      </c>
    </row>
    <row r="23" spans="1:19" x14ac:dyDescent="0.35">
      <c r="A23" s="58">
        <v>19</v>
      </c>
      <c r="B23" s="50" t="s">
        <v>26</v>
      </c>
      <c r="C23" s="93">
        <v>5.7</v>
      </c>
      <c r="D23" s="20">
        <v>0.50973905714285717</v>
      </c>
      <c r="E23" s="18">
        <v>0</v>
      </c>
      <c r="F23" s="384">
        <v>7.67</v>
      </c>
      <c r="G23" s="29">
        <f t="shared" si="0"/>
        <v>1</v>
      </c>
      <c r="H23" s="29">
        <f t="shared" si="0"/>
        <v>7.4074074074074077E-3</v>
      </c>
      <c r="I23" s="81">
        <v>1.2658227848101266E-2</v>
      </c>
      <c r="L23" s="295" t="s">
        <v>26</v>
      </c>
      <c r="M23" s="303">
        <v>5.7</v>
      </c>
      <c r="N23" s="260">
        <f>17840867/35000000</f>
        <v>0.50973905714285717</v>
      </c>
      <c r="O23" s="261">
        <v>0</v>
      </c>
      <c r="P23" s="260">
        <v>7.67</v>
      </c>
      <c r="Q23" s="261">
        <v>1</v>
      </c>
      <c r="R23" s="255">
        <v>135</v>
      </c>
      <c r="S23" s="262">
        <v>96</v>
      </c>
    </row>
    <row r="24" spans="1:19" x14ac:dyDescent="0.35">
      <c r="A24" s="59">
        <v>20</v>
      </c>
      <c r="B24" s="320" t="s">
        <v>27</v>
      </c>
      <c r="C24" s="118">
        <v>5.8</v>
      </c>
      <c r="D24" s="119">
        <v>2.5399945000000002</v>
      </c>
      <c r="E24" s="19">
        <v>4</v>
      </c>
      <c r="F24" s="385">
        <v>7.03</v>
      </c>
      <c r="G24" s="29">
        <f t="shared" si="0"/>
        <v>1</v>
      </c>
      <c r="H24" s="29">
        <f t="shared" si="0"/>
        <v>1.6949152542372881E-2</v>
      </c>
      <c r="I24" s="107">
        <v>1.0869565217391304E-2</v>
      </c>
      <c r="L24" s="299" t="s">
        <v>27</v>
      </c>
      <c r="M24" s="304">
        <v>5.8</v>
      </c>
      <c r="N24" s="263">
        <f>25399945/10000000</f>
        <v>2.5399945000000002</v>
      </c>
      <c r="O24" s="264">
        <v>4</v>
      </c>
      <c r="P24" s="263">
        <v>7.03</v>
      </c>
      <c r="Q24" s="264">
        <v>1</v>
      </c>
      <c r="R24" s="265">
        <v>59</v>
      </c>
      <c r="S24" s="266">
        <v>83</v>
      </c>
    </row>
    <row r="25" spans="1:19" x14ac:dyDescent="0.35">
      <c r="B25" s="413" t="s">
        <v>39</v>
      </c>
      <c r="C25" s="69">
        <f>AVERAGE(C5:C24)</f>
        <v>6.1150000000000002</v>
      </c>
      <c r="D25" s="13">
        <f t="shared" ref="D25:I25" si="1">AVERAGE(D5:D24)</f>
        <v>8.157711994160632</v>
      </c>
      <c r="E25" s="13">
        <f t="shared" si="1"/>
        <v>45.8</v>
      </c>
      <c r="F25" s="13">
        <f t="shared" si="1"/>
        <v>7.4814999999999996</v>
      </c>
      <c r="G25" s="13">
        <f t="shared" si="1"/>
        <v>0.62916666666666665</v>
      </c>
      <c r="H25" s="77">
        <f>AVERAGE(H5:H24)</f>
        <v>1.6018901042781062E-2</v>
      </c>
      <c r="I25" s="14">
        <f t="shared" si="1"/>
        <v>1.3461915661632518E-2</v>
      </c>
    </row>
    <row r="26" spans="1:19" x14ac:dyDescent="0.35">
      <c r="B26" s="414" t="s">
        <v>38</v>
      </c>
      <c r="C26" s="322">
        <f>_xlfn.STDEV.S(C5:C24)</f>
        <v>1.2803268497166134</v>
      </c>
      <c r="D26" s="15">
        <f t="shared" ref="D26:H26" si="2">_xlfn.STDEV.S(D5:D24)</f>
        <v>23.921910632401435</v>
      </c>
      <c r="E26" s="15">
        <f t="shared" si="2"/>
        <v>103.48333199119557</v>
      </c>
      <c r="F26" s="15">
        <f t="shared" si="2"/>
        <v>0.6234477566429748</v>
      </c>
      <c r="G26" s="15">
        <f t="shared" si="2"/>
        <v>0.32721914433763311</v>
      </c>
      <c r="H26" s="15">
        <f t="shared" si="2"/>
        <v>8.0088217153008387E-3</v>
      </c>
      <c r="I26" s="321">
        <f>_xlfn.STDEV.S(I5:I24)</f>
        <v>1.6340935404392629E-3</v>
      </c>
    </row>
    <row r="27" spans="1:19" x14ac:dyDescent="0.35">
      <c r="C27" s="38"/>
      <c r="D27" s="38"/>
      <c r="E27" s="38"/>
      <c r="F27" s="38"/>
      <c r="G27" s="38"/>
      <c r="H27" s="38"/>
      <c r="I27" s="38"/>
    </row>
    <row r="28" spans="1:19" s="415" customFormat="1" ht="15.5" x14ac:dyDescent="0.35">
      <c r="A28" s="616" t="s">
        <v>75</v>
      </c>
      <c r="B28" s="617"/>
      <c r="C28" s="617"/>
      <c r="D28" s="617"/>
      <c r="E28" s="617"/>
      <c r="F28" s="617"/>
      <c r="G28" s="617"/>
      <c r="H28" s="617"/>
      <c r="I28" s="617"/>
    </row>
    <row r="30" spans="1:19" ht="47.25" customHeight="1" x14ac:dyDescent="0.35">
      <c r="A30" s="22" t="s">
        <v>36</v>
      </c>
      <c r="B30" s="65" t="s">
        <v>0</v>
      </c>
      <c r="C30" s="65" t="s">
        <v>1</v>
      </c>
      <c r="D30" s="65" t="s">
        <v>2</v>
      </c>
      <c r="E30" s="65" t="s">
        <v>3</v>
      </c>
      <c r="F30" s="65" t="s">
        <v>4</v>
      </c>
      <c r="G30" s="65" t="s">
        <v>5</v>
      </c>
      <c r="H30" s="65" t="s">
        <v>6</v>
      </c>
      <c r="I30" s="73" t="s">
        <v>7</v>
      </c>
    </row>
    <row r="31" spans="1:19" x14ac:dyDescent="0.35">
      <c r="A31" s="58">
        <v>1</v>
      </c>
      <c r="B31" s="72" t="s">
        <v>8</v>
      </c>
      <c r="C31" s="69">
        <f>(C5-C$25)/C$26</f>
        <v>1.6284904127891182</v>
      </c>
      <c r="D31" s="13">
        <f t="shared" ref="D31:I31" si="3">(D5-D$25)/D$26</f>
        <v>-0.12228520232403244</v>
      </c>
      <c r="E31" s="13">
        <f t="shared" si="3"/>
        <v>3.21984220635985</v>
      </c>
      <c r="F31" s="13">
        <f t="shared" si="3"/>
        <v>1.5053386430540068</v>
      </c>
      <c r="G31" s="13">
        <f t="shared" si="3"/>
        <v>-1.4134258584906654</v>
      </c>
      <c r="H31" s="13">
        <f t="shared" si="3"/>
        <v>-1.2479744227723084</v>
      </c>
      <c r="I31" s="14">
        <f t="shared" si="3"/>
        <v>-0.865141961315258</v>
      </c>
    </row>
    <row r="32" spans="1:19" x14ac:dyDescent="0.35">
      <c r="A32" s="58">
        <v>2</v>
      </c>
      <c r="B32" s="49" t="s">
        <v>9</v>
      </c>
      <c r="C32" s="71">
        <f t="shared" ref="C32:I50" si="4">(C6-C$25)/C$26</f>
        <v>1.6284904127891182</v>
      </c>
      <c r="D32" s="1">
        <f t="shared" si="4"/>
        <v>-0.18696837599596194</v>
      </c>
      <c r="E32" s="1">
        <f t="shared" si="4"/>
        <v>0.30149782964714084</v>
      </c>
      <c r="F32" s="1">
        <f t="shared" si="4"/>
        <v>1.2005817520787692</v>
      </c>
      <c r="G32" s="1">
        <f t="shared" si="4"/>
        <v>1.133287400051074</v>
      </c>
      <c r="H32" s="1">
        <f t="shared" si="4"/>
        <v>-0.92375778243063889</v>
      </c>
      <c r="I32" s="48">
        <f t="shared" si="4"/>
        <v>0.14485980728505393</v>
      </c>
    </row>
    <row r="33" spans="1:9" x14ac:dyDescent="0.35">
      <c r="A33" s="58">
        <v>3</v>
      </c>
      <c r="B33" s="49" t="s">
        <v>10</v>
      </c>
      <c r="C33" s="71">
        <f t="shared" si="4"/>
        <v>1.3160701897120695</v>
      </c>
      <c r="D33" s="1">
        <f t="shared" si="4"/>
        <v>-2.9672941539111319E-2</v>
      </c>
      <c r="E33" s="1">
        <f t="shared" si="4"/>
        <v>-0.35561282471201222</v>
      </c>
      <c r="F33" s="1">
        <f t="shared" si="4"/>
        <v>0.30235091552017118</v>
      </c>
      <c r="G33" s="1">
        <f t="shared" si="4"/>
        <v>-0.39474055507396955</v>
      </c>
      <c r="H33" s="1">
        <f t="shared" si="4"/>
        <v>2.1619200559144773</v>
      </c>
      <c r="I33" s="48">
        <f>(I7-I$25)/I$26</f>
        <v>1.1766154601321197</v>
      </c>
    </row>
    <row r="34" spans="1:9" x14ac:dyDescent="0.35">
      <c r="A34" s="58">
        <v>4</v>
      </c>
      <c r="B34" s="49" t="s">
        <v>11</v>
      </c>
      <c r="C34" s="71">
        <f t="shared" si="4"/>
        <v>0.45691457625018445</v>
      </c>
      <c r="D34" s="1">
        <f t="shared" si="4"/>
        <v>-8.6851609224997073E-2</v>
      </c>
      <c r="E34" s="1">
        <f t="shared" si="4"/>
        <v>-0.16234498519461427</v>
      </c>
      <c r="F34" s="1">
        <f t="shared" si="4"/>
        <v>0.23819157005170136</v>
      </c>
      <c r="G34" s="1">
        <f t="shared" si="4"/>
        <v>-0.39474055507396955</v>
      </c>
      <c r="H34" s="1">
        <f t="shared" si="4"/>
        <v>-0.7389215482802971</v>
      </c>
      <c r="I34" s="48">
        <f t="shared" si="4"/>
        <v>-0.952915924538832</v>
      </c>
    </row>
    <row r="35" spans="1:9" x14ac:dyDescent="0.35">
      <c r="A35" s="58">
        <v>5</v>
      </c>
      <c r="B35" s="49" t="s">
        <v>12</v>
      </c>
      <c r="C35" s="71">
        <f t="shared" si="4"/>
        <v>1.5503853570198562</v>
      </c>
      <c r="D35" s="1">
        <f t="shared" si="4"/>
        <v>-0.22639513634103728</v>
      </c>
      <c r="E35" s="1">
        <f t="shared" si="4"/>
        <v>5.02496382745235E-2</v>
      </c>
      <c r="F35" s="1">
        <f t="shared" si="4"/>
        <v>1.3128606066485944</v>
      </c>
      <c r="G35" s="1">
        <f t="shared" si="4"/>
        <v>-0.39474055507396955</v>
      </c>
      <c r="H35" s="1">
        <f t="shared" si="4"/>
        <v>-0.495791817179635</v>
      </c>
      <c r="I35" s="48">
        <f>(I9-I$25)/I$26</f>
        <v>1.1766154601321197</v>
      </c>
    </row>
    <row r="36" spans="1:9" x14ac:dyDescent="0.35">
      <c r="A36" s="58">
        <v>6</v>
      </c>
      <c r="B36" s="50" t="s">
        <v>13</v>
      </c>
      <c r="C36" s="71">
        <f t="shared" si="4"/>
        <v>1.1598600781735446</v>
      </c>
      <c r="D36" s="1">
        <f t="shared" si="4"/>
        <v>-5.3829813761467227E-2</v>
      </c>
      <c r="E36" s="1">
        <f t="shared" si="4"/>
        <v>2.4854244161937378</v>
      </c>
      <c r="F36" s="1">
        <f t="shared" si="4"/>
        <v>2.1148524250044849</v>
      </c>
      <c r="G36" s="1">
        <f t="shared" si="4"/>
        <v>1.133287400051074</v>
      </c>
      <c r="H36" s="1">
        <f t="shared" si="4"/>
        <v>-0.53118864567811386</v>
      </c>
      <c r="I36" s="48">
        <f t="shared" si="4"/>
        <v>1.1766154601321197</v>
      </c>
    </row>
    <row r="37" spans="1:9" x14ac:dyDescent="0.35">
      <c r="A37" s="58">
        <v>7</v>
      </c>
      <c r="B37" s="50" t="s">
        <v>14</v>
      </c>
      <c r="C37" s="71">
        <f t="shared" si="4"/>
        <v>-1.4176067622121111</v>
      </c>
      <c r="D37" s="1">
        <f t="shared" si="4"/>
        <v>-0.33926495402230239</v>
      </c>
      <c r="E37" s="1">
        <f t="shared" si="4"/>
        <v>-0.44258335249484132</v>
      </c>
      <c r="F37" s="1">
        <f t="shared" si="4"/>
        <v>0.83166551563505897</v>
      </c>
      <c r="G37" s="1">
        <f t="shared" si="4"/>
        <v>-1.4134258584906654</v>
      </c>
      <c r="H37" s="1">
        <f t="shared" si="4"/>
        <v>-0.35723186351782688</v>
      </c>
      <c r="I37" s="48">
        <f t="shared" si="4"/>
        <v>-1.1223400861099599</v>
      </c>
    </row>
    <row r="38" spans="1:9" x14ac:dyDescent="0.35">
      <c r="A38" s="58">
        <v>8</v>
      </c>
      <c r="B38" s="50" t="s">
        <v>15</v>
      </c>
      <c r="C38" s="71">
        <f t="shared" si="4"/>
        <v>-0.7146612602887501</v>
      </c>
      <c r="D38" s="1">
        <f t="shared" si="4"/>
        <v>-0.3035904394271306</v>
      </c>
      <c r="E38" s="1">
        <f t="shared" si="4"/>
        <v>-0.4135931765672316</v>
      </c>
      <c r="F38" s="1">
        <f t="shared" si="4"/>
        <v>2.9673697279168593E-2</v>
      </c>
      <c r="G38" s="1">
        <f t="shared" si="4"/>
        <v>-0.90408320678231746</v>
      </c>
      <c r="H38" s="1">
        <f t="shared" si="4"/>
        <v>1.1214007848446128</v>
      </c>
      <c r="I38" s="48">
        <f t="shared" si="4"/>
        <v>0.76125794547495163</v>
      </c>
    </row>
    <row r="39" spans="1:9" x14ac:dyDescent="0.35">
      <c r="A39" s="58">
        <v>9</v>
      </c>
      <c r="B39" s="50" t="s">
        <v>16</v>
      </c>
      <c r="C39" s="71">
        <f t="shared" si="4"/>
        <v>-0.63655620451948802</v>
      </c>
      <c r="D39" s="1">
        <f t="shared" si="4"/>
        <v>-0.31794543610343806</v>
      </c>
      <c r="E39" s="1">
        <f t="shared" si="4"/>
        <v>-0.37493960866375203</v>
      </c>
      <c r="F39" s="1">
        <f t="shared" si="4"/>
        <v>-0.56380024830419051</v>
      </c>
      <c r="G39" s="1">
        <f t="shared" si="4"/>
        <v>-1.1587545326364914</v>
      </c>
      <c r="H39" s="1">
        <f t="shared" si="4"/>
        <v>-0.95963775729511702</v>
      </c>
      <c r="I39" s="48">
        <f t="shared" si="4"/>
        <v>1.1766154601321197</v>
      </c>
    </row>
    <row r="40" spans="1:9" x14ac:dyDescent="0.35">
      <c r="A40" s="58">
        <v>10</v>
      </c>
      <c r="B40" s="50" t="s">
        <v>17</v>
      </c>
      <c r="C40" s="71">
        <f t="shared" si="4"/>
        <v>-1.5738168737506357</v>
      </c>
      <c r="D40" s="1">
        <f t="shared" si="4"/>
        <v>-0.26242519214404553</v>
      </c>
      <c r="E40" s="1">
        <f t="shared" si="4"/>
        <v>-0.3266226487844025</v>
      </c>
      <c r="F40" s="1">
        <f t="shared" si="4"/>
        <v>-0.56380024830419051</v>
      </c>
      <c r="G40" s="1">
        <f t="shared" si="4"/>
        <v>-0.90408320678231746</v>
      </c>
      <c r="H40" s="1">
        <f t="shared" si="4"/>
        <v>-0.21640970653092786</v>
      </c>
      <c r="I40" s="48">
        <f t="shared" si="4"/>
        <v>0.50413186497287132</v>
      </c>
    </row>
    <row r="41" spans="1:9" x14ac:dyDescent="0.35">
      <c r="A41" s="58">
        <v>11</v>
      </c>
      <c r="B41" s="50" t="s">
        <v>18</v>
      </c>
      <c r="C41" s="71">
        <f t="shared" si="4"/>
        <v>0.3788095204809217</v>
      </c>
      <c r="D41" s="1">
        <f t="shared" si="4"/>
        <v>-0.22465806292585128</v>
      </c>
      <c r="E41" s="1">
        <f t="shared" si="4"/>
        <v>-0.38460300063962194</v>
      </c>
      <c r="F41" s="1">
        <f t="shared" si="4"/>
        <v>-0.24300352096183403</v>
      </c>
      <c r="G41" s="1">
        <f t="shared" si="4"/>
        <v>-0.90408320678231746</v>
      </c>
      <c r="H41" s="1">
        <f t="shared" si="4"/>
        <v>0.15264146350370403</v>
      </c>
      <c r="I41" s="48">
        <f t="shared" si="4"/>
        <v>0.2612905667209206</v>
      </c>
    </row>
    <row r="42" spans="1:9" x14ac:dyDescent="0.35">
      <c r="A42" s="58">
        <v>12</v>
      </c>
      <c r="B42" s="50" t="s">
        <v>19</v>
      </c>
      <c r="C42" s="71">
        <f t="shared" si="4"/>
        <v>-1.0270814833657995</v>
      </c>
      <c r="D42" s="1">
        <f t="shared" si="4"/>
        <v>-0.30715406085533986</v>
      </c>
      <c r="E42" s="1">
        <f t="shared" si="4"/>
        <v>-0.33628604076027241</v>
      </c>
      <c r="F42" s="1">
        <f t="shared" si="4"/>
        <v>-1.2053937029889019</v>
      </c>
      <c r="G42" s="1">
        <f t="shared" si="4"/>
        <v>1.133287400051074</v>
      </c>
      <c r="H42" s="1">
        <f t="shared" si="4"/>
        <v>-0.61279800027182862</v>
      </c>
      <c r="I42" s="48">
        <f t="shared" si="4"/>
        <v>0.50413186497287132</v>
      </c>
    </row>
    <row r="43" spans="1:9" x14ac:dyDescent="0.35">
      <c r="A43" s="58">
        <v>13</v>
      </c>
      <c r="B43" s="50" t="s">
        <v>20</v>
      </c>
      <c r="C43" s="71">
        <f t="shared" si="4"/>
        <v>-0.63655620451948802</v>
      </c>
      <c r="D43" s="1">
        <f t="shared" si="4"/>
        <v>-0.19870763061969723</v>
      </c>
      <c r="E43" s="1">
        <f t="shared" si="4"/>
        <v>-0.39426639261549179</v>
      </c>
      <c r="F43" s="1">
        <f t="shared" si="4"/>
        <v>-1.4620310848627871</v>
      </c>
      <c r="G43" s="1">
        <f t="shared" si="4"/>
        <v>-0.39474055507396955</v>
      </c>
      <c r="H43" s="1">
        <f t="shared" si="4"/>
        <v>8.0881513774747837E-2</v>
      </c>
      <c r="I43" s="48">
        <f t="shared" si="4"/>
        <v>-1.03862461803952</v>
      </c>
    </row>
    <row r="44" spans="1:9" x14ac:dyDescent="0.35">
      <c r="A44" s="58">
        <v>14</v>
      </c>
      <c r="B44" s="317" t="s">
        <v>21</v>
      </c>
      <c r="C44" s="71">
        <f t="shared" si="4"/>
        <v>6.6389297403872935E-2</v>
      </c>
      <c r="D44" s="1">
        <f t="shared" si="4"/>
        <v>-0.16217015663063658</v>
      </c>
      <c r="E44" s="1">
        <f t="shared" si="4"/>
        <v>-0.38460300063962194</v>
      </c>
      <c r="F44" s="1">
        <f t="shared" si="4"/>
        <v>-0.24300352096183403</v>
      </c>
      <c r="G44" s="1">
        <f t="shared" si="4"/>
        <v>1.133287400051074</v>
      </c>
      <c r="H44" s="1">
        <f t="shared" si="4"/>
        <v>8.0881513774747837E-2</v>
      </c>
      <c r="I44" s="48">
        <f t="shared" si="4"/>
        <v>0.89557753976706034</v>
      </c>
    </row>
    <row r="45" spans="1:9" x14ac:dyDescent="0.35">
      <c r="A45" s="58">
        <v>15</v>
      </c>
      <c r="B45" s="50" t="s">
        <v>22</v>
      </c>
      <c r="C45" s="71">
        <f t="shared" si="4"/>
        <v>-0.16792586990391384</v>
      </c>
      <c r="D45" s="1">
        <f t="shared" si="4"/>
        <v>-0.32300161304706337</v>
      </c>
      <c r="E45" s="1">
        <f t="shared" si="4"/>
        <v>-0.43291996051897141</v>
      </c>
      <c r="F45" s="1">
        <f t="shared" si="4"/>
        <v>-0.72419861197536795</v>
      </c>
      <c r="G45" s="1">
        <f t="shared" si="4"/>
        <v>1.133287400051074</v>
      </c>
      <c r="H45" s="1">
        <f t="shared" si="4"/>
        <v>1.1214007848446128</v>
      </c>
      <c r="I45" s="48">
        <f t="shared" si="4"/>
        <v>0.50413186497287132</v>
      </c>
    </row>
    <row r="46" spans="1:9" x14ac:dyDescent="0.35">
      <c r="A46" s="58">
        <v>16</v>
      </c>
      <c r="B46" s="50" t="s">
        <v>23</v>
      </c>
      <c r="C46" s="71">
        <f t="shared" si="4"/>
        <v>-0.24603092567317655</v>
      </c>
      <c r="D46" s="1">
        <f t="shared" si="4"/>
        <v>-0.1991437062601551</v>
      </c>
      <c r="E46" s="1">
        <f t="shared" si="4"/>
        <v>-0.4039297845913617</v>
      </c>
      <c r="F46" s="1">
        <f t="shared" si="4"/>
        <v>7.7793206380522409E-2</v>
      </c>
      <c r="G46" s="1">
        <f t="shared" si="4"/>
        <v>-0.39474055507396955</v>
      </c>
      <c r="H46" s="1">
        <f t="shared" si="4"/>
        <v>-0.61279800027182862</v>
      </c>
      <c r="I46" s="48">
        <f t="shared" si="4"/>
        <v>0.50413186497287132</v>
      </c>
    </row>
    <row r="47" spans="1:9" x14ac:dyDescent="0.35">
      <c r="A47" s="58">
        <v>17</v>
      </c>
      <c r="B47" s="50" t="s">
        <v>24</v>
      </c>
      <c r="C47" s="71">
        <f t="shared" si="4"/>
        <v>-0.48034609298096331</v>
      </c>
      <c r="D47" s="1">
        <f t="shared" si="4"/>
        <v>-0.330914098618801</v>
      </c>
      <c r="E47" s="1">
        <f t="shared" si="4"/>
        <v>-0.43291996051897141</v>
      </c>
      <c r="F47" s="1">
        <f t="shared" si="4"/>
        <v>-0.6600392665068967</v>
      </c>
      <c r="G47" s="1">
        <f t="shared" si="4"/>
        <v>1.133287400051074</v>
      </c>
      <c r="H47" s="1">
        <f t="shared" si="4"/>
        <v>2.1619200559144773</v>
      </c>
      <c r="I47" s="48">
        <f t="shared" si="4"/>
        <v>-0.86514196131523458</v>
      </c>
    </row>
    <row r="48" spans="1:9" x14ac:dyDescent="0.35">
      <c r="A48" s="58">
        <v>18</v>
      </c>
      <c r="B48" s="50" t="s">
        <v>25</v>
      </c>
      <c r="C48" s="71">
        <f t="shared" si="4"/>
        <v>-0.7146612602887501</v>
      </c>
      <c r="D48" s="1">
        <f>(D22-D$25)/D$26</f>
        <v>4.2295198556923319</v>
      </c>
      <c r="E48" s="1">
        <f t="shared" si="4"/>
        <v>-0.36527621668788213</v>
      </c>
      <c r="F48" s="1">
        <f t="shared" si="4"/>
        <v>-1.5261904303312583</v>
      </c>
      <c r="G48" s="1">
        <f t="shared" si="4"/>
        <v>-0.39474055507396955</v>
      </c>
      <c r="H48" s="1">
        <f>(H22-H$25)/H$26</f>
        <v>0.77456102782132452</v>
      </c>
      <c r="I48" s="48">
        <f t="shared" si="4"/>
        <v>-1.8635707929836465</v>
      </c>
    </row>
    <row r="49" spans="1:22" x14ac:dyDescent="0.35">
      <c r="A49" s="58">
        <v>19</v>
      </c>
      <c r="B49" s="50" t="s">
        <v>26</v>
      </c>
      <c r="C49" s="71">
        <f t="shared" si="4"/>
        <v>-0.3241359814424386</v>
      </c>
      <c r="D49" s="1">
        <f t="shared" si="4"/>
        <v>-0.31970577327794414</v>
      </c>
      <c r="E49" s="1">
        <f t="shared" si="4"/>
        <v>-0.44258335249484132</v>
      </c>
      <c r="F49" s="1">
        <f>(F23-F$25)/F$26</f>
        <v>0.30235091552017118</v>
      </c>
      <c r="G49" s="1">
        <f>(G23-G$25)/G$26</f>
        <v>1.133287400051074</v>
      </c>
      <c r="H49" s="1">
        <f t="shared" si="4"/>
        <v>-1.0752510096362131</v>
      </c>
      <c r="I49" s="48">
        <f t="shared" si="4"/>
        <v>-0.49182485190854586</v>
      </c>
    </row>
    <row r="50" spans="1:22" x14ac:dyDescent="0.35">
      <c r="A50" s="59">
        <v>20</v>
      </c>
      <c r="B50" s="99" t="s">
        <v>27</v>
      </c>
      <c r="C50" s="322">
        <f t="shared" si="4"/>
        <v>-0.24603092567317655</v>
      </c>
      <c r="D50" s="15">
        <f t="shared" si="4"/>
        <v>-0.23483565257331993</v>
      </c>
      <c r="E50" s="15">
        <f t="shared" si="4"/>
        <v>-0.4039297845913617</v>
      </c>
      <c r="F50" s="15">
        <f>(F24-F$25)/F$26</f>
        <v>-0.72419861197536795</v>
      </c>
      <c r="G50" s="15">
        <f t="shared" si="4"/>
        <v>1.133287400051074</v>
      </c>
      <c r="H50" s="15">
        <f t="shared" si="4"/>
        <v>0.11615335347203141</v>
      </c>
      <c r="I50" s="321">
        <f t="shared" si="4"/>
        <v>-1.5864149634569635</v>
      </c>
    </row>
    <row r="52" spans="1:22" s="415" customFormat="1" ht="15.5" x14ac:dyDescent="0.35">
      <c r="A52" s="618" t="s">
        <v>76</v>
      </c>
      <c r="B52" s="619"/>
      <c r="C52" s="619"/>
      <c r="D52" s="619"/>
      <c r="E52" s="619"/>
      <c r="F52" s="619"/>
      <c r="G52" s="619"/>
      <c r="H52" s="619"/>
      <c r="I52" s="619"/>
    </row>
    <row r="53" spans="1:22" ht="15.5" x14ac:dyDescent="0.35">
      <c r="F53" s="327"/>
    </row>
    <row r="54" spans="1:22" x14ac:dyDescent="0.35">
      <c r="B54" s="637" t="s">
        <v>77</v>
      </c>
      <c r="C54" s="638"/>
      <c r="D54" s="638"/>
      <c r="E54" s="638"/>
      <c r="F54" s="638"/>
      <c r="G54" s="639"/>
      <c r="I54" s="332"/>
      <c r="J54" s="333"/>
      <c r="K54" s="333"/>
      <c r="L54" s="334"/>
      <c r="N54" s="634"/>
      <c r="O54" s="634"/>
      <c r="P54" s="634"/>
      <c r="Q54" s="634"/>
      <c r="R54" s="634"/>
      <c r="S54" s="634"/>
    </row>
    <row r="55" spans="1:22" x14ac:dyDescent="0.35">
      <c r="B55" s="640"/>
      <c r="C55" s="634"/>
      <c r="D55" s="634"/>
      <c r="E55" s="634"/>
      <c r="F55" s="634"/>
      <c r="G55" s="641"/>
      <c r="I55" s="335"/>
      <c r="L55" s="336"/>
      <c r="N55" s="634"/>
      <c r="O55" s="634"/>
      <c r="P55" s="634"/>
      <c r="Q55" s="634"/>
      <c r="R55" s="634"/>
      <c r="S55" s="634"/>
    </row>
    <row r="56" spans="1:22" x14ac:dyDescent="0.35">
      <c r="B56" s="642"/>
      <c r="C56" s="643"/>
      <c r="D56" s="643"/>
      <c r="E56" s="643"/>
      <c r="F56" s="643"/>
      <c r="G56" s="644"/>
      <c r="I56" s="335"/>
      <c r="L56" s="336"/>
      <c r="N56" s="634"/>
      <c r="O56" s="634"/>
      <c r="P56" s="634"/>
      <c r="Q56" s="634"/>
      <c r="R56" s="634"/>
      <c r="S56" s="634"/>
    </row>
    <row r="57" spans="1:22" x14ac:dyDescent="0.35">
      <c r="F57" s="36"/>
      <c r="I57" s="335"/>
      <c r="L57" s="336"/>
    </row>
    <row r="58" spans="1:22" x14ac:dyDescent="0.35">
      <c r="B58" s="331" t="s">
        <v>78</v>
      </c>
      <c r="C58" s="329" t="s">
        <v>61</v>
      </c>
      <c r="E58" s="651" t="s">
        <v>79</v>
      </c>
      <c r="F58" s="652"/>
      <c r="G58" s="329" t="s">
        <v>61</v>
      </c>
      <c r="I58" s="335"/>
      <c r="L58" s="336"/>
      <c r="O58" s="62"/>
      <c r="P58" s="62"/>
      <c r="Q58" s="38"/>
      <c r="R58" s="62"/>
      <c r="S58" s="62"/>
      <c r="T58" s="38"/>
      <c r="U58" s="62"/>
      <c r="V58" s="62"/>
    </row>
    <row r="59" spans="1:22" x14ac:dyDescent="0.35">
      <c r="B59" s="564" t="s">
        <v>11</v>
      </c>
      <c r="C59" s="412">
        <v>0.60557499999999997</v>
      </c>
      <c r="E59" s="645" t="s">
        <v>10</v>
      </c>
      <c r="F59" s="646"/>
      <c r="G59" s="412">
        <v>1.0590930000000001</v>
      </c>
      <c r="I59" s="335"/>
      <c r="L59" s="336"/>
      <c r="O59" s="575"/>
      <c r="P59" s="575"/>
      <c r="Q59" s="38"/>
      <c r="R59" s="575"/>
      <c r="S59" s="575"/>
      <c r="T59" s="38"/>
      <c r="U59" s="575"/>
      <c r="V59" s="575"/>
    </row>
    <row r="60" spans="1:22" x14ac:dyDescent="0.35">
      <c r="B60" s="565" t="s">
        <v>14</v>
      </c>
      <c r="C60" s="410">
        <v>0.82561499999999999</v>
      </c>
      <c r="E60" s="647" t="s">
        <v>22</v>
      </c>
      <c r="F60" s="648"/>
      <c r="G60" s="410">
        <v>0.591001</v>
      </c>
      <c r="I60" s="337"/>
      <c r="J60" s="338"/>
      <c r="K60" s="338"/>
      <c r="L60" s="339"/>
      <c r="O60" s="575"/>
      <c r="P60" s="575"/>
      <c r="Q60" s="38"/>
      <c r="R60" s="575"/>
      <c r="S60" s="575"/>
      <c r="T60" s="38"/>
      <c r="U60" s="575"/>
      <c r="V60" s="575"/>
    </row>
    <row r="61" spans="1:22" x14ac:dyDescent="0.35">
      <c r="B61" s="565" t="s">
        <v>15</v>
      </c>
      <c r="C61" s="410">
        <v>0.648509</v>
      </c>
      <c r="E61" s="647" t="s">
        <v>24</v>
      </c>
      <c r="F61" s="648"/>
      <c r="G61" s="410">
        <v>0.59209000000000001</v>
      </c>
      <c r="O61" s="575"/>
      <c r="P61" s="575"/>
      <c r="Q61" s="38"/>
      <c r="R61" s="575"/>
      <c r="S61" s="575"/>
      <c r="T61" s="38"/>
      <c r="U61" s="575"/>
      <c r="V61" s="575"/>
    </row>
    <row r="62" spans="1:22" x14ac:dyDescent="0.35">
      <c r="B62" s="565" t="s">
        <v>16</v>
      </c>
      <c r="C62" s="410">
        <v>0.60029399999999999</v>
      </c>
      <c r="D62" s="62"/>
      <c r="E62" s="647" t="s">
        <v>25</v>
      </c>
      <c r="F62" s="648"/>
      <c r="G62" s="410">
        <v>1.5476380000000001</v>
      </c>
      <c r="O62" s="494"/>
      <c r="P62" s="575"/>
      <c r="Q62" s="38"/>
      <c r="R62" s="575"/>
      <c r="S62" s="575"/>
      <c r="T62" s="38"/>
      <c r="U62" s="575"/>
      <c r="V62" s="575"/>
    </row>
    <row r="63" spans="1:22" x14ac:dyDescent="0.35">
      <c r="B63" s="565" t="s">
        <v>17</v>
      </c>
      <c r="C63" s="410">
        <v>0.50470199999999998</v>
      </c>
      <c r="E63" s="649" t="s">
        <v>27</v>
      </c>
      <c r="F63" s="650"/>
      <c r="G63" s="411">
        <v>0.72351399999999999</v>
      </c>
      <c r="O63" s="38"/>
      <c r="P63" s="38"/>
      <c r="Q63" s="38"/>
      <c r="R63" s="575"/>
      <c r="S63" s="575"/>
      <c r="T63" s="38"/>
      <c r="U63" s="575"/>
      <c r="V63" s="575"/>
    </row>
    <row r="64" spans="1:22" x14ac:dyDescent="0.35">
      <c r="B64" s="565" t="s">
        <v>18</v>
      </c>
      <c r="C64" s="410">
        <v>0.449243</v>
      </c>
      <c r="G64" s="196"/>
      <c r="O64" s="62"/>
      <c r="P64" s="62"/>
      <c r="Q64" s="38"/>
      <c r="R64" s="575"/>
      <c r="S64" s="575"/>
      <c r="T64" s="38"/>
      <c r="U64" s="575"/>
      <c r="V64" s="575"/>
    </row>
    <row r="65" spans="1:23" x14ac:dyDescent="0.35">
      <c r="B65" s="565" t="s">
        <v>19</v>
      </c>
      <c r="C65" s="410">
        <v>0.70126299999999997</v>
      </c>
      <c r="O65" s="38"/>
      <c r="P65" s="38"/>
      <c r="Q65" s="38"/>
      <c r="R65" s="575"/>
      <c r="S65" s="575"/>
      <c r="T65" s="38"/>
      <c r="U65" s="575"/>
      <c r="V65" s="575"/>
    </row>
    <row r="66" spans="1:23" x14ac:dyDescent="0.35">
      <c r="B66" s="565" t="s">
        <v>20</v>
      </c>
      <c r="C66" s="410">
        <v>0.64352100000000001</v>
      </c>
      <c r="K66" s="193"/>
      <c r="L66" s="193"/>
      <c r="O66" s="38"/>
      <c r="P66" s="38"/>
      <c r="Q66" s="38"/>
      <c r="R66" s="575"/>
      <c r="S66" s="575"/>
      <c r="T66" s="38"/>
      <c r="U66" s="38"/>
      <c r="V66" s="38"/>
    </row>
    <row r="67" spans="1:23" x14ac:dyDescent="0.35">
      <c r="B67" s="565" t="s">
        <v>21</v>
      </c>
      <c r="C67" s="410">
        <v>0.66787799999999997</v>
      </c>
      <c r="E67" s="635" t="s">
        <v>80</v>
      </c>
      <c r="F67" s="636"/>
      <c r="G67" s="282" t="s">
        <v>61</v>
      </c>
      <c r="H67" s="193"/>
      <c r="I67" s="192"/>
      <c r="J67" s="196"/>
      <c r="K67" s="193"/>
      <c r="L67" s="193"/>
    </row>
    <row r="68" spans="1:23" x14ac:dyDescent="0.35">
      <c r="B68" s="565" t="s">
        <v>23</v>
      </c>
      <c r="C68" s="410">
        <v>0.26136999999999999</v>
      </c>
      <c r="E68" s="632" t="s">
        <v>8</v>
      </c>
      <c r="F68" s="633"/>
      <c r="G68" s="407">
        <v>1.006157</v>
      </c>
      <c r="K68" s="193"/>
      <c r="L68" s="193"/>
    </row>
    <row r="69" spans="1:23" x14ac:dyDescent="0.35">
      <c r="B69" s="566" t="s">
        <v>26</v>
      </c>
      <c r="C69" s="411">
        <v>0.68826600000000004</v>
      </c>
      <c r="E69" s="653" t="s">
        <v>9</v>
      </c>
      <c r="F69" s="654"/>
      <c r="G69" s="408">
        <v>0.62384600000000001</v>
      </c>
      <c r="K69" s="193"/>
      <c r="L69" s="193"/>
    </row>
    <row r="70" spans="1:23" x14ac:dyDescent="0.35">
      <c r="E70" s="653" t="s">
        <v>12</v>
      </c>
      <c r="F70" s="654"/>
      <c r="G70" s="408">
        <v>0.67016100000000001</v>
      </c>
    </row>
    <row r="71" spans="1:23" x14ac:dyDescent="0.35">
      <c r="E71" s="405" t="s">
        <v>13</v>
      </c>
      <c r="F71" s="406"/>
      <c r="G71" s="409">
        <v>0.66551800000000005</v>
      </c>
    </row>
    <row r="73" spans="1:23" x14ac:dyDescent="0.35">
      <c r="E73" s="193"/>
      <c r="F73" s="193"/>
      <c r="H73" s="193"/>
      <c r="I73" s="193"/>
    </row>
    <row r="74" spans="1:23" s="415" customFormat="1" ht="15" customHeight="1" x14ac:dyDescent="0.35">
      <c r="A74" s="616" t="s">
        <v>81</v>
      </c>
      <c r="B74" s="617"/>
      <c r="C74" s="617"/>
      <c r="D74" s="617"/>
      <c r="E74" s="617"/>
      <c r="F74" s="617"/>
      <c r="G74" s="617"/>
      <c r="H74" s="617"/>
      <c r="I74" s="617"/>
      <c r="J74" s="438"/>
    </row>
    <row r="77" spans="1:23" s="217" customFormat="1" ht="18" customHeight="1" x14ac:dyDescent="0.35">
      <c r="C77" s="651" t="s">
        <v>82</v>
      </c>
      <c r="D77" s="655"/>
      <c r="E77" s="652"/>
      <c r="F77" s="62"/>
      <c r="G77" s="350" t="s">
        <v>83</v>
      </c>
      <c r="H77" s="395">
        <f>AVERAGE(C59:C69)</f>
        <v>0.59965781818181807</v>
      </c>
      <c r="I77" s="351" t="s">
        <v>84</v>
      </c>
      <c r="J77" s="398">
        <f>(C80+C81)/2</f>
        <v>1.042573</v>
      </c>
      <c r="O77" s="634"/>
      <c r="P77" s="634"/>
      <c r="Q77" s="634"/>
      <c r="R77" s="634"/>
      <c r="T77" s="568"/>
      <c r="U77" s="567"/>
      <c r="V77" s="356"/>
      <c r="W77" s="569"/>
    </row>
    <row r="78" spans="1:23" ht="18" customHeight="1" x14ac:dyDescent="0.35">
      <c r="C78" s="38">
        <v>1</v>
      </c>
      <c r="D78" s="38">
        <v>2</v>
      </c>
      <c r="E78" s="38">
        <v>3</v>
      </c>
      <c r="F78" s="38"/>
      <c r="G78" s="352" t="s">
        <v>83</v>
      </c>
      <c r="H78" s="396">
        <f>AVERAGE(G59:G63)</f>
        <v>0.9026672</v>
      </c>
      <c r="I78" s="353" t="s">
        <v>85</v>
      </c>
      <c r="J78" s="399">
        <f>(C80+D81)/2</f>
        <v>1.1832625000000001</v>
      </c>
      <c r="T78" s="356"/>
      <c r="U78" s="567"/>
      <c r="V78" s="356"/>
      <c r="W78" s="569"/>
    </row>
    <row r="79" spans="1:23" ht="18" customHeight="1" x14ac:dyDescent="0.35">
      <c r="B79" s="349"/>
      <c r="C79" s="387">
        <v>0</v>
      </c>
      <c r="D79" s="388">
        <v>0.66290800000000005</v>
      </c>
      <c r="E79" s="389">
        <v>1.6153249999999999</v>
      </c>
      <c r="F79" s="38"/>
      <c r="G79" s="352" t="s">
        <v>83</v>
      </c>
      <c r="H79" s="396">
        <f>AVERAGE(G68:G71)</f>
        <v>0.74142049999999993</v>
      </c>
      <c r="I79" s="353" t="s">
        <v>86</v>
      </c>
      <c r="J79" s="399">
        <f>(C81+D81)/2</f>
        <v>1.4116434999999998</v>
      </c>
      <c r="O79" s="570"/>
      <c r="P79" s="570"/>
      <c r="Q79" s="570"/>
      <c r="R79" s="570"/>
      <c r="T79" s="356"/>
      <c r="U79" s="567"/>
      <c r="V79" s="356"/>
      <c r="W79" s="569"/>
    </row>
    <row r="80" spans="1:23" ht="18" customHeight="1" x14ac:dyDescent="0.35">
      <c r="C80" s="390">
        <v>0.81419200000000003</v>
      </c>
      <c r="D80" s="328">
        <v>0</v>
      </c>
      <c r="E80" s="391">
        <v>2.4097379999999999</v>
      </c>
      <c r="F80" s="38"/>
      <c r="G80" s="354" t="s">
        <v>87</v>
      </c>
      <c r="H80" s="397">
        <f>SUM(H77:H79)/3</f>
        <v>0.7479151727272727</v>
      </c>
      <c r="I80" s="355" t="s">
        <v>88</v>
      </c>
      <c r="J80" s="400">
        <f>SUM(J77:J79)/3</f>
        <v>1.212493</v>
      </c>
      <c r="O80" s="570"/>
      <c r="P80" s="570"/>
      <c r="Q80" s="570"/>
      <c r="R80" s="570"/>
      <c r="T80" s="356"/>
      <c r="U80" s="567"/>
      <c r="V80" s="356"/>
      <c r="W80" s="569"/>
    </row>
    <row r="81" spans="1:34" ht="18" customHeight="1" x14ac:dyDescent="0.35">
      <c r="C81" s="392">
        <v>1.2709539999999999</v>
      </c>
      <c r="D81" s="393">
        <v>1.552333</v>
      </c>
      <c r="E81" s="394">
        <v>0</v>
      </c>
      <c r="F81" s="38"/>
      <c r="G81" s="356"/>
      <c r="H81" s="356"/>
      <c r="I81" s="356"/>
      <c r="J81" s="356"/>
      <c r="O81" s="570"/>
      <c r="P81" s="570"/>
      <c r="Q81" s="570"/>
      <c r="R81" s="570"/>
      <c r="T81" s="356"/>
      <c r="U81" s="567"/>
      <c r="V81" s="356"/>
      <c r="W81" s="356"/>
    </row>
    <row r="82" spans="1:34" ht="32.25" customHeight="1" x14ac:dyDescent="0.35">
      <c r="G82" s="357" t="s">
        <v>89</v>
      </c>
      <c r="H82" s="358">
        <f>H80/J80</f>
        <v>0.61684081700040549</v>
      </c>
      <c r="I82" s="356"/>
      <c r="J82" s="356"/>
      <c r="O82" s="570"/>
      <c r="P82" s="570"/>
      <c r="Q82" s="570"/>
      <c r="R82" s="570"/>
      <c r="T82" s="356"/>
      <c r="U82" s="356"/>
      <c r="V82" s="356"/>
      <c r="W82" s="356"/>
    </row>
    <row r="83" spans="1:34" ht="17.25" customHeight="1" x14ac:dyDescent="0.35">
      <c r="G83" s="356"/>
      <c r="H83" s="356"/>
      <c r="I83" s="356"/>
      <c r="J83" s="356"/>
    </row>
    <row r="85" spans="1:34" s="415" customFormat="1" ht="15.75" customHeight="1" x14ac:dyDescent="0.35">
      <c r="A85" s="590" t="s">
        <v>90</v>
      </c>
      <c r="B85" s="591"/>
      <c r="C85" s="591"/>
      <c r="D85" s="591"/>
      <c r="E85" s="591"/>
      <c r="F85" s="591"/>
      <c r="G85" s="591"/>
      <c r="H85" s="591"/>
      <c r="I85" s="591"/>
      <c r="J85" s="437"/>
      <c r="K85" s="437"/>
      <c r="L85" s="437"/>
      <c r="M85" s="439"/>
      <c r="N85" s="439"/>
      <c r="O85" s="439"/>
    </row>
    <row r="86" spans="1:34" ht="15.75" customHeight="1" x14ac:dyDescent="0.35">
      <c r="A86" s="440"/>
      <c r="B86" s="440"/>
      <c r="C86" s="440"/>
      <c r="D86" s="440"/>
      <c r="E86" s="440"/>
      <c r="F86" s="440"/>
      <c r="G86" s="440"/>
      <c r="H86" s="440"/>
      <c r="I86" s="440"/>
      <c r="J86" s="440"/>
      <c r="K86" s="440"/>
      <c r="L86" s="440"/>
      <c r="M86" s="441"/>
      <c r="N86" s="441"/>
      <c r="O86" s="441"/>
      <c r="P86" s="333"/>
      <c r="Q86" s="333"/>
    </row>
    <row r="87" spans="1:34" ht="39" customHeight="1" x14ac:dyDescent="0.35">
      <c r="A87" s="217"/>
      <c r="B87" s="651" t="s">
        <v>91</v>
      </c>
      <c r="C87" s="655"/>
      <c r="D87" s="655"/>
      <c r="E87" s="652"/>
      <c r="F87" s="359"/>
      <c r="G87" s="637" t="s">
        <v>92</v>
      </c>
      <c r="H87" s="638"/>
      <c r="I87" s="638"/>
      <c r="J87" s="639"/>
      <c r="K87" s="340"/>
      <c r="L87" s="651" t="s">
        <v>93</v>
      </c>
      <c r="M87" s="655"/>
      <c r="N87" s="655"/>
      <c r="O87" s="639"/>
      <c r="Q87" s="331" t="s">
        <v>78</v>
      </c>
      <c r="R87" s="444" t="s">
        <v>1</v>
      </c>
      <c r="S87" s="444" t="s">
        <v>2</v>
      </c>
      <c r="T87" s="444" t="s">
        <v>3</v>
      </c>
      <c r="U87" s="444" t="s">
        <v>4</v>
      </c>
      <c r="V87" s="444" t="s">
        <v>5</v>
      </c>
      <c r="W87" s="444" t="s">
        <v>6</v>
      </c>
      <c r="X87" s="445" t="s">
        <v>94</v>
      </c>
      <c r="Z87" s="651" t="s">
        <v>79</v>
      </c>
      <c r="AA87" s="652"/>
      <c r="AB87" s="446" t="s">
        <v>1</v>
      </c>
      <c r="AC87" s="447" t="s">
        <v>2</v>
      </c>
      <c r="AD87" s="446" t="s">
        <v>3</v>
      </c>
      <c r="AE87" s="447" t="s">
        <v>4</v>
      </c>
      <c r="AF87" s="446" t="s">
        <v>5</v>
      </c>
      <c r="AG87" s="447" t="s">
        <v>6</v>
      </c>
      <c r="AH87" s="448" t="s">
        <v>94</v>
      </c>
    </row>
    <row r="88" spans="1:34" ht="30" customHeight="1" x14ac:dyDescent="0.35">
      <c r="B88" s="404" t="s">
        <v>95</v>
      </c>
      <c r="C88" s="404" t="s">
        <v>96</v>
      </c>
      <c r="D88" s="404" t="s">
        <v>97</v>
      </c>
      <c r="E88" s="443" t="s">
        <v>98</v>
      </c>
      <c r="F88" s="360"/>
      <c r="G88" s="330" t="s">
        <v>95</v>
      </c>
      <c r="H88" s="458" t="str">
        <f>C88</f>
        <v>Średnia</v>
      </c>
      <c r="I88" s="458" t="str">
        <f>D88</f>
        <v>Odchylenie std.</v>
      </c>
      <c r="J88" s="213" t="str">
        <f>E88</f>
        <v>Wariancja</v>
      </c>
      <c r="K88" s="62"/>
      <c r="L88" s="330" t="s">
        <v>95</v>
      </c>
      <c r="M88" s="361" t="str">
        <f>H88</f>
        <v>Średnia</v>
      </c>
      <c r="N88" s="403" t="str">
        <f>I88</f>
        <v>Odchylenie std.</v>
      </c>
      <c r="O88" s="361" t="str">
        <f>J88</f>
        <v>Wariancja</v>
      </c>
      <c r="Q88" s="489" t="s">
        <v>11</v>
      </c>
      <c r="R88" s="449">
        <f t="shared" ref="R88:R98" si="5">_xlfn.XLOOKUP($Q88,$L$5:$L$24,M$5:M$24)</f>
        <v>6.7</v>
      </c>
      <c r="S88" s="450">
        <f t="shared" ref="S88:S98" si="6">_xlfn.XLOOKUP($Q88,$L$5:$L$24,N$5:N$24)</f>
        <v>6.0800555599999999</v>
      </c>
      <c r="T88" s="450">
        <f t="shared" ref="T88:T98" si="7">_xlfn.XLOOKUP($Q88,$L$5:$L$24,O$5:O$24)</f>
        <v>29</v>
      </c>
      <c r="U88" s="450">
        <f t="shared" ref="U88:U98" si="8">_xlfn.XLOOKUP($Q88,$L$5:$L$24,P$5:P$24)</f>
        <v>7.6300000000000008</v>
      </c>
      <c r="V88" s="450">
        <f t="shared" ref="V88:V98" si="9">_xlfn.XLOOKUP($Q88,$L$5:$L$24,Q$5:Q$24)</f>
        <v>2</v>
      </c>
      <c r="W88" s="450">
        <f t="shared" ref="W88:W98" si="10">_xlfn.XLOOKUP($Q88,$L$5:$L$24,R$5:R$24)</f>
        <v>99</v>
      </c>
      <c r="X88" s="292">
        <f t="shared" ref="X88:X98" si="11">_xlfn.XLOOKUP($Q88,$L$5:$L$24,S$5:S$24)</f>
        <v>149</v>
      </c>
      <c r="Z88" s="645" t="s">
        <v>10</v>
      </c>
      <c r="AA88" s="646"/>
      <c r="AB88" s="449">
        <f t="shared" ref="AB88:AH92" si="12">_xlfn.XLOOKUP($Z88,$L$5:$L$24,M$5:M$24)</f>
        <v>7.8</v>
      </c>
      <c r="AC88" s="450">
        <f t="shared" si="12"/>
        <v>7.4478785384615387</v>
      </c>
      <c r="AD88" s="450">
        <f t="shared" si="12"/>
        <v>9</v>
      </c>
      <c r="AE88" s="450">
        <f t="shared" si="12"/>
        <v>7.67</v>
      </c>
      <c r="AF88" s="450">
        <f t="shared" si="12"/>
        <v>2</v>
      </c>
      <c r="AG88" s="450">
        <f t="shared" si="12"/>
        <v>30</v>
      </c>
      <c r="AH88" s="451">
        <f t="shared" si="12"/>
        <v>113</v>
      </c>
    </row>
    <row r="89" spans="1:34" ht="30" customHeight="1" x14ac:dyDescent="0.35">
      <c r="B89" s="442" t="s">
        <v>1</v>
      </c>
      <c r="C89" s="543">
        <f>AVERAGE(R88:R98)</f>
        <v>5.4545454545454541</v>
      </c>
      <c r="D89" s="537">
        <f>_xlfn.STDEV.S(R88:R98)</f>
        <v>0.8548258727526169</v>
      </c>
      <c r="E89" s="538">
        <f>VAR(R88:R98)</f>
        <v>0.73072727272727322</v>
      </c>
      <c r="G89" s="362" t="str">
        <f t="shared" ref="G89:G95" si="13">B89</f>
        <v>Ocena</v>
      </c>
      <c r="H89" s="459">
        <f>AVERAGE(AB88:AB92)</f>
        <v>6.04</v>
      </c>
      <c r="I89" s="459">
        <f>_xlfn.STDEV.S(AB88:AB92)</f>
        <v>1.0212737145349424</v>
      </c>
      <c r="J89" s="280">
        <f>VAR(AB88:AB92)</f>
        <v>1.0429999999999993</v>
      </c>
      <c r="L89" s="463" t="str">
        <f t="shared" ref="L89:L95" si="14">G89</f>
        <v>Ocena</v>
      </c>
      <c r="M89" s="461">
        <f>AVERAGE(AB95:AB98)</f>
        <v>8.0250000000000004</v>
      </c>
      <c r="N89" s="347">
        <f>_xlfn.STDEV.S(AB95:AB98)</f>
        <v>0.28722813232690125</v>
      </c>
      <c r="O89" s="467">
        <f>VAR(AB95:AB98)</f>
        <v>8.2499999999999907E-2</v>
      </c>
      <c r="Q89" s="490" t="s">
        <v>14</v>
      </c>
      <c r="R89" s="452">
        <f t="shared" si="5"/>
        <v>4.3</v>
      </c>
      <c r="S89" s="195">
        <f t="shared" si="6"/>
        <v>4.1846083333333332E-2</v>
      </c>
      <c r="T89" s="195">
        <f t="shared" si="7"/>
        <v>0</v>
      </c>
      <c r="U89" s="195">
        <f t="shared" si="8"/>
        <v>8</v>
      </c>
      <c r="V89" s="195">
        <f t="shared" si="9"/>
        <v>6</v>
      </c>
      <c r="W89" s="195">
        <f t="shared" si="10"/>
        <v>76</v>
      </c>
      <c r="X89" s="251">
        <f t="shared" si="11"/>
        <v>89</v>
      </c>
      <c r="Z89" s="647" t="s">
        <v>22</v>
      </c>
      <c r="AA89" s="648"/>
      <c r="AB89" s="452">
        <f t="shared" si="12"/>
        <v>5.9</v>
      </c>
      <c r="AC89" s="195">
        <f t="shared" si="12"/>
        <v>0.43089627272727271</v>
      </c>
      <c r="AD89" s="195">
        <f t="shared" si="12"/>
        <v>1</v>
      </c>
      <c r="AE89" s="195">
        <f t="shared" si="12"/>
        <v>7.03</v>
      </c>
      <c r="AF89" s="195">
        <f t="shared" si="12"/>
        <v>1</v>
      </c>
      <c r="AG89" s="195">
        <f t="shared" si="12"/>
        <v>40</v>
      </c>
      <c r="AH89" s="251">
        <f t="shared" si="12"/>
        <v>105</v>
      </c>
    </row>
    <row r="90" spans="1:34" ht="30" customHeight="1" x14ac:dyDescent="0.35">
      <c r="B90" s="341" t="s">
        <v>2</v>
      </c>
      <c r="C90" s="544">
        <f>AVERAGE(S88:S98)</f>
        <v>2.2389593429112553</v>
      </c>
      <c r="D90" s="539">
        <f>_xlfn.STDEV.S(S88:S98)</f>
        <v>1.9115738636475508</v>
      </c>
      <c r="E90" s="540">
        <f>VAR(S88:S98)</f>
        <v>3.6541146361804251</v>
      </c>
      <c r="G90" s="362" t="str">
        <f t="shared" si="13"/>
        <v>Rentowność</v>
      </c>
      <c r="H90" s="545">
        <f>AVERAGE(AC88:AC92)</f>
        <v>23.999258362237764</v>
      </c>
      <c r="I90" s="346">
        <f>_xlfn.STDEV.S(AC88:AC92)</f>
        <v>47.793004939126391</v>
      </c>
      <c r="J90" s="197">
        <f>VAR(AC88:AC92)</f>
        <v>2284.1713211113592</v>
      </c>
      <c r="L90" s="463" t="str">
        <f t="shared" si="14"/>
        <v>Rentowność</v>
      </c>
      <c r="M90" s="546">
        <f>AVERAGE(AC95:AC98)</f>
        <v>4.6323488250000002</v>
      </c>
      <c r="N90" s="465">
        <f>_xlfn.STDEV.S(AC95:AC98)</f>
        <v>1.8109174478886136</v>
      </c>
      <c r="O90" s="468">
        <f>VAR(AC95:AC98)</f>
        <v>3.2794220030674097</v>
      </c>
      <c r="Q90" s="490" t="s">
        <v>15</v>
      </c>
      <c r="R90" s="452">
        <f t="shared" si="5"/>
        <v>5.2</v>
      </c>
      <c r="S90" s="195">
        <f t="shared" si="6"/>
        <v>0.89524863333333338</v>
      </c>
      <c r="T90" s="195">
        <f t="shared" si="7"/>
        <v>3</v>
      </c>
      <c r="U90" s="195">
        <f t="shared" si="8"/>
        <v>7.5</v>
      </c>
      <c r="V90" s="195">
        <f t="shared" si="9"/>
        <v>3</v>
      </c>
      <c r="W90" s="195">
        <f t="shared" si="10"/>
        <v>40</v>
      </c>
      <c r="X90" s="251">
        <f t="shared" si="11"/>
        <v>107</v>
      </c>
      <c r="Z90" s="647" t="s">
        <v>24</v>
      </c>
      <c r="AA90" s="648"/>
      <c r="AB90" s="452">
        <f t="shared" si="12"/>
        <v>5.5</v>
      </c>
      <c r="AC90" s="195">
        <f t="shared" si="12"/>
        <v>0.24161450000000001</v>
      </c>
      <c r="AD90" s="195">
        <f t="shared" si="12"/>
        <v>1</v>
      </c>
      <c r="AE90" s="195">
        <f t="shared" si="12"/>
        <v>7.07</v>
      </c>
      <c r="AF90" s="195">
        <f t="shared" si="12"/>
        <v>1</v>
      </c>
      <c r="AG90" s="195">
        <f t="shared" si="12"/>
        <v>30</v>
      </c>
      <c r="AH90" s="251">
        <f t="shared" si="12"/>
        <v>92</v>
      </c>
    </row>
    <row r="91" spans="1:34" ht="30" customHeight="1" x14ac:dyDescent="0.35">
      <c r="B91" s="341" t="s">
        <v>3</v>
      </c>
      <c r="C91" s="544">
        <f>AVERAGE(T88:T98)</f>
        <v>7.5454545454545459</v>
      </c>
      <c r="D91" s="539">
        <f>_xlfn.STDEV.S(T88:T98)</f>
        <v>8.0667668413514519</v>
      </c>
      <c r="E91" s="540">
        <f>VAR(T88:T98)</f>
        <v>65.072727272727278</v>
      </c>
      <c r="G91" s="362" t="str">
        <f t="shared" si="13"/>
        <v>Nagrody i nominacje</v>
      </c>
      <c r="H91" s="346">
        <f>AVERAGE(AD88:AD92)</f>
        <v>4.5999999999999996</v>
      </c>
      <c r="I91" s="346">
        <f>_xlfn.STDEV.S(AD88:AD92)</f>
        <v>3.7815340802378077</v>
      </c>
      <c r="J91" s="197">
        <f>VAR(AD88:AD92)</f>
        <v>14.3</v>
      </c>
      <c r="L91" s="463" t="str">
        <f t="shared" si="14"/>
        <v>Nagrody i nominacje</v>
      </c>
      <c r="M91" s="348">
        <f>AVERAGE(AD95:AD98)</f>
        <v>202.5</v>
      </c>
      <c r="N91" s="465">
        <f>_xlfn.STDEV.S(AD95:AD98)</f>
        <v>163.25338179243536</v>
      </c>
      <c r="O91" s="468">
        <f>VAR(AD95:AD98)</f>
        <v>26651.666666666668</v>
      </c>
      <c r="Q91" s="490" t="s">
        <v>16</v>
      </c>
      <c r="R91" s="452">
        <f t="shared" si="5"/>
        <v>5.3</v>
      </c>
      <c r="S91" s="195">
        <f t="shared" si="6"/>
        <v>0.55184968571428572</v>
      </c>
      <c r="T91" s="195">
        <f t="shared" si="7"/>
        <v>7</v>
      </c>
      <c r="U91" s="195">
        <f t="shared" si="8"/>
        <v>7.13</v>
      </c>
      <c r="V91" s="195">
        <f t="shared" si="9"/>
        <v>4</v>
      </c>
      <c r="W91" s="195">
        <f t="shared" si="10"/>
        <v>120</v>
      </c>
      <c r="X91" s="251">
        <f t="shared" si="11"/>
        <v>114</v>
      </c>
      <c r="Z91" s="647" t="s">
        <v>25</v>
      </c>
      <c r="AA91" s="648"/>
      <c r="AB91" s="452">
        <f t="shared" si="12"/>
        <v>5.2</v>
      </c>
      <c r="AC91" s="195">
        <f t="shared" si="12"/>
        <v>109.335908</v>
      </c>
      <c r="AD91" s="195">
        <f t="shared" si="12"/>
        <v>8</v>
      </c>
      <c r="AE91" s="195">
        <f t="shared" si="12"/>
        <v>6.53</v>
      </c>
      <c r="AF91" s="195">
        <f t="shared" si="12"/>
        <v>2</v>
      </c>
      <c r="AG91" s="195">
        <f t="shared" si="12"/>
        <v>45</v>
      </c>
      <c r="AH91" s="251">
        <f t="shared" si="12"/>
        <v>79</v>
      </c>
    </row>
    <row r="92" spans="1:34" ht="41.25" customHeight="1" x14ac:dyDescent="0.35">
      <c r="B92" s="342" t="s">
        <v>4</v>
      </c>
      <c r="C92" s="544">
        <f>AVERAGE(U88:U98)</f>
        <v>7.3227272727272741</v>
      </c>
      <c r="D92" s="539">
        <f>_xlfn.STDEV.S(U88:U98)</f>
        <v>0.41718319498970491</v>
      </c>
      <c r="E92" s="540">
        <f>VAR(U88:U98)</f>
        <v>0.17404181818181813</v>
      </c>
      <c r="G92" s="362" t="str">
        <f t="shared" si="13"/>
        <v>Średnia ocen 3 najlepszych aktorów</v>
      </c>
      <c r="H92" s="545">
        <f>AVERAGE(AE88:AE92)</f>
        <v>7.0659999999999998</v>
      </c>
      <c r="I92" s="346">
        <f>_xlfn.STDEV.S(AE88:AE92)</f>
        <v>0.40457384987168893</v>
      </c>
      <c r="J92" s="197">
        <f>VAR(AE88:AE92)</f>
        <v>0.16367999999999988</v>
      </c>
      <c r="L92" s="362" t="str">
        <f t="shared" si="14"/>
        <v>Średnia ocen 3 najlepszych aktorów</v>
      </c>
      <c r="M92" s="348">
        <f>AVERAGE(AE95:AE98)</f>
        <v>8.4375</v>
      </c>
      <c r="N92" s="465">
        <f>_xlfn.STDEV.S(AE95:AE98)</f>
        <v>0.2540833196676503</v>
      </c>
      <c r="O92" s="468">
        <f>VAR(AE95:AE98)</f>
        <v>6.455833333333337E-2</v>
      </c>
      <c r="Q92" s="490" t="s">
        <v>17</v>
      </c>
      <c r="R92" s="452">
        <f t="shared" si="5"/>
        <v>4.0999999999999996</v>
      </c>
      <c r="S92" s="195">
        <f t="shared" si="6"/>
        <v>1.88</v>
      </c>
      <c r="T92" s="195">
        <f t="shared" si="7"/>
        <v>12</v>
      </c>
      <c r="U92" s="195">
        <f t="shared" si="8"/>
        <v>7.13</v>
      </c>
      <c r="V92" s="195">
        <f t="shared" si="9"/>
        <v>3</v>
      </c>
      <c r="W92" s="195">
        <f t="shared" si="10"/>
        <v>70</v>
      </c>
      <c r="X92" s="251">
        <f t="shared" si="11"/>
        <v>105</v>
      </c>
      <c r="Z92" s="649" t="s">
        <v>27</v>
      </c>
      <c r="AA92" s="650"/>
      <c r="AB92" s="453">
        <f t="shared" si="12"/>
        <v>5.8</v>
      </c>
      <c r="AC92" s="454">
        <f t="shared" si="12"/>
        <v>2.5399945000000002</v>
      </c>
      <c r="AD92" s="454">
        <f t="shared" si="12"/>
        <v>4</v>
      </c>
      <c r="AE92" s="454">
        <f t="shared" si="12"/>
        <v>7.03</v>
      </c>
      <c r="AF92" s="454">
        <f t="shared" si="12"/>
        <v>1</v>
      </c>
      <c r="AG92" s="454">
        <f t="shared" si="12"/>
        <v>59</v>
      </c>
      <c r="AH92" s="455">
        <f t="shared" si="12"/>
        <v>83</v>
      </c>
    </row>
    <row r="93" spans="1:34" ht="39.75" customHeight="1" x14ac:dyDescent="0.35">
      <c r="B93" s="341" t="s">
        <v>5</v>
      </c>
      <c r="C93" s="544">
        <f>AVERAGE(V88:V98)</f>
        <v>2.5454545454545454</v>
      </c>
      <c r="D93" s="539">
        <f>_xlfn.STDEV.S(V88:V98)</f>
        <v>1.5075567228888183</v>
      </c>
      <c r="E93" s="540">
        <f>VAR(V88:V98)</f>
        <v>2.2727272727272734</v>
      </c>
      <c r="G93" s="362" t="str">
        <f t="shared" si="13"/>
        <v>Liczba krajów produkcji</v>
      </c>
      <c r="H93" s="346">
        <f>AVERAGE(AF88:AF92)</f>
        <v>1.4</v>
      </c>
      <c r="I93" s="346">
        <f>_xlfn.STDEV.S(AF88:AF92)</f>
        <v>0.54772255750516596</v>
      </c>
      <c r="J93" s="197">
        <f>VAR(AF88:AF92)</f>
        <v>0.29999999999999982</v>
      </c>
      <c r="L93" s="463" t="str">
        <f t="shared" si="14"/>
        <v>Liczba krajów produkcji</v>
      </c>
      <c r="M93" s="348">
        <f>AVERAGE(AF95:AF98)</f>
        <v>2.5</v>
      </c>
      <c r="N93" s="465">
        <f>_xlfn.STDEV.S(AF95:AF98)</f>
        <v>2.3804761428476167</v>
      </c>
      <c r="O93" s="468">
        <f>VAR(AF95:AF98)</f>
        <v>5.666666666666667</v>
      </c>
      <c r="Q93" s="490" t="s">
        <v>18</v>
      </c>
      <c r="R93" s="452">
        <f t="shared" si="5"/>
        <v>6.6</v>
      </c>
      <c r="S93" s="195">
        <f t="shared" si="6"/>
        <v>2.7834618899999999</v>
      </c>
      <c r="T93" s="195">
        <f t="shared" si="7"/>
        <v>6</v>
      </c>
      <c r="U93" s="195">
        <f t="shared" si="8"/>
        <v>7.33</v>
      </c>
      <c r="V93" s="195">
        <f t="shared" si="9"/>
        <v>3</v>
      </c>
      <c r="W93" s="195">
        <f t="shared" si="10"/>
        <v>58</v>
      </c>
      <c r="X93" s="251">
        <f t="shared" si="11"/>
        <v>103</v>
      </c>
    </row>
    <row r="94" spans="1:34" ht="40.5" customHeight="1" x14ac:dyDescent="0.35">
      <c r="B94" s="341" t="s">
        <v>6</v>
      </c>
      <c r="C94" s="544">
        <f>AVERAGE(W88:W98)</f>
        <v>81.63636363636364</v>
      </c>
      <c r="D94" s="539">
        <f>_xlfn.STDEV.S(W88:W98)</f>
        <v>28.559666410071138</v>
      </c>
      <c r="E94" s="540">
        <f>VAR(W88:W98)</f>
        <v>815.65454545454554</v>
      </c>
      <c r="G94" s="401" t="str">
        <f t="shared" si="13"/>
        <v>Czas kręcenia w dniach</v>
      </c>
      <c r="H94" s="346">
        <f>AVERAGE(AG88:AG92)</f>
        <v>40.799999999999997</v>
      </c>
      <c r="I94" s="346">
        <f>_xlfn.STDEV.S(AG88:AG92)</f>
        <v>12.070625501605118</v>
      </c>
      <c r="J94" s="197">
        <f>VAR(AG88:AG92)</f>
        <v>145.69999999999982</v>
      </c>
      <c r="L94" s="463" t="str">
        <f t="shared" si="14"/>
        <v>Czas kręcenia w dniach</v>
      </c>
      <c r="M94" s="348">
        <f>AVERAGE(AG95:AG98)</f>
        <v>112.5</v>
      </c>
      <c r="N94" s="465">
        <f>_xlfn.STDEV.S(AG95:AG98)</f>
        <v>38.734136537856799</v>
      </c>
      <c r="O94" s="468">
        <f>VAR(AG95:AG98)</f>
        <v>1500.3333333333333</v>
      </c>
      <c r="Q94" s="490" t="s">
        <v>19</v>
      </c>
      <c r="R94" s="452">
        <f t="shared" si="5"/>
        <v>4.8</v>
      </c>
      <c r="S94" s="195">
        <f t="shared" si="6"/>
        <v>0.81</v>
      </c>
      <c r="T94" s="195">
        <f t="shared" si="7"/>
        <v>11</v>
      </c>
      <c r="U94" s="195">
        <f t="shared" si="8"/>
        <v>6.73</v>
      </c>
      <c r="V94" s="195">
        <f t="shared" si="9"/>
        <v>1</v>
      </c>
      <c r="W94" s="195">
        <f t="shared" si="10"/>
        <v>90</v>
      </c>
      <c r="X94" s="251">
        <f t="shared" si="11"/>
        <v>105</v>
      </c>
      <c r="Z94" s="658" t="s">
        <v>80</v>
      </c>
      <c r="AA94" s="659"/>
      <c r="AB94" s="447" t="s">
        <v>1</v>
      </c>
      <c r="AC94" s="446" t="s">
        <v>2</v>
      </c>
      <c r="AD94" s="447" t="s">
        <v>3</v>
      </c>
      <c r="AE94" s="446" t="s">
        <v>4</v>
      </c>
      <c r="AF94" s="447" t="s">
        <v>5</v>
      </c>
      <c r="AG94" s="456" t="s">
        <v>6</v>
      </c>
      <c r="AH94" s="457" t="s">
        <v>94</v>
      </c>
    </row>
    <row r="95" spans="1:34" ht="30" customHeight="1" x14ac:dyDescent="0.35">
      <c r="B95" s="343" t="s">
        <v>94</v>
      </c>
      <c r="C95" s="536">
        <f>AVERAGE(X88:X98)</f>
        <v>106.45454545454545</v>
      </c>
      <c r="D95" s="541">
        <f>_xlfn.STDEV.S(X88:X98)</f>
        <v>16.039723416341317</v>
      </c>
      <c r="E95" s="542">
        <f>VAR(X88:X98)</f>
        <v>257.27272727272793</v>
      </c>
      <c r="G95" s="402" t="str">
        <f t="shared" si="13"/>
        <v>Długość filmu</v>
      </c>
      <c r="H95" s="460">
        <f>AVERAGE(AH88:AH92)</f>
        <v>94.4</v>
      </c>
      <c r="I95" s="460">
        <f>_xlfn.STDEV.S(AH88:AH92)</f>
        <v>14.415269681833887</v>
      </c>
      <c r="J95" s="198">
        <f>VAR(AH88:AH92)</f>
        <v>207.79999999999927</v>
      </c>
      <c r="L95" s="464" t="str">
        <f t="shared" si="14"/>
        <v>Długość filmu</v>
      </c>
      <c r="M95" s="462">
        <f>AVERAGE(AH95:AH98)</f>
        <v>134.5</v>
      </c>
      <c r="N95" s="466">
        <f>_xlfn.STDEV.S(AH95:AH98)</f>
        <v>11.120551545074852</v>
      </c>
      <c r="O95" s="469">
        <f>VAR(AH95:AH98)</f>
        <v>123.66666666666667</v>
      </c>
      <c r="Q95" s="490" t="s">
        <v>20</v>
      </c>
      <c r="R95" s="452">
        <f t="shared" si="5"/>
        <v>5.3</v>
      </c>
      <c r="S95" s="195">
        <f t="shared" si="6"/>
        <v>3.4042458125000001</v>
      </c>
      <c r="T95" s="195">
        <f t="shared" si="7"/>
        <v>5</v>
      </c>
      <c r="U95" s="195">
        <f t="shared" si="8"/>
        <v>6.57</v>
      </c>
      <c r="V95" s="195">
        <f t="shared" si="9"/>
        <v>2</v>
      </c>
      <c r="W95" s="195">
        <f t="shared" si="10"/>
        <v>60</v>
      </c>
      <c r="X95" s="251">
        <f t="shared" si="11"/>
        <v>90</v>
      </c>
      <c r="Z95" s="660" t="s">
        <v>8</v>
      </c>
      <c r="AA95" s="661"/>
      <c r="AB95" s="449">
        <f t="shared" ref="AB95:AH98" si="15">_xlfn.XLOOKUP($Z95,$L$5:$L$24,M$5:M$24)</f>
        <v>8.1999999999999993</v>
      </c>
      <c r="AC95" s="450">
        <f t="shared" si="15"/>
        <v>5.2324163124999998</v>
      </c>
      <c r="AD95" s="450">
        <f t="shared" si="15"/>
        <v>379</v>
      </c>
      <c r="AE95" s="450">
        <f t="shared" si="15"/>
        <v>8.42</v>
      </c>
      <c r="AF95" s="450">
        <f t="shared" si="15"/>
        <v>6</v>
      </c>
      <c r="AG95" s="450">
        <f t="shared" si="15"/>
        <v>166</v>
      </c>
      <c r="AH95" s="451">
        <f t="shared" si="15"/>
        <v>148</v>
      </c>
    </row>
    <row r="96" spans="1:34" ht="27.75" customHeight="1" x14ac:dyDescent="0.35">
      <c r="Q96" s="490" t="s">
        <v>21</v>
      </c>
      <c r="R96" s="452">
        <f t="shared" si="5"/>
        <v>6.2</v>
      </c>
      <c r="S96" s="195">
        <f t="shared" si="6"/>
        <v>4.2782920000000004</v>
      </c>
      <c r="T96" s="195">
        <f t="shared" si="7"/>
        <v>6</v>
      </c>
      <c r="U96" s="195">
        <f t="shared" si="8"/>
        <v>7.33</v>
      </c>
      <c r="V96" s="195">
        <f t="shared" si="9"/>
        <v>1</v>
      </c>
      <c r="W96" s="195">
        <f t="shared" si="10"/>
        <v>60</v>
      </c>
      <c r="X96" s="251">
        <f t="shared" si="11"/>
        <v>108</v>
      </c>
      <c r="Z96" s="662" t="s">
        <v>9</v>
      </c>
      <c r="AA96" s="663"/>
      <c r="AB96" s="452">
        <f t="shared" si="15"/>
        <v>8.1999999999999993</v>
      </c>
      <c r="AC96" s="195">
        <f t="shared" si="15"/>
        <v>3.6850712125</v>
      </c>
      <c r="AD96" s="195">
        <f t="shared" si="15"/>
        <v>77</v>
      </c>
      <c r="AE96" s="195">
        <f t="shared" si="15"/>
        <v>8.23</v>
      </c>
      <c r="AF96" s="195">
        <f t="shared" si="15"/>
        <v>1</v>
      </c>
      <c r="AG96" s="195">
        <f t="shared" si="15"/>
        <v>116</v>
      </c>
      <c r="AH96" s="251">
        <f t="shared" si="15"/>
        <v>138</v>
      </c>
    </row>
    <row r="97" spans="1:34" ht="27.75" customHeight="1" x14ac:dyDescent="0.35">
      <c r="Q97" s="490" t="s">
        <v>23</v>
      </c>
      <c r="R97" s="452">
        <f t="shared" si="5"/>
        <v>5.8</v>
      </c>
      <c r="S97" s="195">
        <f t="shared" si="6"/>
        <v>3.39381405</v>
      </c>
      <c r="T97" s="195">
        <f t="shared" si="7"/>
        <v>4</v>
      </c>
      <c r="U97" s="195">
        <f t="shared" si="8"/>
        <v>7.53</v>
      </c>
      <c r="V97" s="195">
        <f t="shared" si="9"/>
        <v>2</v>
      </c>
      <c r="W97" s="195">
        <f t="shared" si="10"/>
        <v>90</v>
      </c>
      <c r="X97" s="251">
        <f t="shared" si="11"/>
        <v>105</v>
      </c>
      <c r="Z97" s="662" t="s">
        <v>12</v>
      </c>
      <c r="AA97" s="663"/>
      <c r="AB97" s="452">
        <f t="shared" si="15"/>
        <v>8.1</v>
      </c>
      <c r="AC97" s="195">
        <f t="shared" si="15"/>
        <v>2.741907775</v>
      </c>
      <c r="AD97" s="195">
        <f t="shared" si="15"/>
        <v>51</v>
      </c>
      <c r="AE97" s="195">
        <f t="shared" si="15"/>
        <v>8.3000000000000007</v>
      </c>
      <c r="AF97" s="195">
        <f t="shared" si="15"/>
        <v>2</v>
      </c>
      <c r="AG97" s="195">
        <f t="shared" si="15"/>
        <v>83</v>
      </c>
      <c r="AH97" s="251">
        <f t="shared" si="15"/>
        <v>130</v>
      </c>
    </row>
    <row r="98" spans="1:34" ht="23.25" customHeight="1" x14ac:dyDescent="0.35">
      <c r="Q98" s="491" t="s">
        <v>26</v>
      </c>
      <c r="R98" s="453">
        <f t="shared" si="5"/>
        <v>5.7</v>
      </c>
      <c r="S98" s="454">
        <f t="shared" si="6"/>
        <v>0.50973905714285717</v>
      </c>
      <c r="T98" s="454">
        <f t="shared" si="7"/>
        <v>0</v>
      </c>
      <c r="U98" s="454">
        <f t="shared" si="8"/>
        <v>7.67</v>
      </c>
      <c r="V98" s="454">
        <f t="shared" si="9"/>
        <v>1</v>
      </c>
      <c r="W98" s="454">
        <f t="shared" si="10"/>
        <v>135</v>
      </c>
      <c r="X98" s="455">
        <f t="shared" si="11"/>
        <v>96</v>
      </c>
      <c r="Z98" s="656" t="s">
        <v>13</v>
      </c>
      <c r="AA98" s="657"/>
      <c r="AB98" s="453">
        <f t="shared" si="15"/>
        <v>7.6</v>
      </c>
      <c r="AC98" s="454">
        <f t="shared" si="15"/>
        <v>6.87</v>
      </c>
      <c r="AD98" s="454">
        <f t="shared" si="15"/>
        <v>303</v>
      </c>
      <c r="AE98" s="454">
        <f t="shared" si="15"/>
        <v>8.8000000000000007</v>
      </c>
      <c r="AF98" s="454">
        <f t="shared" si="15"/>
        <v>1</v>
      </c>
      <c r="AG98" s="454">
        <f t="shared" si="15"/>
        <v>85</v>
      </c>
      <c r="AH98" s="455">
        <f t="shared" si="15"/>
        <v>122</v>
      </c>
    </row>
    <row r="99" spans="1:34" ht="15.5" x14ac:dyDescent="0.35">
      <c r="A99" s="488"/>
      <c r="B99" s="488"/>
      <c r="C99" s="488"/>
      <c r="D99" s="488"/>
      <c r="E99" s="488"/>
      <c r="F99" s="488"/>
      <c r="G99" s="488"/>
      <c r="H99" s="488"/>
      <c r="I99" s="488"/>
    </row>
    <row r="102" spans="1:34" x14ac:dyDescent="0.35">
      <c r="B102" s="484"/>
      <c r="C102" s="484"/>
      <c r="D102" s="484"/>
      <c r="E102" s="484"/>
      <c r="F102" s="484"/>
      <c r="G102" s="484"/>
      <c r="H102" s="484"/>
      <c r="I102" s="484"/>
    </row>
    <row r="103" spans="1:34" x14ac:dyDescent="0.35">
      <c r="B103" s="485"/>
      <c r="C103" s="485"/>
      <c r="D103" s="485"/>
      <c r="E103" s="485"/>
      <c r="F103" s="485"/>
      <c r="G103" s="485"/>
      <c r="H103" s="485"/>
      <c r="I103" s="486"/>
    </row>
    <row r="104" spans="1:34" x14ac:dyDescent="0.35">
      <c r="B104" s="487"/>
      <c r="C104" s="485"/>
      <c r="D104" s="485"/>
      <c r="E104" s="485"/>
      <c r="F104" s="485"/>
      <c r="G104" s="485"/>
      <c r="H104" s="485"/>
      <c r="I104" s="486"/>
    </row>
    <row r="105" spans="1:34" x14ac:dyDescent="0.35">
      <c r="B105" s="485"/>
      <c r="C105" s="485"/>
      <c r="D105" s="485"/>
      <c r="E105" s="485"/>
      <c r="F105" s="485"/>
      <c r="G105" s="485"/>
      <c r="H105" s="485"/>
      <c r="I105" s="486"/>
    </row>
    <row r="106" spans="1:34" x14ac:dyDescent="0.35">
      <c r="B106" s="485"/>
      <c r="C106" s="485"/>
      <c r="D106" s="485"/>
      <c r="E106" s="485"/>
      <c r="F106" s="485"/>
      <c r="G106" s="485"/>
      <c r="H106" s="485"/>
      <c r="I106" s="486"/>
    </row>
  </sheetData>
  <mergeCells count="34">
    <mergeCell ref="Z90:AA90"/>
    <mergeCell ref="Z98:AA98"/>
    <mergeCell ref="A85:I85"/>
    <mergeCell ref="Z91:AA91"/>
    <mergeCell ref="Z94:AA94"/>
    <mergeCell ref="Z95:AA95"/>
    <mergeCell ref="Z96:AA96"/>
    <mergeCell ref="Z97:AA97"/>
    <mergeCell ref="Z92:AA92"/>
    <mergeCell ref="Z87:AA87"/>
    <mergeCell ref="B87:E87"/>
    <mergeCell ref="G87:J87"/>
    <mergeCell ref="L87:O87"/>
    <mergeCell ref="Z88:AA88"/>
    <mergeCell ref="Z89:AA89"/>
    <mergeCell ref="O77:R77"/>
    <mergeCell ref="A74:I74"/>
    <mergeCell ref="E69:F69"/>
    <mergeCell ref="E70:F70"/>
    <mergeCell ref="C77:E77"/>
    <mergeCell ref="L2:S2"/>
    <mergeCell ref="A2:I2"/>
    <mergeCell ref="A28:I28"/>
    <mergeCell ref="E68:F68"/>
    <mergeCell ref="A52:I52"/>
    <mergeCell ref="N54:S56"/>
    <mergeCell ref="E67:F67"/>
    <mergeCell ref="B54:G56"/>
    <mergeCell ref="E59:F59"/>
    <mergeCell ref="E60:F60"/>
    <mergeCell ref="E61:F61"/>
    <mergeCell ref="E62:F62"/>
    <mergeCell ref="E63:F63"/>
    <mergeCell ref="E58:F5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3D25-6F06-4EEF-B18A-5F344D5DF25F}">
  <dimension ref="A2:AB155"/>
  <sheetViews>
    <sheetView zoomScaleNormal="100" workbookViewId="0">
      <selection activeCell="N125" sqref="N125:N127"/>
    </sheetView>
  </sheetViews>
  <sheetFormatPr defaultColWidth="9.08984375" defaultRowHeight="14.5" x14ac:dyDescent="0.35"/>
  <cols>
    <col min="1" max="1" width="9.08984375" style="12"/>
    <col min="2" max="4" width="11.6328125" style="12" customWidth="1"/>
    <col min="5" max="5" width="12.6328125" style="12" customWidth="1"/>
    <col min="6" max="8" width="11.6328125" style="12" customWidth="1"/>
    <col min="9" max="9" width="10.36328125" style="12" customWidth="1"/>
    <col min="10" max="12" width="11.6328125" style="12" customWidth="1"/>
    <col min="13" max="13" width="9.08984375" style="12"/>
    <col min="14" max="16" width="11.6328125" style="12" customWidth="1"/>
    <col min="17" max="18" width="9.08984375" style="12"/>
    <col min="19" max="19" width="11" style="12" customWidth="1"/>
    <col min="20" max="20" width="9.36328125" style="12" bestFit="1" customWidth="1"/>
    <col min="21" max="23" width="9.08984375" style="12"/>
    <col min="24" max="24" width="9.36328125" style="12" bestFit="1" customWidth="1"/>
    <col min="25" max="16384" width="9.08984375" style="12"/>
  </cols>
  <sheetData>
    <row r="2" spans="1:16" s="415" customFormat="1" ht="15.5" x14ac:dyDescent="0.35">
      <c r="A2" s="668" t="s">
        <v>99</v>
      </c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</row>
    <row r="4" spans="1:16" x14ac:dyDescent="0.35">
      <c r="B4" s="332"/>
      <c r="C4" s="333"/>
      <c r="D4" s="333"/>
      <c r="E4" s="333"/>
      <c r="F4" s="333"/>
      <c r="G4" s="333"/>
      <c r="H4" s="333"/>
      <c r="I4" s="333"/>
      <c r="J4" s="333"/>
      <c r="K4" s="334"/>
    </row>
    <row r="5" spans="1:16" x14ac:dyDescent="0.35">
      <c r="B5" s="335"/>
      <c r="K5" s="336"/>
    </row>
    <row r="6" spans="1:16" x14ac:dyDescent="0.35">
      <c r="B6" s="335"/>
      <c r="K6" s="336"/>
    </row>
    <row r="7" spans="1:16" x14ac:dyDescent="0.35">
      <c r="B7" s="335"/>
      <c r="K7" s="336"/>
    </row>
    <row r="8" spans="1:16" x14ac:dyDescent="0.35">
      <c r="B8" s="335"/>
      <c r="K8" s="336"/>
    </row>
    <row r="9" spans="1:16" x14ac:dyDescent="0.35">
      <c r="B9" s="335"/>
      <c r="K9" s="336"/>
    </row>
    <row r="10" spans="1:16" x14ac:dyDescent="0.35">
      <c r="B10" s="335"/>
      <c r="K10" s="336"/>
    </row>
    <row r="11" spans="1:16" x14ac:dyDescent="0.35">
      <c r="B11" s="335"/>
      <c r="K11" s="336"/>
    </row>
    <row r="12" spans="1:16" x14ac:dyDescent="0.35">
      <c r="B12" s="335"/>
      <c r="K12" s="336"/>
    </row>
    <row r="13" spans="1:16" x14ac:dyDescent="0.35">
      <c r="B13" s="337"/>
      <c r="C13" s="338"/>
      <c r="D13" s="338"/>
      <c r="E13" s="338"/>
      <c r="F13" s="338"/>
      <c r="G13" s="338"/>
      <c r="H13" s="338"/>
      <c r="I13" s="338"/>
      <c r="J13" s="338"/>
      <c r="K13" s="339"/>
    </row>
    <row r="15" spans="1:16" x14ac:dyDescent="0.35">
      <c r="B15" s="332"/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4"/>
    </row>
    <row r="16" spans="1:16" x14ac:dyDescent="0.35">
      <c r="B16" s="335"/>
      <c r="N16" s="336"/>
    </row>
    <row r="17" spans="1:18" x14ac:dyDescent="0.35">
      <c r="B17" s="335"/>
      <c r="N17" s="336"/>
    </row>
    <row r="18" spans="1:18" x14ac:dyDescent="0.35">
      <c r="B18" s="335"/>
      <c r="N18" s="336"/>
    </row>
    <row r="19" spans="1:18" x14ac:dyDescent="0.35">
      <c r="B19" s="335"/>
      <c r="N19" s="336"/>
    </row>
    <row r="20" spans="1:18" x14ac:dyDescent="0.35">
      <c r="B20" s="335"/>
      <c r="N20" s="336"/>
    </row>
    <row r="21" spans="1:18" x14ac:dyDescent="0.35">
      <c r="B21" s="335"/>
      <c r="N21" s="336"/>
    </row>
    <row r="22" spans="1:18" x14ac:dyDescent="0.35">
      <c r="B22" s="335"/>
      <c r="N22" s="336"/>
    </row>
    <row r="23" spans="1:18" x14ac:dyDescent="0.35">
      <c r="B23" s="335"/>
      <c r="N23" s="336"/>
    </row>
    <row r="24" spans="1:18" x14ac:dyDescent="0.35">
      <c r="B24" s="335"/>
      <c r="N24" s="336"/>
    </row>
    <row r="25" spans="1:18" x14ac:dyDescent="0.35">
      <c r="B25" s="335"/>
      <c r="N25" s="336"/>
    </row>
    <row r="26" spans="1:18" x14ac:dyDescent="0.35">
      <c r="B26" s="337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9"/>
    </row>
    <row r="28" spans="1:18" s="415" customFormat="1" ht="15.5" x14ac:dyDescent="0.35">
      <c r="A28" s="669" t="s">
        <v>100</v>
      </c>
      <c r="B28" s="668"/>
      <c r="C28" s="668"/>
      <c r="D28" s="668"/>
      <c r="E28" s="668"/>
      <c r="F28" s="668"/>
      <c r="G28" s="668"/>
      <c r="H28" s="668"/>
      <c r="I28" s="668"/>
      <c r="J28" s="668"/>
      <c r="K28" s="668"/>
      <c r="L28" s="668"/>
      <c r="M28" s="668"/>
      <c r="N28" s="668"/>
      <c r="O28" s="668"/>
      <c r="P28" s="668"/>
      <c r="Q28" s="668"/>
      <c r="R28" s="668"/>
    </row>
    <row r="30" spans="1:18" ht="29.25" customHeight="1" x14ac:dyDescent="0.35">
      <c r="B30" s="670" t="s">
        <v>101</v>
      </c>
      <c r="C30" s="671"/>
      <c r="D30" s="672"/>
      <c r="E30" s="38"/>
      <c r="F30" s="673" t="s">
        <v>102</v>
      </c>
      <c r="G30" s="674"/>
      <c r="H30" s="675"/>
      <c r="I30" s="38"/>
      <c r="J30" s="670" t="s">
        <v>6</v>
      </c>
      <c r="K30" s="671"/>
      <c r="L30" s="672"/>
      <c r="M30" s="38"/>
      <c r="N30" s="670" t="s">
        <v>7</v>
      </c>
      <c r="O30" s="671"/>
      <c r="P30" s="672"/>
    </row>
    <row r="31" spans="1:18" x14ac:dyDescent="0.35">
      <c r="B31" s="473" t="s">
        <v>78</v>
      </c>
      <c r="C31" s="473" t="s">
        <v>79</v>
      </c>
      <c r="D31" s="221" t="s">
        <v>80</v>
      </c>
      <c r="E31" s="38"/>
      <c r="F31" s="473" t="s">
        <v>78</v>
      </c>
      <c r="G31" s="473" t="s">
        <v>79</v>
      </c>
      <c r="H31" s="221" t="s">
        <v>80</v>
      </c>
      <c r="I31" s="38"/>
      <c r="J31" s="473" t="s">
        <v>78</v>
      </c>
      <c r="K31" s="473" t="s">
        <v>79</v>
      </c>
      <c r="L31" s="285" t="s">
        <v>80</v>
      </c>
      <c r="M31" s="38"/>
      <c r="N31" s="473" t="s">
        <v>78</v>
      </c>
      <c r="O31" s="473" t="s">
        <v>79</v>
      </c>
      <c r="P31" s="285" t="s">
        <v>80</v>
      </c>
    </row>
    <row r="32" spans="1:18" x14ac:dyDescent="0.35">
      <c r="B32" s="280">
        <v>6.7</v>
      </c>
      <c r="C32" s="474">
        <v>7.8</v>
      </c>
      <c r="D32" s="280">
        <v>8.1999999999999993</v>
      </c>
      <c r="E32" s="38"/>
      <c r="F32" s="280">
        <v>7.6300000000000008</v>
      </c>
      <c r="G32" s="474">
        <v>7.67</v>
      </c>
      <c r="H32" s="280">
        <v>8.42</v>
      </c>
      <c r="I32" s="38"/>
      <c r="J32" s="280">
        <v>99</v>
      </c>
      <c r="K32" s="474">
        <v>30</v>
      </c>
      <c r="L32" s="197">
        <v>166</v>
      </c>
      <c r="M32" s="38"/>
      <c r="N32" s="280">
        <v>149</v>
      </c>
      <c r="O32" s="483">
        <v>113</v>
      </c>
      <c r="P32" s="479">
        <v>148</v>
      </c>
    </row>
    <row r="33" spans="2:16" x14ac:dyDescent="0.35">
      <c r="B33" s="471">
        <v>4.3</v>
      </c>
      <c r="C33" s="475">
        <v>5.9</v>
      </c>
      <c r="D33" s="471">
        <v>8.1999999999999993</v>
      </c>
      <c r="E33" s="38"/>
      <c r="F33" s="471">
        <v>8</v>
      </c>
      <c r="G33" s="475">
        <v>7.03</v>
      </c>
      <c r="H33" s="471">
        <v>8.23</v>
      </c>
      <c r="I33" s="38"/>
      <c r="J33" s="471">
        <v>76</v>
      </c>
      <c r="K33" s="475">
        <v>40</v>
      </c>
      <c r="L33" s="471">
        <v>116</v>
      </c>
      <c r="M33" s="38"/>
      <c r="N33" s="471">
        <v>89</v>
      </c>
      <c r="O33" s="480">
        <v>105</v>
      </c>
      <c r="P33" s="480">
        <v>138</v>
      </c>
    </row>
    <row r="34" spans="2:16" x14ac:dyDescent="0.35">
      <c r="B34" s="471">
        <v>5.2</v>
      </c>
      <c r="C34" s="475">
        <v>5.5</v>
      </c>
      <c r="D34" s="476">
        <v>8.1</v>
      </c>
      <c r="E34" s="38"/>
      <c r="F34" s="471">
        <v>7.5</v>
      </c>
      <c r="G34" s="475">
        <v>7.07</v>
      </c>
      <c r="H34" s="471">
        <v>8.3000000000000007</v>
      </c>
      <c r="I34" s="38"/>
      <c r="J34" s="471">
        <v>40</v>
      </c>
      <c r="K34" s="475">
        <v>30</v>
      </c>
      <c r="L34" s="471">
        <v>83</v>
      </c>
      <c r="M34" s="38"/>
      <c r="N34" s="471">
        <v>107</v>
      </c>
      <c r="O34" s="480">
        <v>92</v>
      </c>
      <c r="P34" s="480">
        <v>130</v>
      </c>
    </row>
    <row r="35" spans="2:16" x14ac:dyDescent="0.35">
      <c r="B35" s="471">
        <v>5.3</v>
      </c>
      <c r="C35" s="477">
        <v>5.2</v>
      </c>
      <c r="D35" s="472">
        <v>7.6</v>
      </c>
      <c r="E35" s="38"/>
      <c r="F35" s="471">
        <v>7.13</v>
      </c>
      <c r="G35" s="475">
        <v>6.53</v>
      </c>
      <c r="H35" s="472">
        <v>8.8000000000000007</v>
      </c>
      <c r="I35" s="38"/>
      <c r="J35" s="471">
        <v>120</v>
      </c>
      <c r="K35" s="475">
        <v>45</v>
      </c>
      <c r="L35" s="472">
        <v>85</v>
      </c>
      <c r="M35" s="38"/>
      <c r="N35" s="471">
        <v>114</v>
      </c>
      <c r="O35" s="480">
        <v>79</v>
      </c>
      <c r="P35" s="478">
        <v>122</v>
      </c>
    </row>
    <row r="36" spans="2:16" x14ac:dyDescent="0.35">
      <c r="B36" s="471">
        <v>4.0999999999999996</v>
      </c>
      <c r="C36" s="478">
        <v>5.8</v>
      </c>
      <c r="D36" s="38"/>
      <c r="E36" s="38"/>
      <c r="F36" s="471">
        <v>7.13</v>
      </c>
      <c r="G36" s="478">
        <v>7.03</v>
      </c>
      <c r="H36" s="38"/>
      <c r="I36" s="38"/>
      <c r="J36" s="471">
        <v>70</v>
      </c>
      <c r="K36" s="478">
        <v>59</v>
      </c>
      <c r="L36" s="38"/>
      <c r="M36" s="38"/>
      <c r="N36" s="471">
        <v>105</v>
      </c>
      <c r="O36" s="478">
        <v>83</v>
      </c>
      <c r="P36" s="38"/>
    </row>
    <row r="37" spans="2:16" x14ac:dyDescent="0.35">
      <c r="B37" s="197">
        <v>6.6</v>
      </c>
      <c r="C37" s="38"/>
      <c r="D37" s="38"/>
      <c r="E37" s="38"/>
      <c r="F37" s="197">
        <v>7.33</v>
      </c>
      <c r="G37" s="38"/>
      <c r="H37" s="38"/>
      <c r="I37" s="38"/>
      <c r="J37" s="197">
        <v>58</v>
      </c>
      <c r="K37" s="38"/>
      <c r="L37" s="38"/>
      <c r="M37" s="38"/>
      <c r="N37" s="197">
        <v>103</v>
      </c>
      <c r="O37" s="38"/>
      <c r="P37" s="38"/>
    </row>
    <row r="38" spans="2:16" x14ac:dyDescent="0.35">
      <c r="B38" s="471">
        <v>4.8</v>
      </c>
      <c r="C38" s="38"/>
      <c r="D38" s="38"/>
      <c r="E38" s="38"/>
      <c r="F38" s="471">
        <v>6.73</v>
      </c>
      <c r="G38" s="38"/>
      <c r="H38" s="38"/>
      <c r="I38" s="38"/>
      <c r="J38" s="471">
        <v>90</v>
      </c>
      <c r="K38" s="38"/>
      <c r="L38" s="38"/>
      <c r="M38" s="38"/>
      <c r="N38" s="471">
        <v>105</v>
      </c>
      <c r="O38" s="38"/>
      <c r="P38" s="38"/>
    </row>
    <row r="39" spans="2:16" x14ac:dyDescent="0.35">
      <c r="B39" s="471">
        <v>5.3</v>
      </c>
      <c r="C39" s="38"/>
      <c r="D39" s="38"/>
      <c r="E39" s="38"/>
      <c r="F39" s="471">
        <v>6.57</v>
      </c>
      <c r="G39" s="38"/>
      <c r="H39" s="38"/>
      <c r="I39" s="38"/>
      <c r="J39" s="471">
        <v>60</v>
      </c>
      <c r="K39" s="38"/>
      <c r="L39" s="38"/>
      <c r="M39" s="38"/>
      <c r="N39" s="471">
        <v>90</v>
      </c>
      <c r="O39" s="38"/>
      <c r="P39" s="38"/>
    </row>
    <row r="40" spans="2:16" x14ac:dyDescent="0.35">
      <c r="B40" s="471">
        <v>6.2</v>
      </c>
      <c r="C40" s="38"/>
      <c r="D40" s="38"/>
      <c r="E40" s="38"/>
      <c r="F40" s="471">
        <v>7.33</v>
      </c>
      <c r="G40" s="38"/>
      <c r="H40" s="38"/>
      <c r="I40" s="38"/>
      <c r="J40" s="471">
        <v>60</v>
      </c>
      <c r="K40" s="38"/>
      <c r="L40" s="38"/>
      <c r="M40" s="38"/>
      <c r="N40" s="471">
        <v>108</v>
      </c>
      <c r="O40" s="38"/>
      <c r="P40" s="38"/>
    </row>
    <row r="41" spans="2:16" x14ac:dyDescent="0.35">
      <c r="B41" s="471">
        <v>5.8</v>
      </c>
      <c r="C41" s="38"/>
      <c r="D41" s="38"/>
      <c r="E41" s="38"/>
      <c r="F41" s="471">
        <v>7.53</v>
      </c>
      <c r="G41" s="38"/>
      <c r="H41" s="38"/>
      <c r="I41" s="38"/>
      <c r="J41" s="471">
        <v>90</v>
      </c>
      <c r="K41" s="38"/>
      <c r="L41" s="38"/>
      <c r="M41" s="38"/>
      <c r="N41" s="471">
        <v>105</v>
      </c>
      <c r="O41" s="38"/>
      <c r="P41" s="38"/>
    </row>
    <row r="42" spans="2:16" x14ac:dyDescent="0.35">
      <c r="B42" s="472">
        <v>5.7</v>
      </c>
      <c r="C42" s="38"/>
      <c r="D42" s="38"/>
      <c r="E42" s="38"/>
      <c r="F42" s="472">
        <v>7.67</v>
      </c>
      <c r="G42" s="38"/>
      <c r="H42" s="38"/>
      <c r="I42" s="38"/>
      <c r="J42" s="472">
        <v>135</v>
      </c>
      <c r="K42" s="38"/>
      <c r="L42" s="38"/>
      <c r="M42" s="38"/>
      <c r="N42" s="472">
        <v>96</v>
      </c>
      <c r="O42" s="38"/>
      <c r="P42" s="38"/>
    </row>
    <row r="43" spans="2:16" x14ac:dyDescent="0.35">
      <c r="B43" s="290">
        <f>AVERAGE(B32:B42)</f>
        <v>5.4545454545454541</v>
      </c>
      <c r="C43" s="475">
        <f>AVERAGE(C32:C36)</f>
        <v>6.04</v>
      </c>
      <c r="D43" s="302">
        <f>AVERAGE(D32:D35)</f>
        <v>8.0250000000000004</v>
      </c>
      <c r="F43" s="290">
        <f>AVERAGE(F32:F42)</f>
        <v>7.3227272727272741</v>
      </c>
      <c r="G43" s="475">
        <f>AVERAGE(G32:G36)</f>
        <v>7.0659999999999998</v>
      </c>
      <c r="H43" s="302">
        <f>AVERAGE(H32:H35)</f>
        <v>8.4375</v>
      </c>
      <c r="J43" s="290">
        <f>AVERAGE(J32:J42)</f>
        <v>81.63636363636364</v>
      </c>
      <c r="K43" s="475">
        <f>AVERAGE(K32:K36)</f>
        <v>40.799999999999997</v>
      </c>
      <c r="L43" s="302">
        <f>AVERAGE(L32:L35)</f>
        <v>112.5</v>
      </c>
      <c r="N43" s="290">
        <f>AVERAGE(N32:N42)</f>
        <v>106.45454545454545</v>
      </c>
      <c r="O43" s="475">
        <f>AVERAGE(O32:O36)</f>
        <v>94.4</v>
      </c>
      <c r="P43" s="302">
        <f>AVERAGE(P32:P35)</f>
        <v>134.5</v>
      </c>
    </row>
    <row r="44" spans="2:16" x14ac:dyDescent="0.35">
      <c r="B44" s="291">
        <f>AVERAGE(B32:D42)</f>
        <v>6.1149999999999993</v>
      </c>
      <c r="C44" s="38"/>
      <c r="D44" s="38"/>
      <c r="F44" s="291">
        <f>AVERAGE(F32:H42)</f>
        <v>7.4814999999999996</v>
      </c>
      <c r="G44" s="38"/>
      <c r="H44" s="38"/>
      <c r="J44" s="291">
        <f>AVERAGE(J32:L42)</f>
        <v>77.599999999999994</v>
      </c>
      <c r="K44" s="38"/>
      <c r="L44" s="38"/>
      <c r="N44" s="291">
        <f>AVERAGE(N32:P42)</f>
        <v>109.05</v>
      </c>
      <c r="O44" s="38"/>
      <c r="P44" s="38"/>
    </row>
    <row r="46" spans="2:16" x14ac:dyDescent="0.35">
      <c r="B46" s="664" t="s">
        <v>103</v>
      </c>
      <c r="C46" s="665"/>
      <c r="D46" s="665"/>
      <c r="E46" s="665"/>
      <c r="F46" s="665"/>
      <c r="G46" s="665"/>
      <c r="H46" s="665"/>
      <c r="I46" s="665"/>
      <c r="J46" s="665"/>
      <c r="K46" s="665"/>
      <c r="L46" s="665"/>
      <c r="M46" s="665"/>
      <c r="N46" s="665"/>
      <c r="O46" s="665"/>
      <c r="P46" s="666"/>
    </row>
    <row r="48" spans="2:16" x14ac:dyDescent="0.35">
      <c r="B48" s="473" t="s">
        <v>78</v>
      </c>
      <c r="C48" s="473" t="s">
        <v>79</v>
      </c>
      <c r="D48" s="221" t="s">
        <v>80</v>
      </c>
      <c r="F48" s="473" t="s">
        <v>78</v>
      </c>
      <c r="G48" s="473" t="s">
        <v>79</v>
      </c>
      <c r="H48" s="221" t="s">
        <v>80</v>
      </c>
      <c r="J48" s="473" t="s">
        <v>78</v>
      </c>
      <c r="K48" s="473" t="s">
        <v>79</v>
      </c>
      <c r="L48" s="221" t="s">
        <v>80</v>
      </c>
      <c r="N48" s="473" t="s">
        <v>78</v>
      </c>
      <c r="O48" s="473" t="s">
        <v>79</v>
      </c>
      <c r="P48" s="221" t="s">
        <v>80</v>
      </c>
    </row>
    <row r="49" spans="2:17" x14ac:dyDescent="0.35">
      <c r="B49" s="279">
        <f t="shared" ref="B49:D52" si="0">(B32-$B$44)^2</f>
        <v>0.342225000000001</v>
      </c>
      <c r="C49" s="279">
        <f t="shared" si="0"/>
        <v>2.8392250000000017</v>
      </c>
      <c r="D49" s="280">
        <f t="shared" si="0"/>
        <v>4.3472249999999999</v>
      </c>
      <c r="E49" s="38"/>
      <c r="F49" s="279">
        <f>(F32-$F$44)^2</f>
        <v>2.2052250000000353E-2</v>
      </c>
      <c r="G49" s="279">
        <f>(G32-$F$44)^2</f>
        <v>3.5532250000000126E-2</v>
      </c>
      <c r="H49" s="280">
        <f>(H32-$F$44)^2</f>
        <v>0.88078225000000065</v>
      </c>
      <c r="I49" s="38"/>
      <c r="J49" s="279">
        <f>(J32-$J$44)^2</f>
        <v>457.96000000000026</v>
      </c>
      <c r="K49" s="279">
        <f>(K32-$J$44)^2</f>
        <v>2265.7599999999993</v>
      </c>
      <c r="L49" s="280">
        <f>(L32-$J$44)^2</f>
        <v>7814.5600000000013</v>
      </c>
      <c r="M49" s="38"/>
      <c r="N49" s="279">
        <f>(N32-$N$44)^2</f>
        <v>1596.0025000000003</v>
      </c>
      <c r="O49" s="279">
        <f>(O32-$N$44)^2</f>
        <v>15.602500000000022</v>
      </c>
      <c r="P49" s="280">
        <f>(P32-$N$44)^2</f>
        <v>1517.1025000000002</v>
      </c>
    </row>
    <row r="50" spans="2:17" x14ac:dyDescent="0.35">
      <c r="B50" s="344">
        <f t="shared" si="0"/>
        <v>3.2942249999999982</v>
      </c>
      <c r="C50" s="344">
        <f t="shared" si="0"/>
        <v>4.6224999999999558E-2</v>
      </c>
      <c r="D50" s="471">
        <f t="shared" si="0"/>
        <v>4.3472249999999999</v>
      </c>
      <c r="F50" s="344">
        <f t="shared" ref="F50:H58" si="1">(F33-$F$44)^2</f>
        <v>0.26884225000000039</v>
      </c>
      <c r="G50" s="344">
        <f t="shared" si="1"/>
        <v>0.2038522499999994</v>
      </c>
      <c r="H50" s="471">
        <f t="shared" si="1"/>
        <v>0.56025225000000123</v>
      </c>
      <c r="J50" s="344">
        <f t="shared" ref="J50:L58" si="2">(J33-$J$44)^2</f>
        <v>2.5599999999999818</v>
      </c>
      <c r="K50" s="344">
        <f t="shared" si="2"/>
        <v>1413.7599999999995</v>
      </c>
      <c r="L50" s="471">
        <f t="shared" si="2"/>
        <v>1474.5600000000004</v>
      </c>
      <c r="N50" s="344">
        <f t="shared" ref="N50:O50" si="3">(N33-$N$44)^2</f>
        <v>402.00249999999988</v>
      </c>
      <c r="O50" s="344">
        <f t="shared" si="3"/>
        <v>16.402499999999979</v>
      </c>
      <c r="P50" s="471">
        <f>(P33-$N$44)^2</f>
        <v>838.10250000000019</v>
      </c>
    </row>
    <row r="51" spans="2:17" x14ac:dyDescent="0.35">
      <c r="B51" s="344">
        <f t="shared" si="0"/>
        <v>0.83722499999999844</v>
      </c>
      <c r="C51" s="344">
        <f t="shared" si="0"/>
        <v>0.37822499999999915</v>
      </c>
      <c r="D51" s="471">
        <f t="shared" si="0"/>
        <v>3.9402250000000012</v>
      </c>
      <c r="F51" s="344">
        <f t="shared" si="1"/>
        <v>3.4225000000001496E-4</v>
      </c>
      <c r="G51" s="344">
        <f t="shared" si="1"/>
        <v>0.16933224999999943</v>
      </c>
      <c r="H51" s="471">
        <f t="shared" si="1"/>
        <v>0.66994225000000185</v>
      </c>
      <c r="J51" s="344">
        <f t="shared" si="2"/>
        <v>1413.7599999999995</v>
      </c>
      <c r="K51" s="344">
        <f t="shared" si="2"/>
        <v>2265.7599999999993</v>
      </c>
      <c r="L51" s="471">
        <f t="shared" si="2"/>
        <v>29.160000000000061</v>
      </c>
      <c r="N51" s="344">
        <f t="shared" ref="N51:P51" si="4">(N34-$N$44)^2</f>
        <v>4.2024999999999881</v>
      </c>
      <c r="O51" s="344">
        <f t="shared" si="4"/>
        <v>290.70249999999993</v>
      </c>
      <c r="P51" s="471">
        <f t="shared" si="4"/>
        <v>438.90250000000015</v>
      </c>
    </row>
    <row r="52" spans="2:17" x14ac:dyDescent="0.35">
      <c r="B52" s="344">
        <f t="shared" si="0"/>
        <v>0.66422499999999918</v>
      </c>
      <c r="C52" s="344">
        <f t="shared" si="0"/>
        <v>0.83722499999999844</v>
      </c>
      <c r="D52" s="472">
        <f t="shared" si="0"/>
        <v>2.2052250000000009</v>
      </c>
      <c r="F52" s="344">
        <f t="shared" si="1"/>
        <v>0.12355224999999979</v>
      </c>
      <c r="G52" s="481">
        <f t="shared" si="1"/>
        <v>0.90535224999999875</v>
      </c>
      <c r="H52" s="472">
        <f>(H35-$F$44)^2</f>
        <v>1.738442250000003</v>
      </c>
      <c r="J52" s="344">
        <f t="shared" si="2"/>
        <v>1797.7600000000004</v>
      </c>
      <c r="K52" s="344">
        <f t="shared" si="2"/>
        <v>1062.7599999999995</v>
      </c>
      <c r="L52" s="472">
        <f>(L35-$J$44)^2</f>
        <v>54.760000000000083</v>
      </c>
      <c r="N52" s="344">
        <f t="shared" ref="N52:O52" si="5">(N35-$N$44)^2</f>
        <v>24.50250000000003</v>
      </c>
      <c r="O52" s="344">
        <f t="shared" si="5"/>
        <v>903.00249999999983</v>
      </c>
      <c r="P52" s="472">
        <f>(P35-$N$44)^2</f>
        <v>167.70250000000007</v>
      </c>
    </row>
    <row r="53" spans="2:17" x14ac:dyDescent="0.35">
      <c r="B53" s="344">
        <f>(B36-$B$44)^2</f>
        <v>4.0602249999999991</v>
      </c>
      <c r="C53" s="472">
        <f>(C36-$B$44)^2</f>
        <v>9.9224999999999688E-2</v>
      </c>
      <c r="D53" s="38"/>
      <c r="F53" s="199">
        <f t="shared" si="1"/>
        <v>0.12355224999999979</v>
      </c>
      <c r="G53" s="472">
        <f t="shared" si="1"/>
        <v>0.2038522499999994</v>
      </c>
      <c r="H53" s="38"/>
      <c r="J53" s="344">
        <f t="shared" si="2"/>
        <v>57.759999999999913</v>
      </c>
      <c r="K53" s="472">
        <f>(K36-$J$44)^2</f>
        <v>345.95999999999981</v>
      </c>
      <c r="L53" s="38"/>
      <c r="N53" s="344">
        <f t="shared" ref="N53" si="6">(N36-$N$44)^2</f>
        <v>16.402499999999979</v>
      </c>
      <c r="O53" s="472">
        <f>(O36-$N$44)^2</f>
        <v>678.60249999999985</v>
      </c>
      <c r="P53" s="38"/>
    </row>
    <row r="54" spans="2:17" x14ac:dyDescent="0.35">
      <c r="B54" s="471">
        <f t="shared" ref="B54:B59" si="7">(B37-$B$44)^2</f>
        <v>0.23522500000000032</v>
      </c>
      <c r="C54" s="38"/>
      <c r="D54" s="38"/>
      <c r="F54" s="471">
        <f t="shared" si="1"/>
        <v>2.2952249999999855E-2</v>
      </c>
      <c r="G54" s="38"/>
      <c r="H54" s="38"/>
      <c r="J54" s="471">
        <f t="shared" si="2"/>
        <v>384.1599999999998</v>
      </c>
      <c r="K54" s="38"/>
      <c r="L54" s="38"/>
      <c r="N54" s="471">
        <f t="shared" ref="N54:N58" si="8">(N37-$N$44)^2</f>
        <v>36.602499999999964</v>
      </c>
      <c r="O54" s="38"/>
      <c r="P54" s="38"/>
    </row>
    <row r="55" spans="2:17" x14ac:dyDescent="0.35">
      <c r="B55" s="471">
        <f t="shared" si="7"/>
        <v>1.7292249999999987</v>
      </c>
      <c r="C55" s="38"/>
      <c r="D55" s="38"/>
      <c r="F55" s="471">
        <f t="shared" si="1"/>
        <v>0.56475224999999873</v>
      </c>
      <c r="G55" s="38"/>
      <c r="H55" s="38"/>
      <c r="J55" s="471">
        <f t="shared" si="2"/>
        <v>153.76000000000013</v>
      </c>
      <c r="K55" s="38"/>
      <c r="L55" s="38"/>
      <c r="N55" s="471">
        <f t="shared" si="8"/>
        <v>16.402499999999979</v>
      </c>
      <c r="O55" s="38"/>
      <c r="P55" s="38"/>
    </row>
    <row r="56" spans="2:17" x14ac:dyDescent="0.35">
      <c r="B56" s="471">
        <f t="shared" si="7"/>
        <v>0.66422499999999918</v>
      </c>
      <c r="C56" s="38"/>
      <c r="D56" s="38"/>
      <c r="F56" s="471">
        <f t="shared" si="1"/>
        <v>0.83083224999999872</v>
      </c>
      <c r="G56" s="38"/>
      <c r="H56" s="38"/>
      <c r="J56" s="471">
        <f>(J39-$J$44)^2</f>
        <v>309.75999999999982</v>
      </c>
      <c r="K56" s="38"/>
      <c r="L56" s="38"/>
      <c r="N56" s="471">
        <f t="shared" si="8"/>
        <v>362.90249999999992</v>
      </c>
      <c r="O56" s="38"/>
      <c r="P56" s="38"/>
    </row>
    <row r="57" spans="2:17" x14ac:dyDescent="0.35">
      <c r="B57" s="471">
        <f t="shared" si="7"/>
        <v>7.2250000000001454E-3</v>
      </c>
      <c r="C57" s="38"/>
      <c r="D57" s="38"/>
      <c r="F57" s="471">
        <f t="shared" si="1"/>
        <v>2.2952249999999855E-2</v>
      </c>
      <c r="G57" s="38"/>
      <c r="H57" s="38"/>
      <c r="J57" s="471">
        <f t="shared" si="2"/>
        <v>309.75999999999982</v>
      </c>
      <c r="K57" s="38"/>
      <c r="L57" s="38"/>
      <c r="N57" s="471">
        <f t="shared" si="8"/>
        <v>1.102499999999994</v>
      </c>
      <c r="O57" s="38"/>
      <c r="P57" s="38"/>
    </row>
    <row r="58" spans="2:17" x14ac:dyDescent="0.35">
      <c r="B58" s="471">
        <f t="shared" si="7"/>
        <v>9.9224999999999688E-2</v>
      </c>
      <c r="C58" s="38"/>
      <c r="D58" s="38"/>
      <c r="F58" s="471">
        <f t="shared" si="1"/>
        <v>2.3522500000000635E-3</v>
      </c>
      <c r="G58" s="38"/>
      <c r="H58" s="38"/>
      <c r="J58" s="471">
        <f t="shared" si="2"/>
        <v>153.76000000000013</v>
      </c>
      <c r="K58" s="38"/>
      <c r="L58" s="38"/>
      <c r="N58" s="471">
        <f t="shared" si="8"/>
        <v>16.402499999999979</v>
      </c>
      <c r="O58" s="38"/>
      <c r="P58" s="38"/>
      <c r="Q58" s="38"/>
    </row>
    <row r="59" spans="2:17" x14ac:dyDescent="0.35">
      <c r="B59" s="472">
        <f t="shared" si="7"/>
        <v>0.1722249999999993</v>
      </c>
      <c r="C59" s="38"/>
      <c r="D59" s="38"/>
      <c r="F59" s="472">
        <f>(F42-$F$44)^2</f>
        <v>3.5532250000000126E-2</v>
      </c>
      <c r="G59" s="38"/>
      <c r="H59" s="38"/>
      <c r="J59" s="472">
        <f>(J42-$J$44)^2</f>
        <v>3294.7600000000007</v>
      </c>
      <c r="K59" s="38"/>
      <c r="L59" s="38"/>
      <c r="N59" s="472">
        <f>(N42-$N$44)^2</f>
        <v>170.30249999999992</v>
      </c>
      <c r="O59" s="38"/>
      <c r="P59" s="38"/>
    </row>
    <row r="60" spans="2:17" x14ac:dyDescent="0.35">
      <c r="B60" s="38"/>
      <c r="C60" s="38" t="s">
        <v>50</v>
      </c>
      <c r="D60" s="38">
        <f>SUM(B49:D59)</f>
        <v>31.145500000000002</v>
      </c>
      <c r="E60" s="38"/>
      <c r="F60" s="38"/>
      <c r="G60" s="38" t="s">
        <v>50</v>
      </c>
      <c r="H60" s="38">
        <f>SUM(F49:H59)</f>
        <v>7.3850550000000013</v>
      </c>
      <c r="I60" s="38"/>
      <c r="J60" s="38"/>
      <c r="K60" s="38" t="s">
        <v>50</v>
      </c>
      <c r="L60" s="38">
        <f>SUM(J49:L59)</f>
        <v>25062.799999999992</v>
      </c>
      <c r="M60" s="38"/>
      <c r="N60" s="38"/>
      <c r="O60" s="38" t="s">
        <v>50</v>
      </c>
      <c r="P60" s="38">
        <f>SUM(N49:P59)</f>
        <v>7512.9500000000016</v>
      </c>
    </row>
    <row r="62" spans="2:17" x14ac:dyDescent="0.35">
      <c r="B62" s="667" t="s">
        <v>104</v>
      </c>
      <c r="C62" s="667"/>
      <c r="D62" s="667"/>
      <c r="E62" s="667"/>
      <c r="F62" s="667"/>
      <c r="G62" s="667"/>
      <c r="H62" s="667"/>
      <c r="I62" s="667"/>
      <c r="J62" s="667"/>
      <c r="K62" s="667"/>
      <c r="L62" s="667"/>
      <c r="M62" s="667"/>
      <c r="N62" s="667"/>
      <c r="O62" s="667"/>
      <c r="P62" s="667"/>
    </row>
    <row r="64" spans="2:17" x14ac:dyDescent="0.35">
      <c r="B64" s="473" t="s">
        <v>78</v>
      </c>
      <c r="C64" s="473" t="s">
        <v>79</v>
      </c>
      <c r="D64" s="221" t="s">
        <v>80</v>
      </c>
      <c r="F64" s="473" t="s">
        <v>78</v>
      </c>
      <c r="G64" s="473" t="s">
        <v>79</v>
      </c>
      <c r="H64" s="221" t="s">
        <v>80</v>
      </c>
      <c r="J64" s="473" t="s">
        <v>78</v>
      </c>
      <c r="K64" s="473" t="s">
        <v>79</v>
      </c>
      <c r="L64" s="221" t="s">
        <v>80</v>
      </c>
      <c r="N64" s="473" t="s">
        <v>78</v>
      </c>
      <c r="O64" s="473" t="s">
        <v>79</v>
      </c>
      <c r="P64" s="221" t="s">
        <v>80</v>
      </c>
    </row>
    <row r="65" spans="2:16" x14ac:dyDescent="0.35">
      <c r="B65" s="279">
        <f>(B32-B$43)^2</f>
        <v>1.5511570247933899</v>
      </c>
      <c r="C65" s="279">
        <f>(C32-C$43)^2</f>
        <v>3.0975999999999995</v>
      </c>
      <c r="D65" s="280">
        <f>(D32-D$43)^2</f>
        <v>3.0624999999999628E-2</v>
      </c>
      <c r="E65" s="38"/>
      <c r="F65" s="279">
        <f>(F32-F$43)^2</f>
        <v>9.4416528925619483E-2</v>
      </c>
      <c r="G65" s="279">
        <f>(G32-G$43)^2</f>
        <v>0.36481600000000008</v>
      </c>
      <c r="H65" s="280">
        <f>(H32-H$43)^2</f>
        <v>3.0625000000000248E-4</v>
      </c>
      <c r="I65" s="38"/>
      <c r="J65" s="279">
        <f>(J32-J$43)^2</f>
        <v>301.49586776859491</v>
      </c>
      <c r="K65" s="279">
        <f t="shared" ref="K65:L65" si="9">(K32-K$43)^2</f>
        <v>116.63999999999994</v>
      </c>
      <c r="L65" s="280">
        <f t="shared" si="9"/>
        <v>2862.25</v>
      </c>
      <c r="M65" s="38"/>
      <c r="N65" s="279">
        <f>(N32-N$43)^2</f>
        <v>1810.115702479339</v>
      </c>
      <c r="O65" s="279">
        <f t="shared" ref="O65:P65" si="10">(O32-O$43)^2</f>
        <v>345.95999999999981</v>
      </c>
      <c r="P65" s="280">
        <f t="shared" si="10"/>
        <v>182.25</v>
      </c>
    </row>
    <row r="66" spans="2:16" x14ac:dyDescent="0.35">
      <c r="B66" s="344">
        <f t="shared" ref="B66:D74" si="11">(B33-B$43)^2</f>
        <v>1.3329752066115697</v>
      </c>
      <c r="C66" s="344">
        <f t="shared" si="11"/>
        <v>1.9599999999999909E-2</v>
      </c>
      <c r="D66" s="471">
        <f t="shared" si="11"/>
        <v>3.0624999999999628E-2</v>
      </c>
      <c r="F66" s="344">
        <f t="shared" ref="F66:H75" si="12">(F33-F$43)^2</f>
        <v>0.45869834710743618</v>
      </c>
      <c r="G66" s="344">
        <f t="shared" si="12"/>
        <v>1.2959999999999704E-3</v>
      </c>
      <c r="H66" s="471">
        <f t="shared" si="12"/>
        <v>4.3056249999999824E-2</v>
      </c>
      <c r="J66" s="344">
        <f t="shared" ref="J66:L74" si="13">(J33-J$43)^2</f>
        <v>31.768595041322357</v>
      </c>
      <c r="K66" s="344">
        <f t="shared" si="13"/>
        <v>0.63999999999999546</v>
      </c>
      <c r="L66" s="471">
        <f t="shared" si="13"/>
        <v>12.25</v>
      </c>
      <c r="N66" s="344">
        <f t="shared" ref="N66:P74" si="14">(N33-N$43)^2</f>
        <v>304.66115702479334</v>
      </c>
      <c r="O66" s="344">
        <f t="shared" si="14"/>
        <v>112.35999999999989</v>
      </c>
      <c r="P66" s="471">
        <f t="shared" si="14"/>
        <v>12.25</v>
      </c>
    </row>
    <row r="67" spans="2:16" x14ac:dyDescent="0.35">
      <c r="B67" s="344">
        <f t="shared" si="11"/>
        <v>6.4793388429751769E-2</v>
      </c>
      <c r="C67" s="344">
        <f t="shared" si="11"/>
        <v>0.29160000000000003</v>
      </c>
      <c r="D67" s="471">
        <f t="shared" si="11"/>
        <v>5.6249999999998931E-3</v>
      </c>
      <c r="F67" s="344">
        <f t="shared" si="12"/>
        <v>3.1425619834710261E-2</v>
      </c>
      <c r="G67" s="344">
        <f>(G34-G$43)^2</f>
        <v>1.6000000000003581E-5</v>
      </c>
      <c r="H67" s="471">
        <f t="shared" si="12"/>
        <v>1.8906249999999805E-2</v>
      </c>
      <c r="J67" s="344">
        <f t="shared" si="13"/>
        <v>1733.5867768595044</v>
      </c>
      <c r="K67" s="344">
        <f t="shared" si="13"/>
        <v>116.63999999999994</v>
      </c>
      <c r="L67" s="471">
        <f t="shared" si="13"/>
        <v>870.25</v>
      </c>
      <c r="N67" s="344">
        <f t="shared" si="14"/>
        <v>0.29752066115702619</v>
      </c>
      <c r="O67" s="344">
        <f t="shared" si="14"/>
        <v>5.7600000000000273</v>
      </c>
      <c r="P67" s="471">
        <f t="shared" si="14"/>
        <v>20.25</v>
      </c>
    </row>
    <row r="68" spans="2:16" x14ac:dyDescent="0.35">
      <c r="B68" s="344">
        <f t="shared" si="11"/>
        <v>2.3884297520661086E-2</v>
      </c>
      <c r="C68" s="344">
        <f t="shared" si="11"/>
        <v>0.70559999999999978</v>
      </c>
      <c r="D68" s="472">
        <f t="shared" si="11"/>
        <v>0.18062500000000059</v>
      </c>
      <c r="F68" s="344">
        <f t="shared" si="12"/>
        <v>3.7143801652893126E-2</v>
      </c>
      <c r="G68" s="344">
        <f t="shared" si="12"/>
        <v>0.28729599999999955</v>
      </c>
      <c r="H68" s="472">
        <f t="shared" si="12"/>
        <v>0.1314062500000005</v>
      </c>
      <c r="J68" s="344">
        <f t="shared" si="13"/>
        <v>1471.768595041322</v>
      </c>
      <c r="K68" s="344">
        <f t="shared" si="13"/>
        <v>17.640000000000025</v>
      </c>
      <c r="L68" s="472">
        <f>(L35-L$43)^2</f>
        <v>756.25</v>
      </c>
      <c r="N68" s="344">
        <f t="shared" si="14"/>
        <v>56.933884297520677</v>
      </c>
      <c r="O68" s="344">
        <f t="shared" si="14"/>
        <v>237.16000000000017</v>
      </c>
      <c r="P68" s="472">
        <f>(P35-P$43)^2</f>
        <v>156.25</v>
      </c>
    </row>
    <row r="69" spans="2:16" x14ac:dyDescent="0.35">
      <c r="B69" s="344">
        <f t="shared" si="11"/>
        <v>1.834793388429752</v>
      </c>
      <c r="C69" s="472">
        <f t="shared" si="11"/>
        <v>5.7600000000000103E-2</v>
      </c>
      <c r="D69" s="38"/>
      <c r="F69" s="344">
        <f t="shared" si="12"/>
        <v>3.7143801652893126E-2</v>
      </c>
      <c r="G69" s="472">
        <f>(G36-G$43)^2</f>
        <v>1.2959999999999704E-3</v>
      </c>
      <c r="H69" s="38"/>
      <c r="J69" s="344">
        <f t="shared" si="13"/>
        <v>135.40495867768604</v>
      </c>
      <c r="K69" s="472">
        <f t="shared" si="13"/>
        <v>331.24000000000012</v>
      </c>
      <c r="L69" s="38"/>
      <c r="N69" s="344">
        <f t="shared" si="14"/>
        <v>2.115702479338839</v>
      </c>
      <c r="O69" s="472">
        <f t="shared" si="14"/>
        <v>129.96000000000012</v>
      </c>
      <c r="P69" s="38"/>
    </row>
    <row r="70" spans="2:16" x14ac:dyDescent="0.35">
      <c r="B70" s="471">
        <f t="shared" si="11"/>
        <v>1.3120661157024796</v>
      </c>
      <c r="C70" s="38"/>
      <c r="D70" s="38"/>
      <c r="F70" s="471">
        <f t="shared" si="12"/>
        <v>5.2892561983452376E-5</v>
      </c>
      <c r="G70" s="38"/>
      <c r="H70" s="38"/>
      <c r="J70" s="471">
        <f t="shared" si="13"/>
        <v>558.67768595041343</v>
      </c>
      <c r="K70" s="38"/>
      <c r="L70" s="38"/>
      <c r="N70" s="471">
        <f t="shared" si="14"/>
        <v>11.933884297520652</v>
      </c>
      <c r="O70" s="38"/>
      <c r="P70" s="38"/>
    </row>
    <row r="71" spans="2:16" x14ac:dyDescent="0.35">
      <c r="B71" s="471">
        <f t="shared" si="11"/>
        <v>0.42842975206611539</v>
      </c>
      <c r="C71" s="38"/>
      <c r="D71" s="38"/>
      <c r="F71" s="471">
        <f t="shared" si="12"/>
        <v>0.35132561983471183</v>
      </c>
      <c r="G71" s="38"/>
      <c r="H71" s="38"/>
      <c r="J71" s="471">
        <f t="shared" si="13"/>
        <v>69.95041322314043</v>
      </c>
      <c r="K71" s="38"/>
      <c r="L71" s="38"/>
      <c r="N71" s="471">
        <f t="shared" si="14"/>
        <v>2.115702479338839</v>
      </c>
      <c r="O71" s="38"/>
      <c r="P71" s="38"/>
    </row>
    <row r="72" spans="2:16" x14ac:dyDescent="0.35">
      <c r="B72" s="471">
        <f t="shared" si="11"/>
        <v>2.3884297520661086E-2</v>
      </c>
      <c r="C72" s="38"/>
      <c r="D72" s="38"/>
      <c r="F72" s="471">
        <f t="shared" si="12"/>
        <v>0.56659834710743961</v>
      </c>
      <c r="G72" s="38"/>
      <c r="H72" s="38"/>
      <c r="J72" s="471">
        <f t="shared" si="13"/>
        <v>468.13223140495887</v>
      </c>
      <c r="K72" s="38"/>
      <c r="L72" s="38"/>
      <c r="N72" s="471">
        <f t="shared" si="14"/>
        <v>270.75206611570246</v>
      </c>
      <c r="O72" s="38"/>
      <c r="P72" s="38"/>
    </row>
    <row r="73" spans="2:16" x14ac:dyDescent="0.35">
      <c r="B73" s="471">
        <f t="shared" si="11"/>
        <v>0.55570247933884387</v>
      </c>
      <c r="C73" s="38"/>
      <c r="D73" s="38"/>
      <c r="F73" s="471">
        <f t="shared" si="12"/>
        <v>5.2892561983452376E-5</v>
      </c>
      <c r="G73" s="38"/>
      <c r="H73" s="38"/>
      <c r="J73" s="471">
        <f t="shared" si="13"/>
        <v>468.13223140495887</v>
      </c>
      <c r="K73" s="38"/>
      <c r="L73" s="38"/>
      <c r="N73" s="471">
        <f t="shared" si="14"/>
        <v>2.3884297520661195</v>
      </c>
      <c r="O73" s="38"/>
      <c r="P73" s="38"/>
    </row>
    <row r="74" spans="2:16" x14ac:dyDescent="0.35">
      <c r="B74" s="471">
        <f t="shared" si="11"/>
        <v>0.11933884297520676</v>
      </c>
      <c r="C74" s="38"/>
      <c r="D74" s="38"/>
      <c r="F74" s="471">
        <f t="shared" si="12"/>
        <v>4.2961983471073918E-2</v>
      </c>
      <c r="G74" s="38"/>
      <c r="H74" s="38"/>
      <c r="J74" s="471">
        <f t="shared" si="13"/>
        <v>69.95041322314043</v>
      </c>
      <c r="K74" s="38"/>
      <c r="L74" s="38"/>
      <c r="N74" s="471">
        <f t="shared" si="14"/>
        <v>2.115702479338839</v>
      </c>
      <c r="O74" s="38"/>
      <c r="P74" s="38"/>
    </row>
    <row r="75" spans="2:16" x14ac:dyDescent="0.35">
      <c r="B75" s="472">
        <f>(B42-B$43)^2</f>
        <v>6.0247933884297805E-2</v>
      </c>
      <c r="C75" s="38"/>
      <c r="D75" s="38"/>
      <c r="F75" s="472">
        <f t="shared" si="12"/>
        <v>0.12059834710743703</v>
      </c>
      <c r="G75" s="38"/>
      <c r="H75" s="38"/>
      <c r="J75" s="472">
        <f>(J42-J$43)^2</f>
        <v>2847.677685950413</v>
      </c>
      <c r="K75" s="38"/>
      <c r="L75" s="38"/>
      <c r="N75" s="472">
        <f>(N42-N$43)^2</f>
        <v>109.29752066115699</v>
      </c>
      <c r="O75" s="38"/>
      <c r="P75" s="38"/>
    </row>
    <row r="76" spans="2:16" x14ac:dyDescent="0.35">
      <c r="B76" s="196"/>
      <c r="C76" s="38" t="s">
        <v>50</v>
      </c>
      <c r="D76" s="38">
        <f>SUM(B65:D75)</f>
        <v>11.726772727272731</v>
      </c>
      <c r="E76" s="196"/>
      <c r="F76" s="196"/>
      <c r="G76" s="38" t="s">
        <v>50</v>
      </c>
      <c r="H76" s="196">
        <f>SUM(F65:H75)</f>
        <v>2.5888131818181814</v>
      </c>
      <c r="I76" s="196"/>
      <c r="J76" s="196"/>
      <c r="K76" s="38" t="s">
        <v>50</v>
      </c>
      <c r="L76" s="196">
        <f>SUM(J65:L75)</f>
        <v>13240.345454545453</v>
      </c>
      <c r="M76" s="196"/>
      <c r="N76" s="196"/>
      <c r="O76" s="38" t="s">
        <v>50</v>
      </c>
      <c r="P76" s="196">
        <f>SUM(N65:P75)</f>
        <v>3774.9272727272728</v>
      </c>
    </row>
    <row r="78" spans="2:16" x14ac:dyDescent="0.35">
      <c r="B78" s="667" t="s">
        <v>105</v>
      </c>
      <c r="C78" s="667"/>
      <c r="D78" s="667"/>
      <c r="E78" s="667"/>
      <c r="F78" s="667"/>
      <c r="G78" s="667"/>
      <c r="H78" s="667"/>
      <c r="I78" s="667"/>
      <c r="J78" s="667"/>
      <c r="K78" s="667"/>
      <c r="L78" s="667"/>
      <c r="M78" s="667"/>
      <c r="N78" s="667"/>
      <c r="O78" s="667"/>
      <c r="P78" s="667"/>
    </row>
    <row r="80" spans="2:16" x14ac:dyDescent="0.35">
      <c r="B80" s="473" t="s">
        <v>78</v>
      </c>
      <c r="C80" s="221" t="s">
        <v>79</v>
      </c>
      <c r="D80" s="482" t="s">
        <v>80</v>
      </c>
      <c r="E80" s="38"/>
      <c r="F80" s="470" t="s">
        <v>78</v>
      </c>
      <c r="G80" s="470" t="s">
        <v>79</v>
      </c>
      <c r="H80" s="285" t="s">
        <v>80</v>
      </c>
      <c r="I80" s="38"/>
      <c r="J80" s="470" t="s">
        <v>78</v>
      </c>
      <c r="K80" s="470" t="s">
        <v>79</v>
      </c>
      <c r="L80" s="285" t="s">
        <v>80</v>
      </c>
      <c r="M80" s="38"/>
      <c r="N80" s="470" t="s">
        <v>78</v>
      </c>
      <c r="O80" s="470" t="s">
        <v>79</v>
      </c>
      <c r="P80" s="285" t="s">
        <v>80</v>
      </c>
    </row>
    <row r="81" spans="1:22" x14ac:dyDescent="0.35">
      <c r="B81" s="195">
        <f>COUNT(B65:B75)*(B43-$B$44)^2</f>
        <v>4.7982022727272691</v>
      </c>
      <c r="C81" s="195">
        <f>COUNT(C65:C75)*(C43-$B$44)^2</f>
        <v>2.8124999999999466E-2</v>
      </c>
      <c r="D81" s="195">
        <f t="shared" ref="D81" si="15">COUNT(D65:D75)*(D43-$B$44)^2</f>
        <v>14.592400000000016</v>
      </c>
      <c r="E81" s="38"/>
      <c r="F81" s="291">
        <f>COUNT(F65:F75)*(F43-$F$44)^2</f>
        <v>0.27729656818181203</v>
      </c>
      <c r="G81" s="291">
        <f t="shared" ref="G81:H81" si="16">COUNT(G65:G75)*(G43-$F$44)^2</f>
        <v>0.86320124999999903</v>
      </c>
      <c r="H81" s="291">
        <f t="shared" si="16"/>
        <v>3.655744000000003</v>
      </c>
      <c r="I81" s="38"/>
      <c r="J81" s="291">
        <f>COUNT(J65:J75)*(J43-$J$44)^2</f>
        <v>179.21454545454631</v>
      </c>
      <c r="K81" s="291">
        <f>COUNT(K65:K69)*(K43-$J$44)^2</f>
        <v>6771.1999999999989</v>
      </c>
      <c r="L81" s="291">
        <f>COUNT(L65:L68)*(L43-$J$44)^2</f>
        <v>4872.0400000000018</v>
      </c>
      <c r="M81" s="38"/>
      <c r="N81" s="291">
        <f>11*(N43-$N$44)^2</f>
        <v>74.100227272727182</v>
      </c>
      <c r="O81" s="291">
        <f>5*(O43-$N$44)^2</f>
        <v>1073.1124999999988</v>
      </c>
      <c r="P81" s="291">
        <f>4*(P43-$N$44)^2</f>
        <v>2590.8100000000004</v>
      </c>
    </row>
    <row r="82" spans="1:22" x14ac:dyDescent="0.35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</row>
    <row r="83" spans="1:22" x14ac:dyDescent="0.35">
      <c r="B83" s="38"/>
      <c r="C83" s="38" t="s">
        <v>50</v>
      </c>
      <c r="D83" s="38">
        <f>SUM(B81:D81)</f>
        <v>19.418727272727285</v>
      </c>
      <c r="E83" s="38"/>
      <c r="F83" s="38"/>
      <c r="G83" s="38" t="s">
        <v>50</v>
      </c>
      <c r="H83" s="38">
        <f>SUM(F81:H81)</f>
        <v>4.7962418181818141</v>
      </c>
      <c r="I83" s="38"/>
      <c r="J83" s="38"/>
      <c r="K83" s="38" t="s">
        <v>50</v>
      </c>
      <c r="L83" s="38">
        <f>SUM(J81:L81)</f>
        <v>11822.454545454548</v>
      </c>
      <c r="M83" s="38"/>
      <c r="N83" s="38"/>
      <c r="O83" s="38" t="s">
        <v>50</v>
      </c>
      <c r="P83" s="38">
        <f>SUM(N81:P81)</f>
        <v>3738.0227272727261</v>
      </c>
      <c r="Q83" s="196"/>
    </row>
    <row r="84" spans="1:22" x14ac:dyDescent="0.35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196"/>
    </row>
    <row r="85" spans="1:22" x14ac:dyDescent="0.35">
      <c r="A85" s="221" t="s">
        <v>106</v>
      </c>
      <c r="B85" s="482" t="s">
        <v>107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196"/>
    </row>
    <row r="86" spans="1:22" x14ac:dyDescent="0.35">
      <c r="A86" s="198">
        <v>20</v>
      </c>
      <c r="B86" s="492">
        <v>3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196"/>
    </row>
    <row r="87" spans="1:22" x14ac:dyDescent="0.35">
      <c r="B87" s="689" t="s">
        <v>108</v>
      </c>
      <c r="C87" s="689"/>
      <c r="D87" s="689"/>
      <c r="E87" s="689"/>
      <c r="F87" s="689"/>
      <c r="G87" s="689"/>
      <c r="H87" s="689"/>
      <c r="I87" s="689"/>
      <c r="J87" s="196"/>
      <c r="K87" s="196"/>
      <c r="L87" s="689" t="s">
        <v>109</v>
      </c>
      <c r="M87" s="689"/>
      <c r="N87" s="689"/>
      <c r="O87" s="689"/>
      <c r="P87" s="689"/>
      <c r="Q87" s="689"/>
      <c r="R87" s="689"/>
      <c r="S87" s="689"/>
    </row>
    <row r="88" spans="1:22" ht="29.25" customHeight="1" x14ac:dyDescent="0.35">
      <c r="B88" s="547" t="s">
        <v>110</v>
      </c>
      <c r="C88" s="676" t="s">
        <v>111</v>
      </c>
      <c r="D88" s="677"/>
      <c r="E88" s="676" t="s">
        <v>112</v>
      </c>
      <c r="F88" s="678"/>
      <c r="G88" s="680" t="s">
        <v>113</v>
      </c>
      <c r="H88" s="681"/>
      <c r="I88" s="548" t="s">
        <v>114</v>
      </c>
      <c r="J88" s="549"/>
      <c r="K88" s="550"/>
      <c r="L88" s="547" t="s">
        <v>110</v>
      </c>
      <c r="M88" s="676" t="s">
        <v>111</v>
      </c>
      <c r="N88" s="677"/>
      <c r="O88" s="676" t="s">
        <v>112</v>
      </c>
      <c r="P88" s="678"/>
      <c r="Q88" s="680" t="s">
        <v>113</v>
      </c>
      <c r="R88" s="681"/>
      <c r="S88" s="548" t="s">
        <v>114</v>
      </c>
      <c r="T88" s="558"/>
      <c r="U88" s="554"/>
    </row>
    <row r="89" spans="1:22" ht="29" x14ac:dyDescent="0.35">
      <c r="B89" s="551" t="s">
        <v>115</v>
      </c>
      <c r="C89" s="676">
        <f>D83</f>
        <v>19.418727272727285</v>
      </c>
      <c r="D89" s="677"/>
      <c r="E89" s="676">
        <f>3-1</f>
        <v>2</v>
      </c>
      <c r="F89" s="678"/>
      <c r="G89" s="679">
        <f>C89/E89</f>
        <v>9.7093636363636424</v>
      </c>
      <c r="H89" s="679"/>
      <c r="I89" s="553">
        <f>G89/G90</f>
        <v>14.075414068041665</v>
      </c>
      <c r="J89" s="552">
        <f>FINV(0.05,3-1,20-3)</f>
        <v>3.5915305684750827</v>
      </c>
      <c r="K89" s="554"/>
      <c r="L89" s="551" t="s">
        <v>115</v>
      </c>
      <c r="M89" s="676">
        <f>H83</f>
        <v>4.7962418181818141</v>
      </c>
      <c r="N89" s="677"/>
      <c r="O89" s="676">
        <f>3-1</f>
        <v>2</v>
      </c>
      <c r="P89" s="678"/>
      <c r="Q89" s="679">
        <f>M89/O89</f>
        <v>2.398120909090907</v>
      </c>
      <c r="R89" s="679"/>
      <c r="S89" s="553">
        <f>Q89/Q90</f>
        <v>15.747778070997422</v>
      </c>
      <c r="T89" s="559">
        <f>FINV(0.05,3-1,20-3)</f>
        <v>3.5915305684750827</v>
      </c>
      <c r="U89" s="554"/>
    </row>
    <row r="90" spans="1:22" ht="29" x14ac:dyDescent="0.35">
      <c r="B90" s="551" t="s">
        <v>116</v>
      </c>
      <c r="C90" s="686">
        <f>D76</f>
        <v>11.726772727272731</v>
      </c>
      <c r="D90" s="687"/>
      <c r="E90" s="676">
        <f>20-3</f>
        <v>17</v>
      </c>
      <c r="F90" s="678"/>
      <c r="G90" s="679">
        <f>C90/E90</f>
        <v>0.68981016042780774</v>
      </c>
      <c r="H90" s="679"/>
      <c r="I90" s="552"/>
      <c r="J90" s="555"/>
      <c r="K90" s="554"/>
      <c r="L90" s="551" t="s">
        <v>116</v>
      </c>
      <c r="M90" s="686">
        <f>H76</f>
        <v>2.5888131818181814</v>
      </c>
      <c r="N90" s="687"/>
      <c r="O90" s="676">
        <f>20-3</f>
        <v>17</v>
      </c>
      <c r="P90" s="678"/>
      <c r="Q90" s="679">
        <f>M90/O90</f>
        <v>0.15228312834224597</v>
      </c>
      <c r="R90" s="679"/>
      <c r="S90" s="552"/>
      <c r="T90" s="554"/>
      <c r="U90" s="554"/>
    </row>
    <row r="91" spans="1:22" x14ac:dyDescent="0.35">
      <c r="B91" s="551" t="s">
        <v>117</v>
      </c>
      <c r="C91" s="676">
        <f>D60</f>
        <v>31.145500000000002</v>
      </c>
      <c r="D91" s="677"/>
      <c r="E91" s="676">
        <f>20-1</f>
        <v>19</v>
      </c>
      <c r="F91" s="678"/>
      <c r="G91" s="679"/>
      <c r="H91" s="679"/>
      <c r="I91" s="552"/>
      <c r="J91" s="555"/>
      <c r="K91" s="554"/>
      <c r="L91" s="551" t="s">
        <v>117</v>
      </c>
      <c r="M91" s="676">
        <f>H60</f>
        <v>7.3850550000000013</v>
      </c>
      <c r="N91" s="677"/>
      <c r="O91" s="676">
        <f>20-1</f>
        <v>19</v>
      </c>
      <c r="P91" s="678"/>
      <c r="Q91" s="679"/>
      <c r="R91" s="679"/>
      <c r="S91" s="552"/>
      <c r="T91" s="554"/>
      <c r="U91" s="554"/>
    </row>
    <row r="92" spans="1:22" x14ac:dyDescent="0.35">
      <c r="J92" s="38"/>
    </row>
    <row r="93" spans="1:22" x14ac:dyDescent="0.35">
      <c r="B93" s="12" t="s">
        <v>118</v>
      </c>
      <c r="C93" s="688" t="s">
        <v>119</v>
      </c>
      <c r="D93" s="688"/>
      <c r="E93" s="688"/>
      <c r="F93" s="688"/>
      <c r="G93" s="688"/>
      <c r="H93" s="688"/>
      <c r="I93" s="688"/>
      <c r="J93" s="688"/>
      <c r="L93" s="12" t="s">
        <v>118</v>
      </c>
      <c r="M93" s="688" t="s">
        <v>120</v>
      </c>
      <c r="N93" s="688"/>
      <c r="O93" s="688"/>
      <c r="P93" s="688"/>
      <c r="Q93" s="688"/>
      <c r="R93" s="688"/>
      <c r="S93" s="688"/>
      <c r="T93" s="688"/>
      <c r="U93" s="688"/>
      <c r="V93" s="688"/>
    </row>
    <row r="94" spans="1:22" x14ac:dyDescent="0.35">
      <c r="C94" s="196"/>
      <c r="D94" s="196"/>
      <c r="E94" s="196"/>
      <c r="F94" s="196"/>
      <c r="G94" s="196"/>
      <c r="H94" s="196"/>
      <c r="I94" s="196"/>
      <c r="J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</row>
    <row r="95" spans="1:22" x14ac:dyDescent="0.35">
      <c r="B95" s="689" t="s">
        <v>121</v>
      </c>
      <c r="C95" s="689"/>
      <c r="D95" s="689"/>
      <c r="E95" s="689"/>
      <c r="F95" s="689"/>
      <c r="G95" s="689"/>
      <c r="H95" s="689"/>
      <c r="I95" s="689"/>
      <c r="J95" s="38"/>
      <c r="L95" s="689" t="s">
        <v>122</v>
      </c>
      <c r="M95" s="689"/>
      <c r="N95" s="689"/>
      <c r="O95" s="689"/>
      <c r="P95" s="689"/>
      <c r="Q95" s="689"/>
      <c r="R95" s="689"/>
      <c r="S95" s="689"/>
    </row>
    <row r="96" spans="1:22" ht="29" x14ac:dyDescent="0.35">
      <c r="B96" s="547" t="s">
        <v>110</v>
      </c>
      <c r="C96" s="676" t="s">
        <v>111</v>
      </c>
      <c r="D96" s="677"/>
      <c r="E96" s="676" t="s">
        <v>112</v>
      </c>
      <c r="F96" s="678"/>
      <c r="G96" s="680" t="s">
        <v>113</v>
      </c>
      <c r="H96" s="681"/>
      <c r="I96" s="548" t="s">
        <v>114</v>
      </c>
      <c r="J96" s="556"/>
      <c r="L96" s="547" t="s">
        <v>110</v>
      </c>
      <c r="M96" s="676" t="s">
        <v>111</v>
      </c>
      <c r="N96" s="677"/>
      <c r="O96" s="676" t="s">
        <v>112</v>
      </c>
      <c r="P96" s="678"/>
      <c r="Q96" s="680" t="s">
        <v>113</v>
      </c>
      <c r="R96" s="681"/>
      <c r="S96" s="548" t="s">
        <v>114</v>
      </c>
      <c r="T96" s="558"/>
    </row>
    <row r="97" spans="1:22" ht="29" x14ac:dyDescent="0.35">
      <c r="B97" s="551" t="s">
        <v>115</v>
      </c>
      <c r="C97" s="682">
        <f>L83</f>
        <v>11822.454545454548</v>
      </c>
      <c r="D97" s="683"/>
      <c r="E97" s="676">
        <f>3-1</f>
        <v>2</v>
      </c>
      <c r="F97" s="678"/>
      <c r="G97" s="679">
        <f>C97/E97</f>
        <v>5911.2272727272739</v>
      </c>
      <c r="H97" s="679"/>
      <c r="I97" s="553">
        <f>G97/G98</f>
        <v>7.5897463537754462</v>
      </c>
      <c r="J97" s="557">
        <f>FINV(0.05,3-1,20-3)</f>
        <v>3.5915305684750827</v>
      </c>
      <c r="L97" s="551" t="s">
        <v>115</v>
      </c>
      <c r="M97" s="676">
        <f>P83</f>
        <v>3738.0227272727261</v>
      </c>
      <c r="N97" s="677"/>
      <c r="O97" s="676">
        <f>3-1</f>
        <v>2</v>
      </c>
      <c r="P97" s="678"/>
      <c r="Q97" s="679">
        <f>M97/O97</f>
        <v>1869.0113636363631</v>
      </c>
      <c r="R97" s="679"/>
      <c r="S97" s="553">
        <f>Q97/Q98</f>
        <v>8.4169020715630865</v>
      </c>
      <c r="T97" s="559">
        <f>FINV(0.05,3-1,20-3)</f>
        <v>3.5915305684750827</v>
      </c>
    </row>
    <row r="98" spans="1:22" ht="29" x14ac:dyDescent="0.35">
      <c r="B98" s="551" t="s">
        <v>116</v>
      </c>
      <c r="C98" s="684">
        <f>L76</f>
        <v>13240.345454545453</v>
      </c>
      <c r="D98" s="685"/>
      <c r="E98" s="676">
        <f>20-3</f>
        <v>17</v>
      </c>
      <c r="F98" s="678"/>
      <c r="G98" s="679">
        <f>C98/E98</f>
        <v>778.84385026737959</v>
      </c>
      <c r="H98" s="679"/>
      <c r="I98" s="552"/>
      <c r="J98" s="554"/>
      <c r="L98" s="551" t="s">
        <v>116</v>
      </c>
      <c r="M98" s="686">
        <f>P76</f>
        <v>3774.9272727272728</v>
      </c>
      <c r="N98" s="687"/>
      <c r="O98" s="676">
        <f>20-3</f>
        <v>17</v>
      </c>
      <c r="P98" s="678"/>
      <c r="Q98" s="679">
        <f>M98/O98</f>
        <v>222.05454545454546</v>
      </c>
      <c r="R98" s="679"/>
      <c r="S98" s="552"/>
      <c r="T98" s="554"/>
    </row>
    <row r="99" spans="1:22" x14ac:dyDescent="0.35">
      <c r="B99" s="551" t="s">
        <v>117</v>
      </c>
      <c r="C99" s="676">
        <f>L60</f>
        <v>25062.799999999992</v>
      </c>
      <c r="D99" s="677"/>
      <c r="E99" s="676">
        <f>20-1</f>
        <v>19</v>
      </c>
      <c r="F99" s="678"/>
      <c r="G99" s="679"/>
      <c r="H99" s="679"/>
      <c r="I99" s="552"/>
      <c r="J99" s="554"/>
      <c r="L99" s="551" t="s">
        <v>117</v>
      </c>
      <c r="M99" s="676">
        <f>P60</f>
        <v>7512.9500000000016</v>
      </c>
      <c r="N99" s="677"/>
      <c r="O99" s="676">
        <f>20-1</f>
        <v>19</v>
      </c>
      <c r="P99" s="678"/>
      <c r="Q99" s="679"/>
      <c r="R99" s="679"/>
      <c r="S99" s="552"/>
      <c r="T99" s="554"/>
    </row>
    <row r="101" spans="1:22" x14ac:dyDescent="0.35">
      <c r="B101" s="12" t="s">
        <v>118</v>
      </c>
      <c r="C101" s="688" t="s">
        <v>123</v>
      </c>
      <c r="D101" s="688"/>
      <c r="E101" s="688"/>
      <c r="F101" s="688"/>
      <c r="G101" s="688"/>
      <c r="H101" s="688"/>
      <c r="I101" s="688"/>
      <c r="J101" s="688"/>
      <c r="L101" s="12" t="s">
        <v>118</v>
      </c>
      <c r="M101" s="688" t="s">
        <v>124</v>
      </c>
      <c r="N101" s="688"/>
      <c r="O101" s="688"/>
      <c r="P101" s="688"/>
      <c r="Q101" s="688"/>
      <c r="R101" s="688"/>
      <c r="S101" s="688"/>
      <c r="T101" s="688"/>
      <c r="U101" s="688"/>
      <c r="V101" s="688"/>
    </row>
    <row r="104" spans="1:22" s="415" customFormat="1" ht="15.5" x14ac:dyDescent="0.35">
      <c r="A104" s="493"/>
      <c r="B104" s="668" t="s">
        <v>125</v>
      </c>
      <c r="C104" s="668"/>
      <c r="D104" s="668"/>
      <c r="E104" s="668"/>
      <c r="F104" s="668"/>
      <c r="G104" s="668"/>
      <c r="H104" s="668"/>
      <c r="I104" s="668"/>
      <c r="J104" s="668"/>
      <c r="K104" s="668"/>
      <c r="L104" s="668"/>
      <c r="M104" s="668"/>
    </row>
    <row r="106" spans="1:22" x14ac:dyDescent="0.35">
      <c r="B106" s="670" t="s">
        <v>2</v>
      </c>
      <c r="C106" s="671"/>
      <c r="D106" s="672"/>
      <c r="F106" s="670" t="s">
        <v>126</v>
      </c>
      <c r="G106" s="671"/>
      <c r="H106" s="672"/>
      <c r="J106" s="634"/>
      <c r="K106" s="634"/>
      <c r="L106" s="634"/>
    </row>
    <row r="107" spans="1:22" x14ac:dyDescent="0.35">
      <c r="B107" s="473" t="s">
        <v>78</v>
      </c>
      <c r="C107" s="473" t="s">
        <v>79</v>
      </c>
      <c r="D107" s="221" t="s">
        <v>80</v>
      </c>
      <c r="F107" s="473" t="s">
        <v>78</v>
      </c>
      <c r="G107" s="473" t="s">
        <v>79</v>
      </c>
      <c r="H107" s="221" t="s">
        <v>80</v>
      </c>
      <c r="J107" s="38"/>
      <c r="K107" s="38"/>
      <c r="L107" s="38"/>
    </row>
    <row r="108" spans="1:22" x14ac:dyDescent="0.35">
      <c r="B108" s="512">
        <v>6.0800555599999999</v>
      </c>
      <c r="C108" s="509">
        <v>7.4478785384615387</v>
      </c>
      <c r="D108" s="506">
        <v>5.2324163124999998</v>
      </c>
      <c r="F108" s="279">
        <f>_xlfn.RANK.AVG(B108,$B$108:$D$118,1)</f>
        <v>17</v>
      </c>
      <c r="G108" s="280">
        <f t="shared" ref="G108:H111" si="17">_xlfn.RANK.AVG(C108,$B$108:$D$118,1)</f>
        <v>19</v>
      </c>
      <c r="H108" s="483">
        <f t="shared" si="17"/>
        <v>16</v>
      </c>
      <c r="J108" s="637" t="s">
        <v>127</v>
      </c>
      <c r="K108" s="690">
        <f>12/(20*21)*(F120^2/F119+G120^2/G119+H120^2/H119)-3*21</f>
        <v>2.5371428571428538</v>
      </c>
      <c r="L108" s="38"/>
      <c r="M108" s="637"/>
      <c r="N108" s="705">
        <f>CHIINV(0.05,3-1)</f>
        <v>5.9914645471079817</v>
      </c>
    </row>
    <row r="109" spans="1:22" x14ac:dyDescent="0.35">
      <c r="B109" s="513">
        <v>4.1846083333333332E-2</v>
      </c>
      <c r="C109" s="510">
        <v>0.43089627272727271</v>
      </c>
      <c r="D109" s="507">
        <v>3.6850712125</v>
      </c>
      <c r="F109" s="344">
        <f t="shared" ref="F109:F118" si="18">_xlfn.RANK.AVG(B109,$B$108:$D$118,1)</f>
        <v>1</v>
      </c>
      <c r="G109" s="471">
        <f t="shared" si="17"/>
        <v>3</v>
      </c>
      <c r="H109" s="480">
        <f t="shared" si="17"/>
        <v>14</v>
      </c>
      <c r="J109" s="640"/>
      <c r="K109" s="691"/>
      <c r="L109" s="38"/>
      <c r="M109" s="640"/>
      <c r="N109" s="706"/>
    </row>
    <row r="110" spans="1:22" x14ac:dyDescent="0.35">
      <c r="B110" s="513">
        <v>0.89524863333333338</v>
      </c>
      <c r="C110" s="510">
        <v>0.24161450000000001</v>
      </c>
      <c r="D110" s="507">
        <v>2.741907775</v>
      </c>
      <c r="F110" s="344">
        <f t="shared" si="18"/>
        <v>7</v>
      </c>
      <c r="G110" s="471">
        <f t="shared" si="17"/>
        <v>2</v>
      </c>
      <c r="H110" s="480">
        <f t="shared" si="17"/>
        <v>10</v>
      </c>
      <c r="J110" s="642"/>
      <c r="K110" s="692"/>
      <c r="L110" s="38"/>
      <c r="M110" s="642"/>
      <c r="N110" s="707"/>
    </row>
    <row r="111" spans="1:22" x14ac:dyDescent="0.35">
      <c r="B111" s="513">
        <v>0.55184968571428572</v>
      </c>
      <c r="C111" s="510">
        <v>109.335908</v>
      </c>
      <c r="D111" s="508">
        <v>6.87</v>
      </c>
      <c r="F111" s="344">
        <f t="shared" si="18"/>
        <v>5</v>
      </c>
      <c r="G111" s="476">
        <f t="shared" si="17"/>
        <v>20</v>
      </c>
      <c r="H111" s="480">
        <f t="shared" si="17"/>
        <v>18</v>
      </c>
      <c r="I111" s="494"/>
      <c r="J111" s="494"/>
      <c r="K111" s="494"/>
      <c r="L111" s="38"/>
    </row>
    <row r="112" spans="1:22" x14ac:dyDescent="0.35">
      <c r="B112" s="513">
        <v>1.88</v>
      </c>
      <c r="C112" s="511">
        <v>2.5399945000000002</v>
      </c>
      <c r="D112" s="40"/>
      <c r="F112" s="344">
        <f t="shared" si="18"/>
        <v>8</v>
      </c>
      <c r="G112" s="471">
        <f>_xlfn.RANK.AVG(C112,$B$108:$D$118,1)</f>
        <v>9</v>
      </c>
      <c r="H112" s="480"/>
      <c r="I112" s="38"/>
      <c r="J112" s="38"/>
      <c r="K112" s="38"/>
      <c r="L112" s="38"/>
    </row>
    <row r="113" spans="2:16" x14ac:dyDescent="0.35">
      <c r="B113" s="514">
        <v>2.7834618899999999</v>
      </c>
      <c r="C113" s="40"/>
      <c r="D113" s="40"/>
      <c r="F113" s="344">
        <f t="shared" si="18"/>
        <v>11</v>
      </c>
      <c r="G113" s="197"/>
      <c r="H113" s="480"/>
      <c r="I113" s="38"/>
      <c r="J113" s="38"/>
      <c r="K113" s="38"/>
      <c r="L113" s="38"/>
      <c r="M113" s="699" t="s">
        <v>128</v>
      </c>
      <c r="N113" s="702">
        <f>CHIDIST(K108,3-1)</f>
        <v>0.28123309650887884</v>
      </c>
    </row>
    <row r="114" spans="2:16" x14ac:dyDescent="0.35">
      <c r="B114" s="515">
        <v>0.81</v>
      </c>
      <c r="C114" s="40"/>
      <c r="D114" s="40"/>
      <c r="F114" s="344">
        <f t="shared" si="18"/>
        <v>6</v>
      </c>
      <c r="G114" s="471"/>
      <c r="H114" s="480"/>
      <c r="I114" s="38"/>
      <c r="J114" s="38"/>
      <c r="K114" s="38"/>
      <c r="L114" s="38"/>
      <c r="M114" s="700"/>
      <c r="N114" s="703"/>
    </row>
    <row r="115" spans="2:16" x14ac:dyDescent="0.35">
      <c r="B115" s="515">
        <v>3.4042458125000001</v>
      </c>
      <c r="C115" s="40"/>
      <c r="D115" s="40"/>
      <c r="F115" s="344">
        <f t="shared" si="18"/>
        <v>13</v>
      </c>
      <c r="G115" s="471"/>
      <c r="H115" s="480"/>
      <c r="I115" s="38"/>
      <c r="J115" s="38"/>
      <c r="K115" s="38"/>
      <c r="L115" s="38"/>
      <c r="M115" s="701"/>
      <c r="N115" s="704"/>
    </row>
    <row r="116" spans="2:16" x14ac:dyDescent="0.35">
      <c r="B116" s="515">
        <v>4.2782920000000004</v>
      </c>
      <c r="C116" s="40"/>
      <c r="D116" s="40"/>
      <c r="F116" s="344">
        <f t="shared" si="18"/>
        <v>15</v>
      </c>
      <c r="G116" s="471"/>
      <c r="H116" s="480"/>
      <c r="I116" s="38"/>
      <c r="J116" s="38"/>
      <c r="K116" s="38"/>
      <c r="L116" s="38"/>
    </row>
    <row r="117" spans="2:16" x14ac:dyDescent="0.35">
      <c r="B117" s="515">
        <v>3.39381405</v>
      </c>
      <c r="C117" s="40"/>
      <c r="D117" s="40"/>
      <c r="F117" s="344">
        <f t="shared" si="18"/>
        <v>12</v>
      </c>
      <c r="G117" s="471"/>
      <c r="H117" s="480"/>
      <c r="J117" s="38"/>
      <c r="K117" s="38"/>
      <c r="L117" s="38"/>
    </row>
    <row r="118" spans="2:16" x14ac:dyDescent="0.35">
      <c r="B118" s="516">
        <v>0.50973905714285717</v>
      </c>
      <c r="C118" s="40"/>
      <c r="D118" s="40"/>
      <c r="F118" s="481">
        <f t="shared" si="18"/>
        <v>4</v>
      </c>
      <c r="G118" s="476"/>
      <c r="H118" s="478"/>
      <c r="J118" s="38"/>
      <c r="K118" s="38"/>
      <c r="L118" s="38"/>
      <c r="M118" s="528" t="s">
        <v>118</v>
      </c>
      <c r="N118" s="697" t="s">
        <v>129</v>
      </c>
      <c r="O118" s="697"/>
      <c r="P118" s="697"/>
    </row>
    <row r="119" spans="2:16" x14ac:dyDescent="0.35">
      <c r="B119" s="40"/>
      <c r="C119" s="40"/>
      <c r="D119" s="40"/>
      <c r="E119" s="495" t="s">
        <v>130</v>
      </c>
      <c r="F119" s="279">
        <f>COUNT(F108:F118)</f>
        <v>11</v>
      </c>
      <c r="G119" s="280">
        <f>COUNT(G108:G112)</f>
        <v>5</v>
      </c>
      <c r="H119" s="479">
        <f>COUNT(H108:H111)</f>
        <v>4</v>
      </c>
      <c r="J119" s="38"/>
      <c r="K119" s="38"/>
      <c r="L119" s="38"/>
      <c r="N119" s="697"/>
      <c r="O119" s="697"/>
      <c r="P119" s="697"/>
    </row>
    <row r="120" spans="2:16" x14ac:dyDescent="0.35">
      <c r="B120" s="40"/>
      <c r="C120" s="40"/>
      <c r="D120" s="40"/>
      <c r="E120" s="496" t="s">
        <v>131</v>
      </c>
      <c r="F120" s="344">
        <f>SUM(F108:F118)</f>
        <v>99</v>
      </c>
      <c r="G120" s="471">
        <f>SUM(G108:G112)</f>
        <v>53</v>
      </c>
      <c r="H120" s="480">
        <f>SUM(H108:H111)</f>
        <v>58</v>
      </c>
      <c r="J120" s="38"/>
      <c r="K120" s="38"/>
      <c r="L120" s="38"/>
      <c r="N120" s="697"/>
      <c r="O120" s="697"/>
      <c r="P120" s="697"/>
    </row>
    <row r="121" spans="2:16" x14ac:dyDescent="0.35">
      <c r="B121" s="40"/>
      <c r="C121" s="40"/>
      <c r="D121" s="40"/>
      <c r="E121" s="497" t="s">
        <v>132</v>
      </c>
      <c r="F121" s="345">
        <f>AVERAGE(F108:F118)</f>
        <v>9</v>
      </c>
      <c r="G121" s="472">
        <f>AVERAGE(G108:G112)</f>
        <v>10.6</v>
      </c>
      <c r="H121" s="478">
        <f>AVERAGE(H108:H111)</f>
        <v>14.5</v>
      </c>
      <c r="J121" s="38"/>
      <c r="K121" s="38"/>
      <c r="L121" s="38"/>
    </row>
    <row r="123" spans="2:16" x14ac:dyDescent="0.35">
      <c r="B123" s="670" t="s">
        <v>3</v>
      </c>
      <c r="C123" s="671"/>
      <c r="D123" s="672"/>
      <c r="F123" s="670" t="s">
        <v>126</v>
      </c>
      <c r="G123" s="671"/>
      <c r="H123" s="672"/>
      <c r="K123" s="38"/>
    </row>
    <row r="124" spans="2:16" x14ac:dyDescent="0.35">
      <c r="B124" s="473" t="s">
        <v>78</v>
      </c>
      <c r="C124" s="473" t="s">
        <v>79</v>
      </c>
      <c r="D124" s="221" t="s">
        <v>80</v>
      </c>
      <c r="F124" s="473" t="s">
        <v>78</v>
      </c>
      <c r="G124" s="470" t="s">
        <v>79</v>
      </c>
      <c r="H124" s="221" t="s">
        <v>80</v>
      </c>
      <c r="K124" s="38"/>
    </row>
    <row r="125" spans="2:16" x14ac:dyDescent="0.35">
      <c r="B125" s="517">
        <v>29</v>
      </c>
      <c r="C125" s="522">
        <v>9</v>
      </c>
      <c r="D125" s="525">
        <v>379</v>
      </c>
      <c r="F125" s="280">
        <f>_xlfn.RANK.AVG(B125,$B$125:$D$135,1)</f>
        <v>16</v>
      </c>
      <c r="G125" s="208">
        <f t="shared" ref="G125:H128" si="19">_xlfn.RANK.AVG(C125,$B$125:$D$135,1)</f>
        <v>13</v>
      </c>
      <c r="H125" s="280">
        <f t="shared" si="19"/>
        <v>20</v>
      </c>
      <c r="J125" s="637" t="s">
        <v>127</v>
      </c>
      <c r="K125" s="693">
        <f>12/(20*21)*(F137^2/F136+G137^2/G136+H137^2/H136)-3*21</f>
        <v>9.2758441558441689</v>
      </c>
      <c r="M125" s="637"/>
      <c r="N125" s="708">
        <f>CHIINV(0.05,3-1)</f>
        <v>5.9914645471079817</v>
      </c>
    </row>
    <row r="126" spans="2:16" x14ac:dyDescent="0.35">
      <c r="B126" s="518">
        <v>0</v>
      </c>
      <c r="C126" s="523">
        <v>1</v>
      </c>
      <c r="D126" s="526">
        <v>77</v>
      </c>
      <c r="F126" s="471">
        <f t="shared" ref="F126:F135" si="20">_xlfn.RANK.AVG(B126,$B$125:$D$135,1)</f>
        <v>1.5</v>
      </c>
      <c r="G126" s="475">
        <f t="shared" si="19"/>
        <v>3.5</v>
      </c>
      <c r="H126" s="471">
        <f t="shared" si="19"/>
        <v>18</v>
      </c>
      <c r="J126" s="640"/>
      <c r="K126" s="694"/>
      <c r="M126" s="640"/>
      <c r="N126" s="706"/>
    </row>
    <row r="127" spans="2:16" x14ac:dyDescent="0.35">
      <c r="B127" s="518">
        <v>3</v>
      </c>
      <c r="C127" s="523">
        <v>1</v>
      </c>
      <c r="D127" s="526">
        <v>51</v>
      </c>
      <c r="F127" s="471">
        <f t="shared" si="20"/>
        <v>5</v>
      </c>
      <c r="G127" s="475">
        <f t="shared" si="19"/>
        <v>3.5</v>
      </c>
      <c r="H127" s="471">
        <f t="shared" si="19"/>
        <v>17</v>
      </c>
      <c r="J127" s="642"/>
      <c r="K127" s="695"/>
      <c r="M127" s="642"/>
      <c r="N127" s="707"/>
    </row>
    <row r="128" spans="2:16" x14ac:dyDescent="0.35">
      <c r="B128" s="518">
        <v>7</v>
      </c>
      <c r="C128" s="523">
        <v>8</v>
      </c>
      <c r="D128" s="527">
        <v>303</v>
      </c>
      <c r="F128" s="471">
        <f t="shared" si="20"/>
        <v>11</v>
      </c>
      <c r="G128" s="475">
        <f t="shared" si="19"/>
        <v>12</v>
      </c>
      <c r="H128" s="471">
        <f>_xlfn.RANK.AVG(D128,$B$125:$D$135,1)</f>
        <v>19</v>
      </c>
      <c r="K128" s="38"/>
    </row>
    <row r="129" spans="2:28" x14ac:dyDescent="0.35">
      <c r="B129" s="518">
        <v>12</v>
      </c>
      <c r="C129" s="524">
        <v>4</v>
      </c>
      <c r="D129" s="38"/>
      <c r="F129" s="471">
        <f t="shared" si="20"/>
        <v>15</v>
      </c>
      <c r="G129" s="475">
        <f>_xlfn.RANK.AVG(C129,$B$125:$D$135,1)</f>
        <v>6.5</v>
      </c>
      <c r="H129" s="471"/>
      <c r="K129" s="38"/>
    </row>
    <row r="130" spans="2:28" x14ac:dyDescent="0.35">
      <c r="B130" s="519">
        <v>6</v>
      </c>
      <c r="C130" s="38"/>
      <c r="D130" s="38"/>
      <c r="F130" s="471">
        <f>_xlfn.RANK.AVG(B130,$B$125:$D$135,1)</f>
        <v>9.5</v>
      </c>
      <c r="G130" s="475"/>
      <c r="H130" s="471"/>
      <c r="J130" s="637" t="s">
        <v>133</v>
      </c>
      <c r="K130" s="696">
        <f>1-((2^3-2)+(2^3-2)+(2^3-2)+(2^3-2))/(20^3-20)</f>
        <v>0.99699248120300754</v>
      </c>
      <c r="M130" s="698" t="s">
        <v>128</v>
      </c>
      <c r="N130" s="693">
        <f>CHIDIST(K135,3-1)</f>
        <v>9.5433300451874935E-3</v>
      </c>
    </row>
    <row r="131" spans="2:28" x14ac:dyDescent="0.35">
      <c r="B131" s="520">
        <v>11</v>
      </c>
      <c r="C131" s="38"/>
      <c r="D131" s="38"/>
      <c r="F131" s="471">
        <f t="shared" si="20"/>
        <v>14</v>
      </c>
      <c r="G131" s="475"/>
      <c r="H131" s="471"/>
      <c r="J131" s="640"/>
      <c r="K131" s="694"/>
      <c r="M131" s="640"/>
      <c r="N131" s="694"/>
    </row>
    <row r="132" spans="2:28" x14ac:dyDescent="0.35">
      <c r="B132" s="520">
        <v>5</v>
      </c>
      <c r="C132" s="38"/>
      <c r="D132" s="38"/>
      <c r="F132" s="471">
        <f t="shared" si="20"/>
        <v>8</v>
      </c>
      <c r="G132" s="475"/>
      <c r="H132" s="471"/>
      <c r="J132" s="642"/>
      <c r="K132" s="695"/>
      <c r="M132" s="642"/>
      <c r="N132" s="695"/>
    </row>
    <row r="133" spans="2:28" x14ac:dyDescent="0.35">
      <c r="B133" s="520">
        <v>6</v>
      </c>
      <c r="C133" s="38"/>
      <c r="D133" s="38"/>
      <c r="F133" s="471">
        <f>_xlfn.RANK.AVG(B133,$B$125:$D$135,1)</f>
        <v>9.5</v>
      </c>
      <c r="G133" s="475"/>
      <c r="H133" s="471"/>
      <c r="K133" s="38"/>
    </row>
    <row r="134" spans="2:28" x14ac:dyDescent="0.35">
      <c r="B134" s="520">
        <v>4</v>
      </c>
      <c r="C134" s="38"/>
      <c r="D134" s="38"/>
      <c r="F134" s="471">
        <f t="shared" si="20"/>
        <v>6.5</v>
      </c>
      <c r="G134" s="475"/>
      <c r="H134" s="471"/>
      <c r="K134" s="38"/>
      <c r="R134" s="721" t="s">
        <v>134</v>
      </c>
      <c r="S134" s="717" t="s">
        <v>88</v>
      </c>
      <c r="T134" s="717"/>
      <c r="U134" s="717"/>
      <c r="V134" s="718"/>
      <c r="W134" s="717" t="s">
        <v>37</v>
      </c>
      <c r="X134" s="714" t="s">
        <v>135</v>
      </c>
      <c r="Y134" s="529"/>
      <c r="Z134" s="709"/>
      <c r="AA134" s="709"/>
      <c r="AB134" s="529"/>
    </row>
    <row r="135" spans="2:28" x14ac:dyDescent="0.35">
      <c r="B135" s="521">
        <v>0</v>
      </c>
      <c r="C135" s="38"/>
      <c r="D135" s="38"/>
      <c r="F135" s="476">
        <f t="shared" si="20"/>
        <v>1.5</v>
      </c>
      <c r="G135" s="477"/>
      <c r="H135" s="476"/>
      <c r="J135" s="637" t="s">
        <v>136</v>
      </c>
      <c r="K135" s="690">
        <f>(1/K130)*K125</f>
        <v>9.3038255861785402</v>
      </c>
      <c r="M135" s="528" t="s">
        <v>118</v>
      </c>
      <c r="N135" s="720" t="s">
        <v>137</v>
      </c>
      <c r="O135" s="697"/>
      <c r="P135" s="697"/>
      <c r="R135" s="721"/>
      <c r="S135" s="717"/>
      <c r="T135" s="717"/>
      <c r="U135" s="717"/>
      <c r="V135" s="718"/>
      <c r="W135" s="717"/>
      <c r="X135" s="715"/>
      <c r="Z135" s="709"/>
      <c r="AA135" s="709"/>
    </row>
    <row r="136" spans="2:28" x14ac:dyDescent="0.35">
      <c r="B136" s="38"/>
      <c r="C136" s="38"/>
      <c r="D136" s="38"/>
      <c r="E136" s="495" t="s">
        <v>130</v>
      </c>
      <c r="F136" s="498">
        <f>COUNT(F125:F135)</f>
        <v>11</v>
      </c>
      <c r="G136" s="499">
        <f>COUNT(G125:G129)</f>
        <v>5</v>
      </c>
      <c r="H136" s="500">
        <f>COUNT(H125:H128)</f>
        <v>4</v>
      </c>
      <c r="J136" s="640"/>
      <c r="K136" s="691"/>
      <c r="N136" s="697"/>
      <c r="O136" s="697"/>
      <c r="P136" s="697"/>
      <c r="R136" s="721"/>
      <c r="S136" s="717"/>
      <c r="T136" s="717"/>
      <c r="U136" s="717"/>
      <c r="V136" s="718"/>
      <c r="W136" s="719"/>
      <c r="X136" s="716"/>
      <c r="Y136" s="529"/>
      <c r="AA136" s="709"/>
      <c r="AB136" s="529"/>
    </row>
    <row r="137" spans="2:28" x14ac:dyDescent="0.35">
      <c r="B137" s="38"/>
      <c r="C137" s="38"/>
      <c r="D137" s="38"/>
      <c r="E137" s="496" t="s">
        <v>131</v>
      </c>
      <c r="F137" s="501">
        <f>SUM(F125:F135)</f>
        <v>97.5</v>
      </c>
      <c r="G137" s="502">
        <f>SUM(G125:G129)</f>
        <v>38.5</v>
      </c>
      <c r="H137" s="503">
        <f>SUM(H125:H128)</f>
        <v>74</v>
      </c>
      <c r="J137" s="642"/>
      <c r="K137" s="692"/>
      <c r="N137" s="697"/>
      <c r="O137" s="697"/>
      <c r="P137" s="697"/>
      <c r="R137" s="530" t="s">
        <v>138</v>
      </c>
      <c r="S137" s="710">
        <f>ABS(F138-G138)/SQRT(20*21/12*(1/11+1/5))</f>
        <v>0.3646738446708413</v>
      </c>
      <c r="T137" s="710"/>
      <c r="U137" s="710"/>
      <c r="V137" s="710"/>
      <c r="W137" s="532">
        <f>NORMSINV(1-0.05/2)</f>
        <v>1.9599639845400536</v>
      </c>
      <c r="X137" s="533">
        <f>2*(1-_xlfn.NORM.S.DIST(S137,TRUE))</f>
        <v>0.71535488492826071</v>
      </c>
      <c r="Y137" s="528" t="s">
        <v>139</v>
      </c>
      <c r="Z137" s="529"/>
      <c r="AA137" s="529"/>
      <c r="AB137" s="529"/>
    </row>
    <row r="138" spans="2:28" x14ac:dyDescent="0.35">
      <c r="B138" s="38"/>
      <c r="C138" s="38"/>
      <c r="D138" s="38"/>
      <c r="E138" s="497" t="s">
        <v>132</v>
      </c>
      <c r="F138" s="535">
        <f>AVERAGE(F125:F135)</f>
        <v>8.8636363636363633</v>
      </c>
      <c r="G138" s="504">
        <f>AVERAGE(G125:G129)</f>
        <v>7.7</v>
      </c>
      <c r="H138" s="505">
        <f>AVERAGE(H125:H128)</f>
        <v>18.5</v>
      </c>
      <c r="K138" s="38"/>
      <c r="R138" s="530" t="s">
        <v>140</v>
      </c>
      <c r="S138" s="711">
        <f>ABS(F138-H138)/SQRT(20*21/12*(1/11+1/4))</f>
        <v>2.7897151866294205</v>
      </c>
      <c r="T138" s="711"/>
      <c r="U138" s="711"/>
      <c r="V138" s="711"/>
      <c r="W138" s="532">
        <f>NORMSINV(1-0.05/2)</f>
        <v>1.9599639845400536</v>
      </c>
      <c r="X138" s="533">
        <f>2*(1-_xlfn.NORM.S.DIST(S138,TRUE))</f>
        <v>5.2754426514607378E-3</v>
      </c>
      <c r="Y138" s="534" t="s">
        <v>141</v>
      </c>
      <c r="Z138" s="529"/>
      <c r="AA138" s="529"/>
      <c r="AB138" s="529"/>
    </row>
    <row r="139" spans="2:28" x14ac:dyDescent="0.35">
      <c r="K139" s="38"/>
      <c r="R139" s="530" t="s">
        <v>142</v>
      </c>
      <c r="S139" s="712">
        <f>ABS(G138-H138)/SQRT(20*21/12*(1/5+1/4))</f>
        <v>2.7213442056664361</v>
      </c>
      <c r="T139" s="713"/>
      <c r="U139" s="713"/>
      <c r="V139" s="713"/>
      <c r="W139" s="532">
        <f>NORMSINV(1-0.05/2)</f>
        <v>1.9599639845400536</v>
      </c>
      <c r="X139" s="533">
        <f>2*(1-_xlfn.NORM.S.DIST(S139,TRUE))</f>
        <v>6.5017023730817858E-3</v>
      </c>
      <c r="Y139" s="534" t="s">
        <v>141</v>
      </c>
      <c r="Z139" s="529"/>
      <c r="AA139" s="529"/>
      <c r="AB139" s="531"/>
    </row>
    <row r="140" spans="2:28" x14ac:dyDescent="0.35">
      <c r="B140" s="670" t="s">
        <v>5</v>
      </c>
      <c r="C140" s="671"/>
      <c r="D140" s="672"/>
      <c r="F140" s="670" t="s">
        <v>126</v>
      </c>
      <c r="G140" s="671"/>
      <c r="H140" s="672"/>
      <c r="K140" s="38"/>
    </row>
    <row r="141" spans="2:28" x14ac:dyDescent="0.35">
      <c r="B141" s="473" t="s">
        <v>78</v>
      </c>
      <c r="C141" s="473" t="s">
        <v>79</v>
      </c>
      <c r="D141" s="221" t="s">
        <v>80</v>
      </c>
      <c r="F141" s="473" t="s">
        <v>78</v>
      </c>
      <c r="G141" s="285" t="s">
        <v>79</v>
      </c>
      <c r="H141" s="482" t="s">
        <v>80</v>
      </c>
      <c r="K141" s="38"/>
      <c r="R141" s="528" t="s">
        <v>118</v>
      </c>
      <c r="S141" s="12" t="s">
        <v>143</v>
      </c>
    </row>
    <row r="142" spans="2:28" x14ac:dyDescent="0.35">
      <c r="B142" s="517">
        <v>2</v>
      </c>
      <c r="C142" s="522">
        <v>2</v>
      </c>
      <c r="D142" s="525">
        <v>6</v>
      </c>
      <c r="F142" s="280">
        <f>_xlfn.RANK.AVG(B142,$B$142:$D$152,1)</f>
        <v>11.5</v>
      </c>
      <c r="G142" s="208">
        <f t="shared" ref="G142:H146" si="21">_xlfn.RANK.AVG(C142,$B$142:$D$152,1)</f>
        <v>11.5</v>
      </c>
      <c r="H142" s="280">
        <f t="shared" si="21"/>
        <v>19.5</v>
      </c>
      <c r="J142" s="637" t="s">
        <v>127</v>
      </c>
      <c r="K142" s="693">
        <f>12/(20*21)*(F154^2/F153+G154^2/G153+H154^2/H153)-3*21</f>
        <v>2.3329870129870187</v>
      </c>
      <c r="M142" s="637"/>
      <c r="N142" s="708">
        <f>CHIINV(0.05,3-1)</f>
        <v>5.9914645471079817</v>
      </c>
      <c r="S142" s="12" t="s">
        <v>144</v>
      </c>
    </row>
    <row r="143" spans="2:28" x14ac:dyDescent="0.35">
      <c r="B143" s="518">
        <v>6</v>
      </c>
      <c r="C143" s="523">
        <v>1</v>
      </c>
      <c r="D143" s="526">
        <v>1</v>
      </c>
      <c r="F143" s="471">
        <f t="shared" ref="F143:F152" si="22">_xlfn.RANK.AVG(B143,$B$142:$D$152,1)</f>
        <v>19.5</v>
      </c>
      <c r="G143" s="475">
        <f t="shared" si="21"/>
        <v>4.5</v>
      </c>
      <c r="H143" s="471">
        <f t="shared" si="21"/>
        <v>4.5</v>
      </c>
      <c r="J143" s="640"/>
      <c r="K143" s="694"/>
      <c r="M143" s="640"/>
      <c r="N143" s="706"/>
    </row>
    <row r="144" spans="2:28" x14ac:dyDescent="0.35">
      <c r="B144" s="518">
        <v>3</v>
      </c>
      <c r="C144" s="523">
        <v>1</v>
      </c>
      <c r="D144" s="526">
        <v>2</v>
      </c>
      <c r="F144" s="471">
        <f t="shared" si="22"/>
        <v>16</v>
      </c>
      <c r="G144" s="475">
        <f t="shared" si="21"/>
        <v>4.5</v>
      </c>
      <c r="H144" s="471">
        <f t="shared" si="21"/>
        <v>11.5</v>
      </c>
      <c r="J144" s="642"/>
      <c r="K144" s="695"/>
      <c r="M144" s="642"/>
      <c r="N144" s="707"/>
    </row>
    <row r="145" spans="2:22" x14ac:dyDescent="0.35">
      <c r="B145" s="518">
        <v>4</v>
      </c>
      <c r="C145" s="523">
        <v>2</v>
      </c>
      <c r="D145" s="527">
        <v>1</v>
      </c>
      <c r="F145" s="471">
        <f t="shared" si="22"/>
        <v>18</v>
      </c>
      <c r="G145" s="475">
        <f t="shared" si="21"/>
        <v>11.5</v>
      </c>
      <c r="H145" s="471">
        <f t="shared" si="21"/>
        <v>4.5</v>
      </c>
    </row>
    <row r="146" spans="2:22" x14ac:dyDescent="0.35">
      <c r="B146" s="518">
        <v>3</v>
      </c>
      <c r="C146" s="524">
        <v>1</v>
      </c>
      <c r="D146" s="38"/>
      <c r="F146" s="471">
        <f t="shared" si="22"/>
        <v>16</v>
      </c>
      <c r="G146" s="475">
        <f t="shared" si="21"/>
        <v>4.5</v>
      </c>
      <c r="H146" s="471"/>
    </row>
    <row r="147" spans="2:22" x14ac:dyDescent="0.35">
      <c r="B147" s="519">
        <v>3</v>
      </c>
      <c r="C147" s="38"/>
      <c r="D147" s="38"/>
      <c r="F147" s="471">
        <f t="shared" si="22"/>
        <v>16</v>
      </c>
      <c r="G147" s="475"/>
      <c r="H147" s="471"/>
      <c r="J147" s="637" t="s">
        <v>133</v>
      </c>
      <c r="K147" s="696">
        <f>1-((8^3-8)+(6^3-6)+(3^3-3)+(2^3-2))/(20^3-20)</f>
        <v>0.90676691729323311</v>
      </c>
      <c r="M147" s="698" t="s">
        <v>128</v>
      </c>
      <c r="N147" s="693">
        <f>CHIDIST(K152,3-1)</f>
        <v>0.27625484745138534</v>
      </c>
    </row>
    <row r="148" spans="2:22" x14ac:dyDescent="0.35">
      <c r="B148" s="520">
        <v>1</v>
      </c>
      <c r="C148" s="38"/>
      <c r="D148" s="38"/>
      <c r="F148" s="471">
        <f t="shared" si="22"/>
        <v>4.5</v>
      </c>
      <c r="G148" s="475"/>
      <c r="H148" s="471"/>
      <c r="J148" s="640"/>
      <c r="K148" s="694"/>
      <c r="M148" s="640"/>
      <c r="N148" s="694"/>
    </row>
    <row r="149" spans="2:22" x14ac:dyDescent="0.35">
      <c r="B149" s="520">
        <v>2</v>
      </c>
      <c r="C149" s="38"/>
      <c r="D149" s="38"/>
      <c r="F149" s="471">
        <f t="shared" si="22"/>
        <v>11.5</v>
      </c>
      <c r="G149" s="475"/>
      <c r="H149" s="471"/>
      <c r="J149" s="642"/>
      <c r="K149" s="695"/>
      <c r="M149" s="642"/>
      <c r="N149" s="695"/>
    </row>
    <row r="150" spans="2:22" x14ac:dyDescent="0.35">
      <c r="B150" s="520">
        <v>1</v>
      </c>
      <c r="C150" s="38"/>
      <c r="D150" s="38"/>
      <c r="F150" s="471">
        <f t="shared" si="22"/>
        <v>4.5</v>
      </c>
      <c r="G150" s="475"/>
      <c r="H150" s="471"/>
      <c r="K150" s="38"/>
    </row>
    <row r="151" spans="2:22" x14ac:dyDescent="0.35">
      <c r="B151" s="520">
        <v>2</v>
      </c>
      <c r="C151" s="38"/>
      <c r="D151" s="38"/>
      <c r="F151" s="471">
        <f t="shared" si="22"/>
        <v>11.5</v>
      </c>
      <c r="G151" s="475"/>
      <c r="H151" s="471"/>
      <c r="K151" s="38"/>
    </row>
    <row r="152" spans="2:22" ht="15" customHeight="1" x14ac:dyDescent="0.35">
      <c r="B152" s="521">
        <v>1</v>
      </c>
      <c r="C152" s="38"/>
      <c r="D152" s="38"/>
      <c r="F152" s="476">
        <f t="shared" si="22"/>
        <v>4.5</v>
      </c>
      <c r="G152" s="477"/>
      <c r="H152" s="476"/>
      <c r="J152" s="637" t="s">
        <v>136</v>
      </c>
      <c r="K152" s="690">
        <f>(1/K147)*K142</f>
        <v>2.5728629579375912</v>
      </c>
      <c r="M152" s="528" t="s">
        <v>118</v>
      </c>
      <c r="N152" s="697" t="s">
        <v>145</v>
      </c>
      <c r="O152" s="697"/>
      <c r="P152" s="697"/>
      <c r="Q152" s="697"/>
      <c r="R152" s="529"/>
      <c r="S152" s="529"/>
      <c r="T152" s="529"/>
      <c r="U152" s="529"/>
      <c r="V152" s="529"/>
    </row>
    <row r="153" spans="2:22" x14ac:dyDescent="0.35">
      <c r="E153" s="495" t="s">
        <v>130</v>
      </c>
      <c r="F153" s="279">
        <f>COUNT(F142:F152)</f>
        <v>11</v>
      </c>
      <c r="G153" s="280">
        <f>COUNT(G142:G146)</f>
        <v>5</v>
      </c>
      <c r="H153" s="483">
        <f>COUNT(H142:H145)</f>
        <v>4</v>
      </c>
      <c r="J153" s="640"/>
      <c r="K153" s="691"/>
      <c r="N153" s="697"/>
      <c r="O153" s="697"/>
      <c r="P153" s="697"/>
      <c r="Q153" s="697"/>
    </row>
    <row r="154" spans="2:22" x14ac:dyDescent="0.35">
      <c r="E154" s="496" t="s">
        <v>131</v>
      </c>
      <c r="F154" s="344">
        <f>SUM(F142:F152)</f>
        <v>133.5</v>
      </c>
      <c r="G154" s="471">
        <f>SUM(G142:G146)</f>
        <v>36.5</v>
      </c>
      <c r="H154" s="480">
        <f>SUM(H142:H145)</f>
        <v>40</v>
      </c>
      <c r="J154" s="642"/>
      <c r="K154" s="692"/>
      <c r="N154" s="697"/>
      <c r="O154" s="697"/>
      <c r="P154" s="697"/>
      <c r="Q154" s="697"/>
    </row>
    <row r="155" spans="2:22" x14ac:dyDescent="0.35">
      <c r="E155" s="497" t="s">
        <v>132</v>
      </c>
      <c r="F155" s="536">
        <f>AVERAGE(F142:F152)</f>
        <v>12.136363636363637</v>
      </c>
      <c r="G155" s="472">
        <f>AVERAGE(G142:G146)</f>
        <v>7.3</v>
      </c>
      <c r="H155" s="478">
        <f>AVERAGE(H142:H145)</f>
        <v>10</v>
      </c>
    </row>
  </sheetData>
  <sortState xmlns:xlrd2="http://schemas.microsoft.com/office/spreadsheetml/2017/richdata2" ref="K123:L142">
    <sortCondition ref="K123:K142"/>
  </sortState>
  <mergeCells count="111">
    <mergeCell ref="Z134:Z135"/>
    <mergeCell ref="AA134:AA136"/>
    <mergeCell ref="S137:V137"/>
    <mergeCell ref="S138:V138"/>
    <mergeCell ref="S139:V139"/>
    <mergeCell ref="X134:X136"/>
    <mergeCell ref="S134:V136"/>
    <mergeCell ref="W134:W136"/>
    <mergeCell ref="N118:P120"/>
    <mergeCell ref="N135:P137"/>
    <mergeCell ref="R134:R136"/>
    <mergeCell ref="N152:Q154"/>
    <mergeCell ref="M147:M149"/>
    <mergeCell ref="N147:N149"/>
    <mergeCell ref="M130:M132"/>
    <mergeCell ref="N130:N132"/>
    <mergeCell ref="M113:M115"/>
    <mergeCell ref="N113:N115"/>
    <mergeCell ref="N108:N110"/>
    <mergeCell ref="M125:M127"/>
    <mergeCell ref="N125:N127"/>
    <mergeCell ref="M142:M144"/>
    <mergeCell ref="N142:N144"/>
    <mergeCell ref="J147:J149"/>
    <mergeCell ref="K147:K149"/>
    <mergeCell ref="J152:J154"/>
    <mergeCell ref="K152:K154"/>
    <mergeCell ref="J142:J144"/>
    <mergeCell ref="K142:K144"/>
    <mergeCell ref="J130:J132"/>
    <mergeCell ref="K130:K132"/>
    <mergeCell ref="J135:J137"/>
    <mergeCell ref="K135:K137"/>
    <mergeCell ref="B140:D140"/>
    <mergeCell ref="F123:H123"/>
    <mergeCell ref="F140:H140"/>
    <mergeCell ref="J108:J110"/>
    <mergeCell ref="K108:K110"/>
    <mergeCell ref="J125:J127"/>
    <mergeCell ref="K125:K127"/>
    <mergeCell ref="B104:M104"/>
    <mergeCell ref="B106:D106"/>
    <mergeCell ref="F106:H106"/>
    <mergeCell ref="J106:L106"/>
    <mergeCell ref="B123:D123"/>
    <mergeCell ref="M108:M110"/>
    <mergeCell ref="C101:J101"/>
    <mergeCell ref="M93:V93"/>
    <mergeCell ref="M101:V101"/>
    <mergeCell ref="B87:I87"/>
    <mergeCell ref="B95:I95"/>
    <mergeCell ref="L95:S95"/>
    <mergeCell ref="L87:S87"/>
    <mergeCell ref="C93:J93"/>
    <mergeCell ref="M98:N98"/>
    <mergeCell ref="O98:P98"/>
    <mergeCell ref="Q98:R98"/>
    <mergeCell ref="M99:N99"/>
    <mergeCell ref="O99:P99"/>
    <mergeCell ref="Q99:R99"/>
    <mergeCell ref="M96:N96"/>
    <mergeCell ref="O96:P96"/>
    <mergeCell ref="Q96:R96"/>
    <mergeCell ref="M97:N97"/>
    <mergeCell ref="O97:P97"/>
    <mergeCell ref="Q97:R97"/>
    <mergeCell ref="M90:N90"/>
    <mergeCell ref="O90:P90"/>
    <mergeCell ref="Q90:R90"/>
    <mergeCell ref="M91:N91"/>
    <mergeCell ref="O91:P91"/>
    <mergeCell ref="Q91:R91"/>
    <mergeCell ref="M88:N88"/>
    <mergeCell ref="O88:P88"/>
    <mergeCell ref="Q88:R88"/>
    <mergeCell ref="M89:N89"/>
    <mergeCell ref="O89:P89"/>
    <mergeCell ref="Q89:R89"/>
    <mergeCell ref="C98:D98"/>
    <mergeCell ref="E98:F98"/>
    <mergeCell ref="G98:H98"/>
    <mergeCell ref="C91:D91"/>
    <mergeCell ref="E91:F91"/>
    <mergeCell ref="G88:H88"/>
    <mergeCell ref="G89:H89"/>
    <mergeCell ref="G90:H90"/>
    <mergeCell ref="G91:H91"/>
    <mergeCell ref="C88:D88"/>
    <mergeCell ref="C90:D90"/>
    <mergeCell ref="C89:D89"/>
    <mergeCell ref="E88:F88"/>
    <mergeCell ref="E89:F89"/>
    <mergeCell ref="E90:F90"/>
    <mergeCell ref="C99:D99"/>
    <mergeCell ref="E99:F99"/>
    <mergeCell ref="G99:H99"/>
    <mergeCell ref="C96:D96"/>
    <mergeCell ref="E96:F96"/>
    <mergeCell ref="G96:H96"/>
    <mergeCell ref="C97:D97"/>
    <mergeCell ref="E97:F97"/>
    <mergeCell ref="G97:H97"/>
    <mergeCell ref="B46:P46"/>
    <mergeCell ref="B62:P62"/>
    <mergeCell ref="B78:P78"/>
    <mergeCell ref="A2:P2"/>
    <mergeCell ref="A28:R28"/>
    <mergeCell ref="B30:D30"/>
    <mergeCell ref="F30:H30"/>
    <mergeCell ref="J30:L30"/>
    <mergeCell ref="N30:P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3253-822C-4448-A2DB-F2606027B06A}">
  <dimension ref="A1:H21"/>
  <sheetViews>
    <sheetView zoomScaleNormal="100" workbookViewId="0">
      <selection activeCell="E39" sqref="E39"/>
    </sheetView>
  </sheetViews>
  <sheetFormatPr defaultColWidth="9.08984375" defaultRowHeight="14.5" x14ac:dyDescent="0.35"/>
  <cols>
    <col min="1" max="1" width="29.08984375" style="12" customWidth="1"/>
    <col min="2" max="2" width="15.6328125" style="12" customWidth="1"/>
    <col min="3" max="3" width="16.81640625" style="12" customWidth="1"/>
    <col min="4" max="8" width="15.6328125" style="12" customWidth="1"/>
    <col min="9" max="16384" width="9.08984375" style="12"/>
  </cols>
  <sheetData>
    <row r="1" spans="1:8" ht="46.5" customHeight="1" x14ac:dyDescent="0.35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73" t="s">
        <v>7</v>
      </c>
    </row>
    <row r="2" spans="1:8" x14ac:dyDescent="0.35">
      <c r="A2" s="226" t="s">
        <v>8</v>
      </c>
      <c r="B2" s="363">
        <v>8.1999999999999993</v>
      </c>
      <c r="C2" s="227">
        <v>5.2324163124999998</v>
      </c>
      <c r="D2" s="370">
        <v>379</v>
      </c>
      <c r="E2" s="378">
        <v>8.42</v>
      </c>
      <c r="F2" s="376">
        <v>0.16666666666666666</v>
      </c>
      <c r="G2" s="227">
        <v>6.024096385542169E-3</v>
      </c>
      <c r="H2" s="228">
        <v>1.2048192771084338E-2</v>
      </c>
    </row>
    <row r="3" spans="1:8" x14ac:dyDescent="0.35">
      <c r="A3" s="229" t="s">
        <v>9</v>
      </c>
      <c r="B3" s="364">
        <v>8.1999999999999993</v>
      </c>
      <c r="C3" s="230">
        <v>3.6850712125</v>
      </c>
      <c r="D3" s="371">
        <v>77</v>
      </c>
      <c r="E3" s="248">
        <v>8.23</v>
      </c>
      <c r="F3" s="369">
        <v>1</v>
      </c>
      <c r="G3" s="232">
        <v>8.6206896551724137E-3</v>
      </c>
      <c r="H3" s="233">
        <v>1.3698630136986301E-2</v>
      </c>
    </row>
    <row r="4" spans="1:8" x14ac:dyDescent="0.35">
      <c r="A4" s="229" t="s">
        <v>10</v>
      </c>
      <c r="B4" s="365">
        <v>7.8</v>
      </c>
      <c r="C4" s="231">
        <v>7.4478785384615387</v>
      </c>
      <c r="D4" s="372">
        <v>9</v>
      </c>
      <c r="E4" s="252">
        <v>7.67</v>
      </c>
      <c r="F4" s="377">
        <v>0.5</v>
      </c>
      <c r="G4" s="234">
        <v>3.3333333333333333E-2</v>
      </c>
      <c r="H4" s="235">
        <v>1.5384615384615385E-2</v>
      </c>
    </row>
    <row r="5" spans="1:8" x14ac:dyDescent="0.35">
      <c r="A5" s="229" t="s">
        <v>11</v>
      </c>
      <c r="B5" s="365">
        <v>6.7</v>
      </c>
      <c r="C5" s="231">
        <v>6.0800555599999999</v>
      </c>
      <c r="D5" s="372">
        <v>29</v>
      </c>
      <c r="E5" s="252">
        <v>7.6300000000000008</v>
      </c>
      <c r="F5" s="369">
        <v>0.5</v>
      </c>
      <c r="G5" s="231">
        <v>1.0101010101010102E-2</v>
      </c>
      <c r="H5" s="236">
        <v>1.1904761904761904E-2</v>
      </c>
    </row>
    <row r="6" spans="1:8" x14ac:dyDescent="0.35">
      <c r="A6" s="229" t="s">
        <v>12</v>
      </c>
      <c r="B6" s="365">
        <v>8.1</v>
      </c>
      <c r="C6" s="231">
        <v>2.741907775</v>
      </c>
      <c r="D6" s="372">
        <v>51</v>
      </c>
      <c r="E6" s="252">
        <v>8.3000000000000007</v>
      </c>
      <c r="F6" s="369">
        <v>0.5</v>
      </c>
      <c r="G6" s="231">
        <v>1.2048192771084338E-2</v>
      </c>
      <c r="H6" s="236">
        <v>1.5384615384615385E-2</v>
      </c>
    </row>
    <row r="7" spans="1:8" x14ac:dyDescent="0.35">
      <c r="A7" s="237" t="s">
        <v>13</v>
      </c>
      <c r="B7" s="366">
        <v>7.6</v>
      </c>
      <c r="C7" s="238">
        <v>6.87</v>
      </c>
      <c r="D7" s="373">
        <v>303</v>
      </c>
      <c r="E7" s="256">
        <v>8.8000000000000007</v>
      </c>
      <c r="F7" s="369">
        <v>1</v>
      </c>
      <c r="G7" s="231">
        <v>1.1764705882352941E-2</v>
      </c>
      <c r="H7" s="236">
        <v>1.5384615384615385E-2</v>
      </c>
    </row>
    <row r="8" spans="1:8" x14ac:dyDescent="0.35">
      <c r="A8" s="237" t="s">
        <v>14</v>
      </c>
      <c r="B8" s="367">
        <v>4.3</v>
      </c>
      <c r="C8" s="239">
        <v>4.1846083333333332E-2</v>
      </c>
      <c r="D8" s="374">
        <v>0</v>
      </c>
      <c r="E8" s="260">
        <v>8</v>
      </c>
      <c r="F8" s="369">
        <v>0.16666666666666666</v>
      </c>
      <c r="G8" s="231">
        <v>1.3157894736842105E-2</v>
      </c>
      <c r="H8" s="236">
        <v>1.1627906976744186E-2</v>
      </c>
    </row>
    <row r="9" spans="1:8" x14ac:dyDescent="0.35">
      <c r="A9" s="240" t="s">
        <v>15</v>
      </c>
      <c r="B9" s="367">
        <v>5.2</v>
      </c>
      <c r="C9" s="239">
        <v>0.89524863333333338</v>
      </c>
      <c r="D9" s="374">
        <v>3</v>
      </c>
      <c r="E9" s="260">
        <v>7.5</v>
      </c>
      <c r="F9" s="369">
        <v>0.33333333333333331</v>
      </c>
      <c r="G9" s="231">
        <v>2.5000000000000001E-2</v>
      </c>
      <c r="H9" s="236">
        <v>1.4705882352941176E-2</v>
      </c>
    </row>
    <row r="10" spans="1:8" x14ac:dyDescent="0.35">
      <c r="A10" s="240" t="s">
        <v>16</v>
      </c>
      <c r="B10" s="367">
        <v>5.3</v>
      </c>
      <c r="C10" s="239">
        <v>0.55184968571428572</v>
      </c>
      <c r="D10" s="374">
        <v>7</v>
      </c>
      <c r="E10" s="260">
        <v>7.13</v>
      </c>
      <c r="F10" s="369">
        <v>0.25</v>
      </c>
      <c r="G10" s="231">
        <v>8.3333333333333332E-3</v>
      </c>
      <c r="H10" s="236">
        <v>1.5384615384615385E-2</v>
      </c>
    </row>
    <row r="11" spans="1:8" x14ac:dyDescent="0.35">
      <c r="A11" s="240" t="s">
        <v>17</v>
      </c>
      <c r="B11" s="367">
        <v>4.0999999999999996</v>
      </c>
      <c r="C11" s="239">
        <v>1.88</v>
      </c>
      <c r="D11" s="374">
        <v>12</v>
      </c>
      <c r="E11" s="260">
        <v>7.13</v>
      </c>
      <c r="F11" s="369">
        <v>0.33333333333333331</v>
      </c>
      <c r="G11" s="231">
        <v>1.4285714285714285E-2</v>
      </c>
      <c r="H11" s="236">
        <v>1.4285714285714285E-2</v>
      </c>
    </row>
    <row r="12" spans="1:8" x14ac:dyDescent="0.35">
      <c r="A12" s="240" t="s">
        <v>18</v>
      </c>
      <c r="B12" s="367">
        <v>6.6</v>
      </c>
      <c r="C12" s="239">
        <v>2.7834618899999999</v>
      </c>
      <c r="D12" s="374">
        <v>6</v>
      </c>
      <c r="E12" s="260">
        <v>7.33</v>
      </c>
      <c r="F12" s="369">
        <v>0.33333333333333331</v>
      </c>
      <c r="G12" s="231">
        <v>1.7241379310344827E-2</v>
      </c>
      <c r="H12" s="236">
        <v>1.3888888888888888E-2</v>
      </c>
    </row>
    <row r="13" spans="1:8" x14ac:dyDescent="0.35">
      <c r="A13" s="241" t="s">
        <v>19</v>
      </c>
      <c r="B13" s="367">
        <v>4.8</v>
      </c>
      <c r="C13" s="239">
        <v>0.81</v>
      </c>
      <c r="D13" s="374">
        <v>11</v>
      </c>
      <c r="E13" s="260">
        <v>6.73</v>
      </c>
      <c r="F13" s="369">
        <v>1</v>
      </c>
      <c r="G13" s="231">
        <v>1.1111111111111112E-2</v>
      </c>
      <c r="H13" s="236">
        <v>1.4285714285714285E-2</v>
      </c>
    </row>
    <row r="14" spans="1:8" x14ac:dyDescent="0.35">
      <c r="A14" s="237" t="s">
        <v>20</v>
      </c>
      <c r="B14" s="367">
        <v>5.3</v>
      </c>
      <c r="C14" s="239">
        <v>3.4042458125000001</v>
      </c>
      <c r="D14" s="374">
        <v>5</v>
      </c>
      <c r="E14" s="40">
        <v>6.57</v>
      </c>
      <c r="F14" s="369">
        <v>0.5</v>
      </c>
      <c r="G14" s="231">
        <v>1.6666666666666666E-2</v>
      </c>
      <c r="H14" s="236">
        <v>1.1764705882352941E-2</v>
      </c>
    </row>
    <row r="15" spans="1:8" x14ac:dyDescent="0.35">
      <c r="A15" s="242" t="s">
        <v>21</v>
      </c>
      <c r="B15" s="367">
        <v>6.2</v>
      </c>
      <c r="C15" s="239">
        <v>4.2782920000000004</v>
      </c>
      <c r="D15" s="374">
        <v>6</v>
      </c>
      <c r="E15" s="260">
        <v>7.33</v>
      </c>
      <c r="F15" s="369">
        <v>1</v>
      </c>
      <c r="G15" s="231">
        <v>1.6666666666666666E-2</v>
      </c>
      <c r="H15" s="236">
        <v>1.4925373134328358E-2</v>
      </c>
    </row>
    <row r="16" spans="1:8" x14ac:dyDescent="0.35">
      <c r="A16" s="241" t="s">
        <v>22</v>
      </c>
      <c r="B16" s="367">
        <v>5.9</v>
      </c>
      <c r="C16" s="239">
        <v>0.43089627272727271</v>
      </c>
      <c r="D16" s="374">
        <v>1</v>
      </c>
      <c r="E16" s="260">
        <v>7.03</v>
      </c>
      <c r="F16" s="369">
        <v>1</v>
      </c>
      <c r="G16" s="231">
        <v>2.5000000000000001E-2</v>
      </c>
      <c r="H16" s="236">
        <v>1.4285714285714285E-2</v>
      </c>
    </row>
    <row r="17" spans="1:8" x14ac:dyDescent="0.35">
      <c r="A17" s="237" t="s">
        <v>23</v>
      </c>
      <c r="B17" s="367">
        <v>5.8</v>
      </c>
      <c r="C17" s="239">
        <v>3.39381405</v>
      </c>
      <c r="D17" s="374">
        <v>4</v>
      </c>
      <c r="E17" s="260">
        <v>7.53</v>
      </c>
      <c r="F17" s="369">
        <v>0.5</v>
      </c>
      <c r="G17" s="231">
        <v>1.1111111111111112E-2</v>
      </c>
      <c r="H17" s="236">
        <v>1.4285714285714285E-2</v>
      </c>
    </row>
    <row r="18" spans="1:8" x14ac:dyDescent="0.35">
      <c r="A18" s="237" t="s">
        <v>24</v>
      </c>
      <c r="B18" s="367">
        <v>5.5</v>
      </c>
      <c r="C18" s="239">
        <v>0.24161450000000001</v>
      </c>
      <c r="D18" s="374">
        <v>1</v>
      </c>
      <c r="E18" s="260">
        <v>7.07</v>
      </c>
      <c r="F18" s="369">
        <v>1</v>
      </c>
      <c r="G18" s="231">
        <v>3.3333333333333333E-2</v>
      </c>
      <c r="H18" s="236">
        <v>1.2048192771084338E-2</v>
      </c>
    </row>
    <row r="19" spans="1:8" x14ac:dyDescent="0.35">
      <c r="A19" s="237" t="s">
        <v>25</v>
      </c>
      <c r="B19" s="367">
        <v>5.2</v>
      </c>
      <c r="C19" s="239">
        <v>109.335908</v>
      </c>
      <c r="D19" s="374">
        <v>8</v>
      </c>
      <c r="E19" s="260">
        <v>6.53</v>
      </c>
      <c r="F19" s="369">
        <v>0.5</v>
      </c>
      <c r="G19" s="231">
        <v>2.2222222222222223E-2</v>
      </c>
      <c r="H19" s="236">
        <v>1.0416666666666666E-2</v>
      </c>
    </row>
    <row r="20" spans="1:8" x14ac:dyDescent="0.35">
      <c r="A20" s="237" t="s">
        <v>26</v>
      </c>
      <c r="B20" s="367">
        <v>5.7</v>
      </c>
      <c r="C20" s="239">
        <v>0.50973905714285717</v>
      </c>
      <c r="D20" s="374">
        <v>0</v>
      </c>
      <c r="E20" s="260">
        <v>7.67</v>
      </c>
      <c r="F20" s="379">
        <v>1</v>
      </c>
      <c r="G20" s="232">
        <v>7.4074074074074077E-3</v>
      </c>
      <c r="H20" s="233">
        <v>1.2658227848101266E-2</v>
      </c>
    </row>
    <row r="21" spans="1:8" x14ac:dyDescent="0.35">
      <c r="A21" s="243" t="s">
        <v>27</v>
      </c>
      <c r="B21" s="368">
        <v>5.8</v>
      </c>
      <c r="C21" s="244">
        <v>2.5399945000000002</v>
      </c>
      <c r="D21" s="375">
        <v>4</v>
      </c>
      <c r="E21" s="263">
        <v>7.03</v>
      </c>
      <c r="F21" s="380">
        <v>1</v>
      </c>
      <c r="G21" s="245">
        <v>1.6949152542372881E-2</v>
      </c>
      <c r="H21" s="246">
        <v>1.0869565217391304E-2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0491-B5F1-484E-8060-7D9591576390}">
  <dimension ref="A1:H21"/>
  <sheetViews>
    <sheetView zoomScaleNormal="100" workbookViewId="0">
      <selection activeCell="D26" sqref="D26"/>
    </sheetView>
  </sheetViews>
  <sheetFormatPr defaultColWidth="9.08984375" defaultRowHeight="14.5" x14ac:dyDescent="0.35"/>
  <cols>
    <col min="1" max="1" width="29" style="12" customWidth="1"/>
    <col min="2" max="8" width="15.6328125" style="12" customWidth="1"/>
    <col min="9" max="16384" width="9.08984375" style="12"/>
  </cols>
  <sheetData>
    <row r="1" spans="1:8" ht="48.75" customHeight="1" x14ac:dyDescent="0.35">
      <c r="A1" s="184" t="s">
        <v>0</v>
      </c>
      <c r="B1" s="8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73" t="s">
        <v>7</v>
      </c>
    </row>
    <row r="2" spans="1:8" x14ac:dyDescent="0.35">
      <c r="A2" s="269" t="s">
        <v>8</v>
      </c>
      <c r="B2" s="270">
        <v>1.6284904099999999</v>
      </c>
      <c r="C2" s="271">
        <v>-0.122285202</v>
      </c>
      <c r="D2" s="271">
        <v>3.2198422099999999</v>
      </c>
      <c r="E2" s="271">
        <v>1.50533864</v>
      </c>
      <c r="F2" s="271">
        <v>-1.41342586</v>
      </c>
      <c r="G2" s="271">
        <v>-1.24797442</v>
      </c>
      <c r="H2" s="272">
        <v>-0.86514196099999996</v>
      </c>
    </row>
    <row r="3" spans="1:8" x14ac:dyDescent="0.35">
      <c r="A3" s="267" t="s">
        <v>9</v>
      </c>
      <c r="B3" s="273">
        <v>1.6284904099999999</v>
      </c>
      <c r="C3" s="274">
        <v>-0.18696837599999999</v>
      </c>
      <c r="D3" s="274">
        <v>0.30149783000000002</v>
      </c>
      <c r="E3" s="274">
        <v>1.20058175</v>
      </c>
      <c r="F3" s="274">
        <v>1.1332873999999999</v>
      </c>
      <c r="G3" s="274">
        <v>-0.92375778200000003</v>
      </c>
      <c r="H3" s="275">
        <v>0.14485980700000001</v>
      </c>
    </row>
    <row r="4" spans="1:8" x14ac:dyDescent="0.35">
      <c r="A4" s="267" t="s">
        <v>10</v>
      </c>
      <c r="B4" s="273">
        <v>1.31607019</v>
      </c>
      <c r="C4" s="274">
        <v>-2.9672941500000001E-2</v>
      </c>
      <c r="D4" s="274">
        <v>-0.35561282500000002</v>
      </c>
      <c r="E4" s="274">
        <v>0.30235091600000003</v>
      </c>
      <c r="F4" s="274">
        <v>-0.39474055499999999</v>
      </c>
      <c r="G4" s="274">
        <v>2.1619200599999999</v>
      </c>
      <c r="H4" s="275">
        <v>1.1766154600000001</v>
      </c>
    </row>
    <row r="5" spans="1:8" x14ac:dyDescent="0.35">
      <c r="A5" s="267" t="s">
        <v>11</v>
      </c>
      <c r="B5" s="273">
        <v>0.45691457600000002</v>
      </c>
      <c r="C5" s="274">
        <v>-8.6851609199999999E-2</v>
      </c>
      <c r="D5" s="274">
        <v>-0.162344985</v>
      </c>
      <c r="E5" s="274">
        <v>0.23819156999999999</v>
      </c>
      <c r="F5" s="274">
        <v>-0.39474055499999999</v>
      </c>
      <c r="G5" s="274">
        <v>-0.73892154799999998</v>
      </c>
      <c r="H5" s="275">
        <v>-0.952915925</v>
      </c>
    </row>
    <row r="6" spans="1:8" x14ac:dyDescent="0.35">
      <c r="A6" s="267" t="s">
        <v>12</v>
      </c>
      <c r="B6" s="273">
        <v>1.5503853599999999</v>
      </c>
      <c r="C6" s="274">
        <v>-0.226395136</v>
      </c>
      <c r="D6" s="274">
        <v>5.0249638300000003E-2</v>
      </c>
      <c r="E6" s="274">
        <v>1.31286061</v>
      </c>
      <c r="F6" s="274">
        <v>-0.39474055499999999</v>
      </c>
      <c r="G6" s="274">
        <v>-0.49579181700000002</v>
      </c>
      <c r="H6" s="275">
        <v>1.1766154600000001</v>
      </c>
    </row>
    <row r="7" spans="1:8" x14ac:dyDescent="0.35">
      <c r="A7" s="267" t="s">
        <v>13</v>
      </c>
      <c r="B7" s="273">
        <v>1.1598600800000001</v>
      </c>
      <c r="C7" s="274">
        <v>-5.3829813800000001E-2</v>
      </c>
      <c r="D7" s="274">
        <v>2.4854244200000002</v>
      </c>
      <c r="E7" s="274">
        <v>2.11485243</v>
      </c>
      <c r="F7" s="274">
        <v>1.1332873999999999</v>
      </c>
      <c r="G7" s="274">
        <v>-0.53118864600000004</v>
      </c>
      <c r="H7" s="275">
        <v>1.1766154600000001</v>
      </c>
    </row>
    <row r="8" spans="1:8" x14ac:dyDescent="0.35">
      <c r="A8" s="267" t="s">
        <v>14</v>
      </c>
      <c r="B8" s="273">
        <v>-1.41760676</v>
      </c>
      <c r="C8" s="274">
        <v>-0.33926495400000001</v>
      </c>
      <c r="D8" s="274">
        <v>-0.44258335199999999</v>
      </c>
      <c r="E8" s="274">
        <v>0.83166551600000005</v>
      </c>
      <c r="F8" s="274">
        <v>-1.41342586</v>
      </c>
      <c r="G8" s="274">
        <v>-0.35723186400000001</v>
      </c>
      <c r="H8" s="275">
        <v>-1.12234009</v>
      </c>
    </row>
    <row r="9" spans="1:8" x14ac:dyDescent="0.35">
      <c r="A9" s="267" t="s">
        <v>15</v>
      </c>
      <c r="B9" s="273">
        <v>-0.71466125999999996</v>
      </c>
      <c r="C9" s="274">
        <v>-0.30359043899999999</v>
      </c>
      <c r="D9" s="274">
        <v>-0.41359317699999998</v>
      </c>
      <c r="E9" s="274">
        <v>2.9673697299999999E-2</v>
      </c>
      <c r="F9" s="274">
        <v>-0.904083207</v>
      </c>
      <c r="G9" s="274">
        <v>1.1214007800000001</v>
      </c>
      <c r="H9" s="275">
        <v>0.76125794499999999</v>
      </c>
    </row>
    <row r="10" spans="1:8" x14ac:dyDescent="0.35">
      <c r="A10" s="267" t="s">
        <v>16</v>
      </c>
      <c r="B10" s="273">
        <v>-0.63655620499999999</v>
      </c>
      <c r="C10" s="274">
        <v>-0.31794543600000003</v>
      </c>
      <c r="D10" s="274">
        <v>-0.37493960900000001</v>
      </c>
      <c r="E10" s="274">
        <v>-0.56380024799999995</v>
      </c>
      <c r="F10" s="274">
        <v>-1.1587545299999999</v>
      </c>
      <c r="G10" s="274">
        <v>-0.95963775699999998</v>
      </c>
      <c r="H10" s="275">
        <v>1.1766154600000001</v>
      </c>
    </row>
    <row r="11" spans="1:8" x14ac:dyDescent="0.35">
      <c r="A11" s="267" t="s">
        <v>17</v>
      </c>
      <c r="B11" s="273">
        <v>-1.5738168699999999</v>
      </c>
      <c r="C11" s="274">
        <v>-0.26242519199999997</v>
      </c>
      <c r="D11" s="274">
        <v>-0.32662264899999999</v>
      </c>
      <c r="E11" s="274">
        <v>-0.56380024799999995</v>
      </c>
      <c r="F11" s="274">
        <v>-0.904083207</v>
      </c>
      <c r="G11" s="274">
        <v>-0.21640970700000001</v>
      </c>
      <c r="H11" s="275">
        <v>0.50413186499999996</v>
      </c>
    </row>
    <row r="12" spans="1:8" x14ac:dyDescent="0.35">
      <c r="A12" s="267" t="s">
        <v>18</v>
      </c>
      <c r="B12" s="273">
        <v>0.37880952000000001</v>
      </c>
      <c r="C12" s="274">
        <v>-0.22465806299999999</v>
      </c>
      <c r="D12" s="274">
        <v>-0.384603001</v>
      </c>
      <c r="E12" s="274">
        <v>-0.243003521</v>
      </c>
      <c r="F12" s="274">
        <v>-0.904083207</v>
      </c>
      <c r="G12" s="274">
        <v>0.152641464</v>
      </c>
      <c r="H12" s="275">
        <v>0.26129056699999997</v>
      </c>
    </row>
    <row r="13" spans="1:8" x14ac:dyDescent="0.35">
      <c r="A13" s="267" t="s">
        <v>19</v>
      </c>
      <c r="B13" s="273">
        <v>-1.0270814800000001</v>
      </c>
      <c r="C13" s="274">
        <v>-0.30715406099999998</v>
      </c>
      <c r="D13" s="274">
        <v>-0.33628604099999998</v>
      </c>
      <c r="E13" s="274">
        <v>-1.2053936999999999</v>
      </c>
      <c r="F13" s="274">
        <v>1.1332873999999999</v>
      </c>
      <c r="G13" s="274">
        <v>-0.61279799999999995</v>
      </c>
      <c r="H13" s="275">
        <v>0.50413186499999996</v>
      </c>
    </row>
    <row r="14" spans="1:8" x14ac:dyDescent="0.35">
      <c r="A14" s="267" t="s">
        <v>20</v>
      </c>
      <c r="B14" s="273">
        <v>-0.63655620499999999</v>
      </c>
      <c r="C14" s="274">
        <v>-0.198707631</v>
      </c>
      <c r="D14" s="274">
        <v>-0.39426639299999999</v>
      </c>
      <c r="E14" s="274">
        <v>-1.46203108</v>
      </c>
      <c r="F14" s="274">
        <v>-0.39474055499999999</v>
      </c>
      <c r="G14" s="274">
        <v>8.0881513799999999E-2</v>
      </c>
      <c r="H14" s="275">
        <v>-1.03862462</v>
      </c>
    </row>
    <row r="15" spans="1:8" x14ac:dyDescent="0.35">
      <c r="A15" s="267" t="s">
        <v>21</v>
      </c>
      <c r="B15" s="273">
        <v>6.6389297400000005E-2</v>
      </c>
      <c r="C15" s="274">
        <v>-0.16217015700000001</v>
      </c>
      <c r="D15" s="274">
        <v>-0.384603001</v>
      </c>
      <c r="E15" s="274">
        <v>-0.243003521</v>
      </c>
      <c r="F15" s="274">
        <v>1.1332873999999999</v>
      </c>
      <c r="G15" s="274">
        <v>8.0881513799999999E-2</v>
      </c>
      <c r="H15" s="275">
        <v>0.89557754000000001</v>
      </c>
    </row>
    <row r="16" spans="1:8" x14ac:dyDescent="0.35">
      <c r="A16" s="267" t="s">
        <v>22</v>
      </c>
      <c r="B16" s="273">
        <v>-0.16792587</v>
      </c>
      <c r="C16" s="274">
        <v>-0.32300161300000002</v>
      </c>
      <c r="D16" s="274">
        <v>-0.43291996100000002</v>
      </c>
      <c r="E16" s="274">
        <v>-0.72419861200000002</v>
      </c>
      <c r="F16" s="274">
        <v>1.1332873999999999</v>
      </c>
      <c r="G16" s="274">
        <v>1.1214007800000001</v>
      </c>
      <c r="H16" s="275">
        <v>0.50413186499999996</v>
      </c>
    </row>
    <row r="17" spans="1:8" x14ac:dyDescent="0.35">
      <c r="A17" s="267" t="s">
        <v>23</v>
      </c>
      <c r="B17" s="273">
        <v>-0.24603092600000001</v>
      </c>
      <c r="C17" s="274">
        <v>-0.199143706</v>
      </c>
      <c r="D17" s="274">
        <v>-0.40392978499999999</v>
      </c>
      <c r="E17" s="274">
        <v>7.7793206399999995E-2</v>
      </c>
      <c r="F17" s="274">
        <v>-0.39474055499999999</v>
      </c>
      <c r="G17" s="274">
        <v>-0.61279799999999995</v>
      </c>
      <c r="H17" s="275">
        <v>0.50413186499999996</v>
      </c>
    </row>
    <row r="18" spans="1:8" x14ac:dyDescent="0.35">
      <c r="A18" s="267" t="s">
        <v>24</v>
      </c>
      <c r="B18" s="273">
        <v>-0.48034609299999997</v>
      </c>
      <c r="C18" s="274">
        <v>-0.33091409900000002</v>
      </c>
      <c r="D18" s="274">
        <v>-0.43291996100000002</v>
      </c>
      <c r="E18" s="274">
        <v>-0.66003926700000004</v>
      </c>
      <c r="F18" s="274">
        <v>1.1332873999999999</v>
      </c>
      <c r="G18" s="274">
        <v>2.1619200599999999</v>
      </c>
      <c r="H18" s="275">
        <v>-0.86514196099999996</v>
      </c>
    </row>
    <row r="19" spans="1:8" x14ac:dyDescent="0.35">
      <c r="A19" s="267" t="s">
        <v>25</v>
      </c>
      <c r="B19" s="273">
        <v>-0.71466125999999996</v>
      </c>
      <c r="C19" s="274">
        <v>4.2295198599999999</v>
      </c>
      <c r="D19" s="274">
        <v>-0.36527621700000001</v>
      </c>
      <c r="E19" s="274">
        <v>-1.52619043</v>
      </c>
      <c r="F19" s="274">
        <v>-0.39474055499999999</v>
      </c>
      <c r="G19" s="274">
        <v>0.77456102800000004</v>
      </c>
      <c r="H19" s="275">
        <v>-1.86357079</v>
      </c>
    </row>
    <row r="20" spans="1:8" x14ac:dyDescent="0.35">
      <c r="A20" s="267" t="s">
        <v>26</v>
      </c>
      <c r="B20" s="273">
        <v>-0.32413598100000002</v>
      </c>
      <c r="C20" s="274">
        <v>-0.31970577300000003</v>
      </c>
      <c r="D20" s="274">
        <v>-0.44258335199999999</v>
      </c>
      <c r="E20" s="274">
        <v>0.30235091600000003</v>
      </c>
      <c r="F20" s="274">
        <v>1.1332873999999999</v>
      </c>
      <c r="G20" s="274">
        <v>-1.0752510099999999</v>
      </c>
      <c r="H20" s="275">
        <v>-0.49182485199999998</v>
      </c>
    </row>
    <row r="21" spans="1:8" x14ac:dyDescent="0.35">
      <c r="A21" s="268" t="s">
        <v>27</v>
      </c>
      <c r="B21" s="276">
        <v>-0.24603092600000001</v>
      </c>
      <c r="C21" s="277">
        <v>-0.23483565300000001</v>
      </c>
      <c r="D21" s="277">
        <v>-0.40392978499999999</v>
      </c>
      <c r="E21" s="277">
        <v>-0.72419861200000002</v>
      </c>
      <c r="F21" s="277">
        <v>1.1332873999999999</v>
      </c>
      <c r="G21" s="277">
        <v>0.116153353</v>
      </c>
      <c r="H21" s="278">
        <v>-1.5864149599999999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893-6E1F-49C2-B2EF-14FAFE3D9E2A}">
  <dimension ref="A1:V113"/>
  <sheetViews>
    <sheetView zoomScaleNormal="100" workbookViewId="0">
      <selection sqref="A1:E3"/>
    </sheetView>
  </sheetViews>
  <sheetFormatPr defaultColWidth="9.08984375" defaultRowHeight="14.5" x14ac:dyDescent="0.35"/>
  <cols>
    <col min="1" max="1" width="5.6328125" style="38" customWidth="1"/>
    <col min="2" max="2" width="28.90625" style="38" customWidth="1"/>
    <col min="3" max="9" width="20.6328125" style="38" customWidth="1"/>
    <col min="10" max="10" width="14.08984375" style="38" customWidth="1"/>
    <col min="11" max="11" width="5.08984375" style="38" customWidth="1"/>
    <col min="12" max="13" width="5.54296875" style="38" customWidth="1"/>
    <col min="14" max="14" width="34.453125" style="38" customWidth="1"/>
    <col min="15" max="21" width="19.6328125" style="38" customWidth="1"/>
    <col min="22" max="16384" width="9.08984375" style="38"/>
  </cols>
  <sheetData>
    <row r="1" spans="1:21" ht="15" customHeight="1" x14ac:dyDescent="0.35">
      <c r="A1" s="582" t="s">
        <v>146</v>
      </c>
      <c r="B1" s="583"/>
      <c r="C1" s="583"/>
      <c r="D1" s="583"/>
      <c r="E1" s="583"/>
      <c r="F1" s="576" t="s">
        <v>28</v>
      </c>
      <c r="G1" s="576"/>
      <c r="H1" s="576"/>
      <c r="I1" s="577"/>
      <c r="L1" s="416"/>
    </row>
    <row r="2" spans="1:21" x14ac:dyDescent="0.35">
      <c r="A2" s="584"/>
      <c r="B2" s="585"/>
      <c r="C2" s="585"/>
      <c r="D2" s="585"/>
      <c r="E2" s="585"/>
      <c r="F2" s="578"/>
      <c r="G2" s="578"/>
      <c r="H2" s="578"/>
      <c r="I2" s="579"/>
      <c r="L2" s="417"/>
    </row>
    <row r="3" spans="1:21" x14ac:dyDescent="0.35">
      <c r="A3" s="586"/>
      <c r="B3" s="587"/>
      <c r="C3" s="587"/>
      <c r="D3" s="587"/>
      <c r="E3" s="587"/>
      <c r="F3" s="580"/>
      <c r="G3" s="580"/>
      <c r="H3" s="580"/>
      <c r="I3" s="581"/>
      <c r="L3" s="417"/>
    </row>
    <row r="4" spans="1:21" x14ac:dyDescent="0.35">
      <c r="A4" s="46"/>
      <c r="B4" s="46"/>
      <c r="C4" s="46"/>
      <c r="D4" s="46"/>
      <c r="E4" s="46"/>
      <c r="F4" s="63"/>
      <c r="G4" s="63"/>
      <c r="H4" s="63"/>
      <c r="I4" s="63"/>
      <c r="L4" s="417"/>
    </row>
    <row r="5" spans="1:21" ht="15.75" customHeight="1" x14ac:dyDescent="0.35">
      <c r="A5" s="585"/>
      <c r="B5" s="585"/>
      <c r="C5" s="598" t="s">
        <v>29</v>
      </c>
      <c r="D5" s="599"/>
      <c r="E5" s="599"/>
      <c r="F5" s="600"/>
      <c r="G5" s="607" t="s">
        <v>30</v>
      </c>
      <c r="H5" s="607"/>
      <c r="I5" s="610" t="s">
        <v>31</v>
      </c>
      <c r="J5" s="188" t="s">
        <v>32</v>
      </c>
      <c r="K5" s="420">
        <v>110</v>
      </c>
      <c r="L5" s="417"/>
    </row>
    <row r="6" spans="1:21" ht="15" customHeight="1" x14ac:dyDescent="0.35">
      <c r="A6" s="585"/>
      <c r="B6" s="585"/>
      <c r="C6" s="601"/>
      <c r="D6" s="602"/>
      <c r="E6" s="602"/>
      <c r="F6" s="603"/>
      <c r="G6" s="608"/>
      <c r="H6" s="608"/>
      <c r="I6" s="611"/>
      <c r="J6" s="189" t="s">
        <v>33</v>
      </c>
      <c r="K6" s="421">
        <v>130</v>
      </c>
      <c r="L6" s="417"/>
      <c r="N6" s="592" t="s">
        <v>34</v>
      </c>
      <c r="O6" s="593"/>
      <c r="P6" s="593"/>
      <c r="Q6" s="593"/>
      <c r="R6" s="593"/>
      <c r="S6" s="593"/>
      <c r="T6" s="593"/>
      <c r="U6" s="594"/>
    </row>
    <row r="7" spans="1:21" ht="15" customHeight="1" x14ac:dyDescent="0.35">
      <c r="A7" s="585"/>
      <c r="B7" s="585"/>
      <c r="C7" s="604"/>
      <c r="D7" s="605"/>
      <c r="E7" s="605"/>
      <c r="F7" s="606"/>
      <c r="G7" s="609"/>
      <c r="H7" s="609"/>
      <c r="I7" s="612"/>
      <c r="J7" s="190" t="s">
        <v>35</v>
      </c>
      <c r="K7" s="422">
        <v>65</v>
      </c>
      <c r="L7" s="417"/>
      <c r="N7" s="595"/>
      <c r="O7" s="596"/>
      <c r="P7" s="596"/>
      <c r="Q7" s="596"/>
      <c r="R7" s="596"/>
      <c r="S7" s="596"/>
      <c r="T7" s="596"/>
      <c r="U7" s="597"/>
    </row>
    <row r="8" spans="1:21" ht="34.5" customHeight="1" x14ac:dyDescent="0.35">
      <c r="A8" s="183" t="s">
        <v>36</v>
      </c>
      <c r="B8" s="184" t="s">
        <v>0</v>
      </c>
      <c r="C8" s="186" t="s">
        <v>1</v>
      </c>
      <c r="D8" s="187" t="s">
        <v>2</v>
      </c>
      <c r="E8" s="187" t="s">
        <v>3</v>
      </c>
      <c r="F8" s="187" t="s">
        <v>4</v>
      </c>
      <c r="G8" s="191" t="s">
        <v>5</v>
      </c>
      <c r="H8" s="191" t="s">
        <v>6</v>
      </c>
      <c r="I8" s="132" t="s">
        <v>7</v>
      </c>
      <c r="L8" s="418"/>
      <c r="M8" s="62"/>
      <c r="N8" s="106" t="s">
        <v>37</v>
      </c>
      <c r="O8" s="96" t="s">
        <v>1</v>
      </c>
      <c r="P8" s="96" t="s">
        <v>2</v>
      </c>
      <c r="Q8" s="96" t="s">
        <v>3</v>
      </c>
      <c r="R8" s="96" t="s">
        <v>4</v>
      </c>
      <c r="S8" s="97" t="s">
        <v>5</v>
      </c>
      <c r="T8" s="97" t="s">
        <v>6</v>
      </c>
      <c r="U8" s="306" t="s">
        <v>7</v>
      </c>
    </row>
    <row r="9" spans="1:21" x14ac:dyDescent="0.35">
      <c r="A9" s="58">
        <v>1</v>
      </c>
      <c r="B9" s="185" t="s">
        <v>8</v>
      </c>
      <c r="C9" s="69">
        <v>8.1999999999999993</v>
      </c>
      <c r="D9" s="8">
        <f>837186610/160000000</f>
        <v>5.2324163124999998</v>
      </c>
      <c r="E9" s="70">
        <v>379</v>
      </c>
      <c r="F9" s="13">
        <v>8.42</v>
      </c>
      <c r="G9" s="13">
        <v>6</v>
      </c>
      <c r="H9" s="70">
        <v>166</v>
      </c>
      <c r="I9" s="14">
        <v>148</v>
      </c>
      <c r="L9" s="417"/>
      <c r="N9" s="96" t="s">
        <v>1</v>
      </c>
      <c r="O9" s="308">
        <v>1</v>
      </c>
      <c r="P9" s="309"/>
      <c r="Q9" s="309"/>
      <c r="R9" s="309"/>
      <c r="S9" s="309"/>
      <c r="T9" s="309"/>
      <c r="U9" s="310"/>
    </row>
    <row r="10" spans="1:21" x14ac:dyDescent="0.35">
      <c r="A10" s="58">
        <v>2</v>
      </c>
      <c r="B10" s="49" t="s">
        <v>9</v>
      </c>
      <c r="C10" s="90">
        <v>8.1999999999999993</v>
      </c>
      <c r="D10" s="6">
        <f>294805697/80000000</f>
        <v>3.6850712125</v>
      </c>
      <c r="E10" s="7">
        <v>77</v>
      </c>
      <c r="F10" s="5">
        <v>8.23</v>
      </c>
      <c r="G10" s="5">
        <v>1</v>
      </c>
      <c r="H10" s="7">
        <v>116</v>
      </c>
      <c r="I10" s="48">
        <v>138</v>
      </c>
      <c r="L10" s="417"/>
      <c r="N10" s="96" t="s">
        <v>2</v>
      </c>
      <c r="O10" s="259">
        <v>-0.10187</v>
      </c>
      <c r="P10" s="261">
        <v>1</v>
      </c>
      <c r="Q10" s="261"/>
      <c r="R10" s="261"/>
      <c r="S10" s="261"/>
      <c r="T10" s="261"/>
      <c r="U10" s="262"/>
    </row>
    <row r="11" spans="1:21" x14ac:dyDescent="0.35">
      <c r="A11" s="58">
        <v>3</v>
      </c>
      <c r="B11" s="49" t="s">
        <v>10</v>
      </c>
      <c r="C11" s="71">
        <v>7.8</v>
      </c>
      <c r="D11" s="3">
        <f>96822421/13000000</f>
        <v>7.4478785384615387</v>
      </c>
      <c r="E11" s="1">
        <v>9</v>
      </c>
      <c r="F11" s="1">
        <v>7.67</v>
      </c>
      <c r="G11" s="1">
        <v>2</v>
      </c>
      <c r="H11" s="2">
        <v>30</v>
      </c>
      <c r="I11" s="48">
        <v>113</v>
      </c>
      <c r="L11" s="417"/>
      <c r="N11" s="96" t="s">
        <v>3</v>
      </c>
      <c r="O11" s="259">
        <v>0.58618999999999999</v>
      </c>
      <c r="P11" s="261">
        <v>-3.7089999999999998E-2</v>
      </c>
      <c r="Q11" s="261">
        <v>1</v>
      </c>
      <c r="R11" s="261"/>
      <c r="S11" s="261"/>
      <c r="T11" s="261"/>
      <c r="U11" s="262"/>
    </row>
    <row r="12" spans="1:21" x14ac:dyDescent="0.35">
      <c r="A12" s="58">
        <v>4</v>
      </c>
      <c r="B12" s="49" t="s">
        <v>11</v>
      </c>
      <c r="C12" s="71">
        <v>6.7</v>
      </c>
      <c r="D12" s="3">
        <f>760006945/125000000</f>
        <v>6.0800555599999999</v>
      </c>
      <c r="E12" s="1">
        <v>29</v>
      </c>
      <c r="F12" s="1">
        <v>7.6300000000000008</v>
      </c>
      <c r="G12" s="1">
        <v>2</v>
      </c>
      <c r="H12" s="2">
        <v>99</v>
      </c>
      <c r="I12" s="48">
        <v>149</v>
      </c>
      <c r="L12" s="417"/>
      <c r="N12" s="96" t="s">
        <v>4</v>
      </c>
      <c r="O12" s="259">
        <v>0.68940000000000001</v>
      </c>
      <c r="P12" s="261">
        <v>-0.31596000000000002</v>
      </c>
      <c r="Q12" s="261">
        <v>0.67647000000000002</v>
      </c>
      <c r="R12" s="261">
        <v>1</v>
      </c>
      <c r="S12" s="261"/>
      <c r="T12" s="261"/>
      <c r="U12" s="262"/>
    </row>
    <row r="13" spans="1:21" x14ac:dyDescent="0.35">
      <c r="A13" s="58">
        <v>5</v>
      </c>
      <c r="B13" s="49" t="s">
        <v>12</v>
      </c>
      <c r="C13" s="71">
        <v>8.1</v>
      </c>
      <c r="D13" s="3">
        <f>109676311/40000000</f>
        <v>2.741907775</v>
      </c>
      <c r="E13" s="1">
        <v>51</v>
      </c>
      <c r="F13" s="3">
        <v>8.3000000000000007</v>
      </c>
      <c r="G13" s="1">
        <v>2</v>
      </c>
      <c r="H13" s="2">
        <v>83</v>
      </c>
      <c r="I13" s="48">
        <v>130</v>
      </c>
      <c r="K13" s="40"/>
      <c r="L13" s="417"/>
      <c r="N13" s="97" t="s">
        <v>5</v>
      </c>
      <c r="O13" s="259">
        <v>-0.10001</v>
      </c>
      <c r="P13" s="261">
        <v>-4.5929999999999999E-2</v>
      </c>
      <c r="Q13" s="261">
        <v>0.30120999999999998</v>
      </c>
      <c r="R13" s="307">
        <v>0.25039253700000003</v>
      </c>
      <c r="S13" s="261">
        <v>1</v>
      </c>
      <c r="T13" s="261"/>
      <c r="U13" s="262"/>
    </row>
    <row r="14" spans="1:21" x14ac:dyDescent="0.35">
      <c r="A14" s="58">
        <v>6</v>
      </c>
      <c r="B14" s="50" t="s">
        <v>13</v>
      </c>
      <c r="C14" s="91">
        <v>7.6</v>
      </c>
      <c r="D14" s="89">
        <v>6.87</v>
      </c>
      <c r="E14" s="34">
        <v>303</v>
      </c>
      <c r="F14" s="98">
        <v>8.8000000000000007</v>
      </c>
      <c r="G14" s="88">
        <v>1</v>
      </c>
      <c r="H14" s="2">
        <v>85</v>
      </c>
      <c r="I14" s="92">
        <v>122</v>
      </c>
      <c r="L14" s="417"/>
      <c r="N14" s="97" t="s">
        <v>6</v>
      </c>
      <c r="O14" s="259">
        <v>0.30425999999999997</v>
      </c>
      <c r="P14" s="261">
        <v>-0.20154</v>
      </c>
      <c r="Q14" s="261">
        <v>0.54218</v>
      </c>
      <c r="R14" s="307">
        <v>0.47903745599999997</v>
      </c>
      <c r="S14" s="307">
        <v>0.34833610300000001</v>
      </c>
      <c r="T14" s="261">
        <v>1</v>
      </c>
      <c r="U14" s="262"/>
    </row>
    <row r="15" spans="1:21" x14ac:dyDescent="0.35">
      <c r="A15" s="58">
        <v>7</v>
      </c>
      <c r="B15" s="50" t="s">
        <v>14</v>
      </c>
      <c r="C15" s="93">
        <v>4.3</v>
      </c>
      <c r="D15" s="20">
        <f>502153/12000000</f>
        <v>4.1846083333333332E-2</v>
      </c>
      <c r="E15" s="18">
        <v>0</v>
      </c>
      <c r="F15" s="20">
        <v>8</v>
      </c>
      <c r="G15" s="18">
        <v>6</v>
      </c>
      <c r="H15" s="34">
        <v>76</v>
      </c>
      <c r="I15" s="51">
        <v>89</v>
      </c>
      <c r="J15" s="41"/>
      <c r="K15" s="42"/>
      <c r="L15" s="417"/>
      <c r="N15" s="305" t="s">
        <v>7</v>
      </c>
      <c r="O15" s="311">
        <v>0.71606999999999998</v>
      </c>
      <c r="P15" s="312">
        <v>-0.30380000000000001</v>
      </c>
      <c r="Q15" s="312">
        <v>0.57786000000000004</v>
      </c>
      <c r="R15" s="313">
        <v>0.66397307299999997</v>
      </c>
      <c r="S15" s="313">
        <v>0.165025165</v>
      </c>
      <c r="T15" s="313">
        <v>0.57071510000000003</v>
      </c>
      <c r="U15" s="266">
        <v>1</v>
      </c>
    </row>
    <row r="16" spans="1:21" x14ac:dyDescent="0.35">
      <c r="A16" s="58">
        <v>8</v>
      </c>
      <c r="B16" s="52" t="s">
        <v>15</v>
      </c>
      <c r="C16" s="93">
        <v>5.2</v>
      </c>
      <c r="D16" s="20">
        <f>26857459/30000000</f>
        <v>0.89524863333333338</v>
      </c>
      <c r="E16" s="18">
        <v>3</v>
      </c>
      <c r="F16" s="20">
        <v>7.5</v>
      </c>
      <c r="G16" s="18">
        <v>3</v>
      </c>
      <c r="H16" s="34">
        <v>40</v>
      </c>
      <c r="I16" s="51">
        <v>107</v>
      </c>
      <c r="J16" s="41"/>
      <c r="K16" s="42"/>
      <c r="L16" s="417"/>
    </row>
    <row r="17" spans="1:22" x14ac:dyDescent="0.35">
      <c r="A17" s="58">
        <v>9</v>
      </c>
      <c r="B17" s="52" t="s">
        <v>16</v>
      </c>
      <c r="C17" s="93">
        <v>5.3</v>
      </c>
      <c r="D17" s="20">
        <f>38629478/70000000</f>
        <v>0.55184968571428572</v>
      </c>
      <c r="E17" s="18">
        <v>7</v>
      </c>
      <c r="F17" s="20">
        <v>7.13</v>
      </c>
      <c r="G17" s="18">
        <v>4</v>
      </c>
      <c r="H17" s="34">
        <v>120</v>
      </c>
      <c r="I17" s="51">
        <v>114</v>
      </c>
      <c r="J17" s="41"/>
      <c r="K17" s="42"/>
      <c r="L17" s="417"/>
    </row>
    <row r="18" spans="1:22" x14ac:dyDescent="0.35">
      <c r="A18" s="58">
        <v>10</v>
      </c>
      <c r="B18" s="52" t="s">
        <v>17</v>
      </c>
      <c r="C18" s="93">
        <v>4.0999999999999996</v>
      </c>
      <c r="D18" s="18">
        <v>1.88</v>
      </c>
      <c r="E18" s="18">
        <v>12</v>
      </c>
      <c r="F18" s="20">
        <v>7.13</v>
      </c>
      <c r="G18" s="18">
        <v>3</v>
      </c>
      <c r="H18" s="34">
        <v>70</v>
      </c>
      <c r="I18" s="51">
        <v>105</v>
      </c>
      <c r="J18" s="41"/>
      <c r="K18" s="42"/>
      <c r="L18" s="417"/>
    </row>
    <row r="19" spans="1:22" x14ac:dyDescent="0.35">
      <c r="A19" s="58">
        <v>11</v>
      </c>
      <c r="B19" s="52" t="s">
        <v>18</v>
      </c>
      <c r="C19" s="93">
        <v>6.6</v>
      </c>
      <c r="D19" s="20">
        <f>278346189/100000000</f>
        <v>2.7834618899999999</v>
      </c>
      <c r="E19" s="18">
        <v>6</v>
      </c>
      <c r="F19" s="20">
        <v>7.33</v>
      </c>
      <c r="G19" s="18">
        <v>3</v>
      </c>
      <c r="H19" s="34">
        <v>58</v>
      </c>
      <c r="I19" s="51">
        <v>103</v>
      </c>
      <c r="J19" s="41"/>
      <c r="K19" s="42"/>
      <c r="L19" s="419"/>
      <c r="M19" s="40"/>
    </row>
    <row r="20" spans="1:22" x14ac:dyDescent="0.35">
      <c r="A20" s="58">
        <v>12</v>
      </c>
      <c r="B20" s="53" t="s">
        <v>19</v>
      </c>
      <c r="C20" s="93">
        <v>4.8</v>
      </c>
      <c r="D20" s="18">
        <v>0.81</v>
      </c>
      <c r="E20" s="18">
        <v>11</v>
      </c>
      <c r="F20" s="20">
        <v>6.73</v>
      </c>
      <c r="G20" s="18">
        <v>1</v>
      </c>
      <c r="H20" s="34">
        <v>90</v>
      </c>
      <c r="I20" s="51">
        <v>105</v>
      </c>
      <c r="J20" s="41"/>
      <c r="K20" s="42"/>
      <c r="L20" s="419"/>
      <c r="M20" s="40"/>
    </row>
    <row r="21" spans="1:22" x14ac:dyDescent="0.35">
      <c r="A21" s="58">
        <v>13</v>
      </c>
      <c r="B21" s="50" t="s">
        <v>20</v>
      </c>
      <c r="C21" s="93">
        <v>5.3</v>
      </c>
      <c r="D21" s="20">
        <f>163403799/48000000</f>
        <v>3.4042458125000001</v>
      </c>
      <c r="E21" s="18">
        <v>5</v>
      </c>
      <c r="F21" s="94">
        <v>6.57</v>
      </c>
      <c r="G21" s="18">
        <v>2</v>
      </c>
      <c r="H21" s="34">
        <v>60</v>
      </c>
      <c r="I21" s="51">
        <v>90</v>
      </c>
      <c r="J21" s="41"/>
      <c r="K21" s="42"/>
      <c r="L21" s="419"/>
      <c r="M21" s="40"/>
    </row>
    <row r="22" spans="1:22" x14ac:dyDescent="0.35">
      <c r="A22" s="58">
        <v>14</v>
      </c>
      <c r="B22" s="54" t="s">
        <v>21</v>
      </c>
      <c r="C22" s="93">
        <v>6.2</v>
      </c>
      <c r="D22" s="20">
        <f>256697520/60000000</f>
        <v>4.2782920000000004</v>
      </c>
      <c r="E22" s="18">
        <v>6</v>
      </c>
      <c r="F22" s="20">
        <v>7.33</v>
      </c>
      <c r="G22" s="18">
        <v>1</v>
      </c>
      <c r="H22" s="34">
        <v>60</v>
      </c>
      <c r="I22" s="51">
        <v>108</v>
      </c>
      <c r="J22" s="41"/>
      <c r="K22" s="42"/>
      <c r="L22" s="419"/>
      <c r="M22" s="40"/>
    </row>
    <row r="23" spans="1:22" x14ac:dyDescent="0.35">
      <c r="A23" s="58">
        <v>15</v>
      </c>
      <c r="B23" s="53" t="s">
        <v>22</v>
      </c>
      <c r="C23" s="93">
        <v>5.9</v>
      </c>
      <c r="D23" s="20">
        <f>9479718/22000000</f>
        <v>0.43089627272727271</v>
      </c>
      <c r="E23" s="18">
        <v>1</v>
      </c>
      <c r="F23" s="20">
        <v>7.03</v>
      </c>
      <c r="G23" s="18">
        <v>1</v>
      </c>
      <c r="H23" s="34">
        <v>40</v>
      </c>
      <c r="I23" s="51">
        <v>105</v>
      </c>
      <c r="J23" s="41"/>
      <c r="K23" s="42"/>
      <c r="L23" s="419"/>
      <c r="M23" s="40"/>
    </row>
    <row r="24" spans="1:22" x14ac:dyDescent="0.35">
      <c r="A24" s="58">
        <v>16</v>
      </c>
      <c r="B24" s="50" t="s">
        <v>23</v>
      </c>
      <c r="C24" s="93">
        <v>5.8</v>
      </c>
      <c r="D24" s="20">
        <f>67876281/20000000</f>
        <v>3.39381405</v>
      </c>
      <c r="E24" s="18">
        <v>4</v>
      </c>
      <c r="F24" s="20">
        <v>7.53</v>
      </c>
      <c r="G24" s="18">
        <v>2</v>
      </c>
      <c r="H24" s="34">
        <v>90</v>
      </c>
      <c r="I24" s="51">
        <v>105</v>
      </c>
      <c r="J24" s="41"/>
      <c r="K24" s="42"/>
      <c r="L24" s="419"/>
      <c r="M24" s="40"/>
    </row>
    <row r="25" spans="1:22" x14ac:dyDescent="0.35">
      <c r="A25" s="58">
        <v>17</v>
      </c>
      <c r="B25" s="50" t="s">
        <v>24</v>
      </c>
      <c r="C25" s="93">
        <v>5.5</v>
      </c>
      <c r="D25" s="20">
        <f>966458/4000000</f>
        <v>0.24161450000000001</v>
      </c>
      <c r="E25" s="18">
        <v>1</v>
      </c>
      <c r="F25" s="20">
        <v>7.07</v>
      </c>
      <c r="G25" s="18">
        <v>1</v>
      </c>
      <c r="H25" s="34">
        <v>30</v>
      </c>
      <c r="I25" s="51">
        <v>92</v>
      </c>
      <c r="J25" s="41"/>
      <c r="K25" s="42"/>
      <c r="L25" s="419"/>
      <c r="M25" s="40"/>
    </row>
    <row r="26" spans="1:22" x14ac:dyDescent="0.35">
      <c r="A26" s="58">
        <v>18</v>
      </c>
      <c r="B26" s="50" t="s">
        <v>25</v>
      </c>
      <c r="C26" s="93">
        <v>5.2</v>
      </c>
      <c r="D26" s="20">
        <f>54667954/500000</f>
        <v>109.335908</v>
      </c>
      <c r="E26" s="18">
        <v>8</v>
      </c>
      <c r="F26" s="20">
        <v>6.53</v>
      </c>
      <c r="G26" s="18">
        <v>2</v>
      </c>
      <c r="H26" s="34">
        <v>45</v>
      </c>
      <c r="I26" s="51">
        <v>79</v>
      </c>
      <c r="J26" s="41"/>
      <c r="K26" s="42"/>
      <c r="L26" s="419"/>
      <c r="M26" s="40"/>
    </row>
    <row r="27" spans="1:22" x14ac:dyDescent="0.35">
      <c r="A27" s="58">
        <v>19</v>
      </c>
      <c r="B27" s="50" t="s">
        <v>26</v>
      </c>
      <c r="C27" s="93">
        <v>5.7</v>
      </c>
      <c r="D27" s="20">
        <f>17840867/35000000</f>
        <v>0.50973905714285717</v>
      </c>
      <c r="E27" s="18">
        <v>0</v>
      </c>
      <c r="F27" s="20">
        <v>7.67</v>
      </c>
      <c r="G27" s="18">
        <v>1</v>
      </c>
      <c r="H27" s="34">
        <v>135</v>
      </c>
      <c r="I27" s="51">
        <v>96</v>
      </c>
      <c r="J27" s="41"/>
      <c r="K27" s="42"/>
      <c r="L27" s="419"/>
      <c r="M27" s="40"/>
    </row>
    <row r="28" spans="1:22" x14ac:dyDescent="0.35">
      <c r="A28" s="59">
        <v>20</v>
      </c>
      <c r="B28" s="99" t="s">
        <v>27</v>
      </c>
      <c r="C28" s="118">
        <v>5.8</v>
      </c>
      <c r="D28" s="119">
        <f>25399945/10000000</f>
        <v>2.5399945000000002</v>
      </c>
      <c r="E28" s="19">
        <v>4</v>
      </c>
      <c r="F28" s="119">
        <v>7.03</v>
      </c>
      <c r="G28" s="19">
        <v>1</v>
      </c>
      <c r="H28" s="120">
        <v>59</v>
      </c>
      <c r="I28" s="121">
        <v>83</v>
      </c>
      <c r="J28" s="41"/>
      <c r="K28" s="42"/>
      <c r="L28" s="419"/>
      <c r="M28" s="40"/>
    </row>
    <row r="29" spans="1:22" ht="15" customHeight="1" x14ac:dyDescent="0.35">
      <c r="B29" s="323" t="s">
        <v>38</v>
      </c>
      <c r="C29" s="113">
        <f>_xlfn.STDEV.S(C9:C28)</f>
        <v>1.2803268497166134</v>
      </c>
      <c r="D29" s="8">
        <f t="shared" ref="D29:F29" si="0">_xlfn.STDEV.S(D9:D28)</f>
        <v>23.921910632401435</v>
      </c>
      <c r="E29" s="8">
        <f>_xlfn.STDEV.S(E9:E28)</f>
        <v>103.48333199119557</v>
      </c>
      <c r="F29" s="8">
        <f t="shared" si="0"/>
        <v>0.6234477566429748</v>
      </c>
      <c r="G29" s="8">
        <f>_xlfn.STDEV.S(G9:G28)</f>
        <v>1.5517392618742702</v>
      </c>
      <c r="H29" s="114">
        <f>_xlfn.STDEV.S(H9:H28)</f>
        <v>36.319343838264828</v>
      </c>
      <c r="I29" s="115">
        <f>_xlfn.STDEV.S(I9:I28)</f>
        <v>19.885130652138855</v>
      </c>
      <c r="L29" s="417"/>
    </row>
    <row r="30" spans="1:22" ht="15" customHeight="1" x14ac:dyDescent="0.35">
      <c r="B30" s="324" t="s">
        <v>39</v>
      </c>
      <c r="C30" s="116">
        <f>AVERAGE(C9:C28)</f>
        <v>6.1150000000000002</v>
      </c>
      <c r="D30" s="3">
        <f t="shared" ref="D30:F30" si="1">AVERAGE(D9:D28)</f>
        <v>8.157711994160632</v>
      </c>
      <c r="E30" s="3">
        <f>AVERAGE(E9:E28)</f>
        <v>45.8</v>
      </c>
      <c r="F30" s="3">
        <f t="shared" si="1"/>
        <v>7.4814999999999996</v>
      </c>
      <c r="G30" s="3">
        <f>AVERAGE(G9:G28)</f>
        <v>2.25</v>
      </c>
      <c r="H30" s="3">
        <f>AVERAGE(H9:H28)</f>
        <v>77.599999999999994</v>
      </c>
      <c r="I30" s="35">
        <f>AVERAGE(I9:I28)</f>
        <v>109.05</v>
      </c>
      <c r="L30" s="417"/>
    </row>
    <row r="31" spans="1:22" ht="15" customHeight="1" x14ac:dyDescent="0.35">
      <c r="B31" s="324" t="s">
        <v>40</v>
      </c>
      <c r="C31" s="116">
        <f t="shared" ref="C31:I31" si="2">C29/C30</f>
        <v>0.20937479144997764</v>
      </c>
      <c r="D31" s="3">
        <f t="shared" si="2"/>
        <v>2.9324289273174839</v>
      </c>
      <c r="E31" s="3">
        <f t="shared" si="2"/>
        <v>2.2594613971876765</v>
      </c>
      <c r="F31" s="3">
        <f t="shared" si="2"/>
        <v>8.3331919620794601E-2</v>
      </c>
      <c r="G31" s="3">
        <f t="shared" si="2"/>
        <v>0.68966189416634238</v>
      </c>
      <c r="H31" s="3">
        <f t="shared" si="2"/>
        <v>0.46803278142093852</v>
      </c>
      <c r="I31" s="9">
        <f t="shared" si="2"/>
        <v>0.18234874509068186</v>
      </c>
      <c r="L31" s="417"/>
      <c r="N31" s="43"/>
      <c r="O31" s="43"/>
      <c r="P31" s="43"/>
      <c r="Q31" s="43"/>
      <c r="R31" s="43"/>
      <c r="S31" s="43"/>
      <c r="T31" s="43"/>
      <c r="U31" s="43"/>
      <c r="V31" s="43"/>
    </row>
    <row r="32" spans="1:22" ht="15" customHeight="1" x14ac:dyDescent="0.35">
      <c r="B32" s="325" t="s">
        <v>41</v>
      </c>
      <c r="C32" s="117">
        <f>C31/SUM($C$31:$I$31)</f>
        <v>3.0679241315652445E-2</v>
      </c>
      <c r="D32" s="10">
        <f>D31/SUM($C$31:$I$31)</f>
        <v>0.429682551940197</v>
      </c>
      <c r="E32" s="10">
        <f>E31/SUM($C$31:$I$31)</f>
        <v>0.33107405608703888</v>
      </c>
      <c r="F32" s="10">
        <f>F31/SUM($C$31:$I$31)</f>
        <v>1.2210448323974598E-2</v>
      </c>
      <c r="G32" s="10">
        <f t="shared" ref="G32" si="3">G31/SUM($C$31:$I$31)</f>
        <v>0.10105468538410065</v>
      </c>
      <c r="H32" s="10">
        <f>H31/SUM($C$31:$I$31)</f>
        <v>6.857984452383091E-2</v>
      </c>
      <c r="I32" s="11">
        <f>I31/SUM($C$31:$I$31)</f>
        <v>2.6719172425205634E-2</v>
      </c>
      <c r="J32" s="40"/>
      <c r="K32" s="40"/>
      <c r="L32" s="417"/>
      <c r="N32" s="47"/>
      <c r="O32" s="47"/>
      <c r="P32" s="47"/>
      <c r="Q32" s="47"/>
      <c r="R32" s="47"/>
      <c r="S32" s="47"/>
      <c r="T32" s="47"/>
      <c r="U32" s="47"/>
      <c r="V32" s="43"/>
    </row>
    <row r="33" spans="1:22" ht="15" customHeight="1" x14ac:dyDescent="0.35">
      <c r="A33" s="39"/>
      <c r="B33" s="39"/>
      <c r="C33" s="39"/>
      <c r="D33" s="39"/>
      <c r="E33" s="39"/>
      <c r="F33" s="39"/>
      <c r="G33" s="39"/>
      <c r="I33" s="39"/>
      <c r="L33" s="417"/>
      <c r="N33" s="43"/>
      <c r="O33" s="43"/>
      <c r="P33" s="43"/>
      <c r="Q33" s="43"/>
      <c r="R33" s="43"/>
      <c r="S33" s="43"/>
      <c r="T33" s="43"/>
      <c r="U33" s="43"/>
      <c r="V33" s="43"/>
    </row>
    <row r="34" spans="1:22" s="423" customFormat="1" ht="15" customHeight="1" x14ac:dyDescent="0.35">
      <c r="A34" s="590" t="s">
        <v>42</v>
      </c>
      <c r="B34" s="591"/>
      <c r="C34" s="591"/>
      <c r="D34" s="591"/>
      <c r="E34" s="591"/>
      <c r="F34" s="591"/>
      <c r="G34" s="591"/>
      <c r="H34" s="591"/>
      <c r="I34" s="591"/>
      <c r="J34" s="591"/>
      <c r="K34" s="591"/>
      <c r="L34" s="424"/>
    </row>
    <row r="35" spans="1:22" x14ac:dyDescent="0.35">
      <c r="L35" s="436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29" x14ac:dyDescent="0.35">
      <c r="A36" s="22" t="s">
        <v>36</v>
      </c>
      <c r="B36" s="65" t="s">
        <v>0</v>
      </c>
      <c r="C36" s="65" t="s">
        <v>1</v>
      </c>
      <c r="D36" s="65" t="s">
        <v>2</v>
      </c>
      <c r="E36" s="65" t="s">
        <v>3</v>
      </c>
      <c r="F36" s="65" t="s">
        <v>4</v>
      </c>
      <c r="G36" s="65" t="s">
        <v>5</v>
      </c>
      <c r="H36" s="65" t="s">
        <v>6</v>
      </c>
      <c r="I36" s="73" t="s">
        <v>7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2" x14ac:dyDescent="0.35">
      <c r="A37" s="58">
        <v>1</v>
      </c>
      <c r="B37" s="72" t="s">
        <v>8</v>
      </c>
      <c r="C37" s="69">
        <v>8.1999999999999993</v>
      </c>
      <c r="D37" s="8">
        <f>837186610/160000000</f>
        <v>5.2324163124999998</v>
      </c>
      <c r="E37" s="70">
        <v>379</v>
      </c>
      <c r="F37" s="13">
        <v>8.42</v>
      </c>
      <c r="G37" s="25">
        <f>1/G9</f>
        <v>0.16666666666666666</v>
      </c>
      <c r="H37" s="77">
        <f>1/H9</f>
        <v>6.024096385542169E-3</v>
      </c>
      <c r="I37" s="79">
        <f t="shared" ref="I37:I56" si="4">IF(I9&lt;K$5,1/(K$5-I9+K$7),IF(I9&gt;K$6,1/(I9-K$6+K$7),1/K$7))</f>
        <v>1.2048192771084338E-2</v>
      </c>
    </row>
    <row r="38" spans="1:22" x14ac:dyDescent="0.35">
      <c r="A38" s="58">
        <v>2</v>
      </c>
      <c r="B38" s="49" t="s">
        <v>9</v>
      </c>
      <c r="C38" s="90">
        <v>8.1999999999999993</v>
      </c>
      <c r="D38" s="6">
        <f>294805697/80000000</f>
        <v>3.6850712125</v>
      </c>
      <c r="E38" s="7">
        <v>77</v>
      </c>
      <c r="F38" s="5">
        <v>8.23</v>
      </c>
      <c r="G38" s="1">
        <f t="shared" ref="G38:G51" si="5">1/G10</f>
        <v>1</v>
      </c>
      <c r="H38" s="31">
        <f t="shared" ref="H38:H56" si="6">1/H10</f>
        <v>8.6206896551724137E-3</v>
      </c>
      <c r="I38" s="81">
        <f t="shared" si="4"/>
        <v>1.3698630136986301E-2</v>
      </c>
    </row>
    <row r="39" spans="1:22" x14ac:dyDescent="0.35">
      <c r="A39" s="58">
        <v>3</v>
      </c>
      <c r="B39" s="49" t="s">
        <v>10</v>
      </c>
      <c r="C39" s="71">
        <v>7.8</v>
      </c>
      <c r="D39" s="3">
        <f>96822421/13000000</f>
        <v>7.4478785384615387</v>
      </c>
      <c r="E39" s="1">
        <v>9</v>
      </c>
      <c r="F39" s="1">
        <v>7.67</v>
      </c>
      <c r="G39" s="5">
        <f t="shared" si="5"/>
        <v>0.5</v>
      </c>
      <c r="H39" s="110">
        <f t="shared" si="6"/>
        <v>3.3333333333333333E-2</v>
      </c>
      <c r="I39" s="107">
        <f t="shared" si="4"/>
        <v>1.5384615384615385E-2</v>
      </c>
    </row>
    <row r="40" spans="1:22" x14ac:dyDescent="0.35">
      <c r="A40" s="58">
        <v>4</v>
      </c>
      <c r="B40" s="49" t="s">
        <v>11</v>
      </c>
      <c r="C40" s="71">
        <v>6.7</v>
      </c>
      <c r="D40" s="3">
        <f>760006945/125000000</f>
        <v>6.0800555599999999</v>
      </c>
      <c r="E40" s="1">
        <v>29</v>
      </c>
      <c r="F40" s="1">
        <v>7.6300000000000008</v>
      </c>
      <c r="G40" s="1">
        <f t="shared" si="5"/>
        <v>0.5</v>
      </c>
      <c r="H40" s="111">
        <f t="shared" si="6"/>
        <v>1.0101010101010102E-2</v>
      </c>
      <c r="I40" s="108">
        <f t="shared" si="4"/>
        <v>1.1904761904761904E-2</v>
      </c>
    </row>
    <row r="41" spans="1:22" x14ac:dyDescent="0.35">
      <c r="A41" s="58">
        <v>5</v>
      </c>
      <c r="B41" s="49" t="s">
        <v>12</v>
      </c>
      <c r="C41" s="71">
        <v>8.1</v>
      </c>
      <c r="D41" s="3">
        <f>109676311/40000000</f>
        <v>2.741907775</v>
      </c>
      <c r="E41" s="1">
        <v>51</v>
      </c>
      <c r="F41" s="3">
        <v>8.3000000000000007</v>
      </c>
      <c r="G41" s="1">
        <f t="shared" si="5"/>
        <v>0.5</v>
      </c>
      <c r="H41" s="111">
        <f t="shared" si="6"/>
        <v>1.2048192771084338E-2</v>
      </c>
      <c r="I41" s="108">
        <f t="shared" si="4"/>
        <v>1.5384615384615385E-2</v>
      </c>
    </row>
    <row r="42" spans="1:22" x14ac:dyDescent="0.35">
      <c r="A42" s="58">
        <v>6</v>
      </c>
      <c r="B42" s="50" t="s">
        <v>13</v>
      </c>
      <c r="C42" s="91">
        <v>7.6</v>
      </c>
      <c r="D42" s="89">
        <v>6.87</v>
      </c>
      <c r="E42" s="34">
        <v>303</v>
      </c>
      <c r="F42" s="98">
        <v>8.8000000000000007</v>
      </c>
      <c r="G42" s="1">
        <f t="shared" si="5"/>
        <v>1</v>
      </c>
      <c r="H42" s="111">
        <f t="shared" si="6"/>
        <v>1.1764705882352941E-2</v>
      </c>
      <c r="I42" s="108">
        <f t="shared" si="4"/>
        <v>1.5384615384615385E-2</v>
      </c>
    </row>
    <row r="43" spans="1:22" x14ac:dyDescent="0.35">
      <c r="A43" s="58">
        <v>7</v>
      </c>
      <c r="B43" s="50" t="s">
        <v>14</v>
      </c>
      <c r="C43" s="93">
        <v>4.3</v>
      </c>
      <c r="D43" s="20">
        <f>502153/12000000</f>
        <v>4.1846083333333332E-2</v>
      </c>
      <c r="E43" s="18">
        <v>0</v>
      </c>
      <c r="F43" s="20">
        <v>8</v>
      </c>
      <c r="G43" s="30">
        <f t="shared" si="5"/>
        <v>0.16666666666666666</v>
      </c>
      <c r="H43" s="111">
        <f t="shared" si="6"/>
        <v>1.3157894736842105E-2</v>
      </c>
      <c r="I43" s="108">
        <f t="shared" si="4"/>
        <v>1.1627906976744186E-2</v>
      </c>
    </row>
    <row r="44" spans="1:22" x14ac:dyDescent="0.35">
      <c r="A44" s="58">
        <v>8</v>
      </c>
      <c r="B44" s="52" t="s">
        <v>15</v>
      </c>
      <c r="C44" s="93">
        <v>5.2</v>
      </c>
      <c r="D44" s="20">
        <f>26857459/30000000</f>
        <v>0.89524863333333338</v>
      </c>
      <c r="E44" s="18">
        <v>3</v>
      </c>
      <c r="F44" s="20">
        <v>7.5</v>
      </c>
      <c r="G44" s="3">
        <f t="shared" si="5"/>
        <v>0.33333333333333331</v>
      </c>
      <c r="H44" s="111">
        <f t="shared" si="6"/>
        <v>2.5000000000000001E-2</v>
      </c>
      <c r="I44" s="108">
        <f t="shared" si="4"/>
        <v>1.4705882352941176E-2</v>
      </c>
    </row>
    <row r="45" spans="1:22" x14ac:dyDescent="0.35">
      <c r="A45" s="58">
        <v>9</v>
      </c>
      <c r="B45" s="52" t="s">
        <v>16</v>
      </c>
      <c r="C45" s="93">
        <v>5.3</v>
      </c>
      <c r="D45" s="20">
        <f>38629478/70000000</f>
        <v>0.55184968571428572</v>
      </c>
      <c r="E45" s="18">
        <v>7</v>
      </c>
      <c r="F45" s="20">
        <v>7.13</v>
      </c>
      <c r="G45" s="3">
        <f t="shared" si="5"/>
        <v>0.25</v>
      </c>
      <c r="H45" s="111">
        <f t="shared" si="6"/>
        <v>8.3333333333333332E-3</v>
      </c>
      <c r="I45" s="108">
        <f t="shared" si="4"/>
        <v>1.5384615384615385E-2</v>
      </c>
    </row>
    <row r="46" spans="1:22" x14ac:dyDescent="0.35">
      <c r="A46" s="58">
        <v>10</v>
      </c>
      <c r="B46" s="52" t="s">
        <v>17</v>
      </c>
      <c r="C46" s="93">
        <v>4.0999999999999996</v>
      </c>
      <c r="D46" s="18">
        <v>1.88</v>
      </c>
      <c r="E46" s="18">
        <v>12</v>
      </c>
      <c r="F46" s="20">
        <v>7.13</v>
      </c>
      <c r="G46" s="3">
        <f t="shared" si="5"/>
        <v>0.33333333333333331</v>
      </c>
      <c r="H46" s="111">
        <f t="shared" si="6"/>
        <v>1.4285714285714285E-2</v>
      </c>
      <c r="I46" s="108">
        <f t="shared" si="4"/>
        <v>1.4285714285714285E-2</v>
      </c>
    </row>
    <row r="47" spans="1:22" x14ac:dyDescent="0.35">
      <c r="A47" s="58">
        <v>11</v>
      </c>
      <c r="B47" s="52" t="s">
        <v>18</v>
      </c>
      <c r="C47" s="93">
        <v>6.6</v>
      </c>
      <c r="D47" s="20">
        <f>278346189/100000000</f>
        <v>2.7834618899999999</v>
      </c>
      <c r="E47" s="18">
        <v>6</v>
      </c>
      <c r="F47" s="20">
        <v>7.33</v>
      </c>
      <c r="G47" s="3">
        <f t="shared" si="5"/>
        <v>0.33333333333333331</v>
      </c>
      <c r="H47" s="111">
        <f t="shared" si="6"/>
        <v>1.7241379310344827E-2</v>
      </c>
      <c r="I47" s="108">
        <f t="shared" si="4"/>
        <v>1.3888888888888888E-2</v>
      </c>
    </row>
    <row r="48" spans="1:22" x14ac:dyDescent="0.35">
      <c r="A48" s="58">
        <v>12</v>
      </c>
      <c r="B48" s="53" t="s">
        <v>19</v>
      </c>
      <c r="C48" s="93">
        <v>4.8</v>
      </c>
      <c r="D48" s="18">
        <v>0.81</v>
      </c>
      <c r="E48" s="18">
        <v>11</v>
      </c>
      <c r="F48" s="20">
        <v>6.73</v>
      </c>
      <c r="G48" s="1">
        <f t="shared" si="5"/>
        <v>1</v>
      </c>
      <c r="H48" s="111">
        <f t="shared" si="6"/>
        <v>1.1111111111111112E-2</v>
      </c>
      <c r="I48" s="108">
        <f t="shared" si="4"/>
        <v>1.4285714285714285E-2</v>
      </c>
    </row>
    <row r="49" spans="1:14" x14ac:dyDescent="0.35">
      <c r="A49" s="58">
        <v>13</v>
      </c>
      <c r="B49" s="50" t="s">
        <v>20</v>
      </c>
      <c r="C49" s="93">
        <v>5.3</v>
      </c>
      <c r="D49" s="20">
        <f>163403799/48000000</f>
        <v>3.4042458125000001</v>
      </c>
      <c r="E49" s="18">
        <v>5</v>
      </c>
      <c r="F49" s="94">
        <v>6.57</v>
      </c>
      <c r="G49" s="1">
        <f t="shared" si="5"/>
        <v>0.5</v>
      </c>
      <c r="H49" s="111">
        <f t="shared" si="6"/>
        <v>1.6666666666666666E-2</v>
      </c>
      <c r="I49" s="108">
        <f t="shared" si="4"/>
        <v>1.1764705882352941E-2</v>
      </c>
    </row>
    <row r="50" spans="1:14" x14ac:dyDescent="0.35">
      <c r="A50" s="58">
        <v>14</v>
      </c>
      <c r="B50" s="54" t="s">
        <v>21</v>
      </c>
      <c r="C50" s="93">
        <v>6.2</v>
      </c>
      <c r="D50" s="20">
        <f>256697520/60000000</f>
        <v>4.2782920000000004</v>
      </c>
      <c r="E50" s="18">
        <v>6</v>
      </c>
      <c r="F50" s="20">
        <v>7.33</v>
      </c>
      <c r="G50" s="1">
        <f t="shared" si="5"/>
        <v>1</v>
      </c>
      <c r="H50" s="111">
        <f t="shared" si="6"/>
        <v>1.6666666666666666E-2</v>
      </c>
      <c r="I50" s="108">
        <f t="shared" si="4"/>
        <v>1.4925373134328358E-2</v>
      </c>
    </row>
    <row r="51" spans="1:14" x14ac:dyDescent="0.35">
      <c r="A51" s="58">
        <v>15</v>
      </c>
      <c r="B51" s="53" t="s">
        <v>22</v>
      </c>
      <c r="C51" s="93">
        <v>5.9</v>
      </c>
      <c r="D51" s="20">
        <f>9479718/22000000</f>
        <v>0.43089627272727271</v>
      </c>
      <c r="E51" s="18">
        <v>1</v>
      </c>
      <c r="F51" s="20">
        <v>7.03</v>
      </c>
      <c r="G51" s="1">
        <f t="shared" si="5"/>
        <v>1</v>
      </c>
      <c r="H51" s="111">
        <f t="shared" si="6"/>
        <v>2.5000000000000001E-2</v>
      </c>
      <c r="I51" s="108">
        <f t="shared" si="4"/>
        <v>1.4285714285714285E-2</v>
      </c>
    </row>
    <row r="52" spans="1:14" x14ac:dyDescent="0.35">
      <c r="A52" s="58">
        <v>16</v>
      </c>
      <c r="B52" s="50" t="s">
        <v>23</v>
      </c>
      <c r="C52" s="93">
        <v>5.8</v>
      </c>
      <c r="D52" s="20">
        <f>67876281/20000000</f>
        <v>3.39381405</v>
      </c>
      <c r="E52" s="18">
        <v>4</v>
      </c>
      <c r="F52" s="20">
        <v>7.53</v>
      </c>
      <c r="G52" s="1">
        <f>1/G24</f>
        <v>0.5</v>
      </c>
      <c r="H52" s="111">
        <f t="shared" si="6"/>
        <v>1.1111111111111112E-2</v>
      </c>
      <c r="I52" s="108">
        <f t="shared" si="4"/>
        <v>1.4285714285714285E-2</v>
      </c>
    </row>
    <row r="53" spans="1:14" x14ac:dyDescent="0.35">
      <c r="A53" s="58">
        <v>17</v>
      </c>
      <c r="B53" s="50" t="s">
        <v>24</v>
      </c>
      <c r="C53" s="93">
        <v>5.5</v>
      </c>
      <c r="D53" s="20">
        <f>966458/4000000</f>
        <v>0.24161450000000001</v>
      </c>
      <c r="E53" s="18">
        <v>1</v>
      </c>
      <c r="F53" s="20">
        <v>7.07</v>
      </c>
      <c r="G53" s="1">
        <f>1/G25</f>
        <v>1</v>
      </c>
      <c r="H53" s="111">
        <f t="shared" si="6"/>
        <v>3.3333333333333333E-2</v>
      </c>
      <c r="I53" s="108">
        <f t="shared" si="4"/>
        <v>1.2048192771084338E-2</v>
      </c>
    </row>
    <row r="54" spans="1:14" x14ac:dyDescent="0.35">
      <c r="A54" s="58">
        <v>18</v>
      </c>
      <c r="B54" s="50" t="s">
        <v>25</v>
      </c>
      <c r="C54" s="93">
        <v>5.2</v>
      </c>
      <c r="D54" s="20">
        <f>54667954/500000</f>
        <v>109.335908</v>
      </c>
      <c r="E54" s="18">
        <v>8</v>
      </c>
      <c r="F54" s="20">
        <v>6.53</v>
      </c>
      <c r="G54" s="1">
        <f>1/G26</f>
        <v>0.5</v>
      </c>
      <c r="H54" s="111">
        <f t="shared" si="6"/>
        <v>2.2222222222222223E-2</v>
      </c>
      <c r="I54" s="108">
        <f t="shared" si="4"/>
        <v>1.0416666666666666E-2</v>
      </c>
    </row>
    <row r="55" spans="1:14" x14ac:dyDescent="0.35">
      <c r="A55" s="58">
        <v>19</v>
      </c>
      <c r="B55" s="50" t="s">
        <v>26</v>
      </c>
      <c r="C55" s="93">
        <v>5.7</v>
      </c>
      <c r="D55" s="20">
        <f>17840867/35000000</f>
        <v>0.50973905714285717</v>
      </c>
      <c r="E55" s="18">
        <v>0</v>
      </c>
      <c r="F55" s="20">
        <v>7.67</v>
      </c>
      <c r="G55" s="4">
        <f>1/G27</f>
        <v>1</v>
      </c>
      <c r="H55" s="31">
        <f t="shared" si="6"/>
        <v>7.4074074074074077E-3</v>
      </c>
      <c r="I55" s="81">
        <f t="shared" si="4"/>
        <v>1.2658227848101266E-2</v>
      </c>
    </row>
    <row r="56" spans="1:14" x14ac:dyDescent="0.35">
      <c r="A56" s="59">
        <v>20</v>
      </c>
      <c r="B56" s="99" t="s">
        <v>27</v>
      </c>
      <c r="C56" s="95">
        <v>5.8</v>
      </c>
      <c r="D56" s="56">
        <f>25399945/10000000</f>
        <v>2.5399945000000002</v>
      </c>
      <c r="E56" s="55">
        <v>4</v>
      </c>
      <c r="F56" s="56">
        <v>7.03</v>
      </c>
      <c r="G56" s="15">
        <f>1/G28</f>
        <v>1</v>
      </c>
      <c r="H56" s="83">
        <f t="shared" si="6"/>
        <v>1.6949152542372881E-2</v>
      </c>
      <c r="I56" s="84">
        <f t="shared" si="4"/>
        <v>1.0869565217391304E-2</v>
      </c>
    </row>
    <row r="57" spans="1:14" x14ac:dyDescent="0.35">
      <c r="B57" s="66" t="s">
        <v>43</v>
      </c>
      <c r="C57" s="23">
        <f>MIN(C37:C56)</f>
        <v>4.0999999999999996</v>
      </c>
      <c r="D57" s="16">
        <f>MIN(D37:D56)</f>
        <v>4.1846083333333332E-2</v>
      </c>
      <c r="E57" s="4">
        <f>MIN(E37:E56)</f>
        <v>0</v>
      </c>
      <c r="F57" s="4">
        <f t="shared" ref="F57" si="7">MIN(F37:F56)</f>
        <v>6.53</v>
      </c>
      <c r="G57" s="29">
        <f>MIN(G37:G56)</f>
        <v>0.16666666666666666</v>
      </c>
      <c r="H57" s="31">
        <f>MIN(H37:H56)</f>
        <v>6.024096385542169E-3</v>
      </c>
      <c r="I57" s="81">
        <f>MIN(I37:I56)</f>
        <v>1.0416666666666666E-2</v>
      </c>
    </row>
    <row r="58" spans="1:14" x14ac:dyDescent="0.35">
      <c r="B58" s="67" t="s">
        <v>44</v>
      </c>
      <c r="C58" s="68">
        <f>MAX(C37:C56)</f>
        <v>8.1999999999999993</v>
      </c>
      <c r="D58" s="10">
        <f t="shared" ref="D58:F58" si="8">MAX(D37:D56)</f>
        <v>109.335908</v>
      </c>
      <c r="E58" s="15">
        <f>MAX(E37:E56)</f>
        <v>379</v>
      </c>
      <c r="F58" s="15">
        <f t="shared" si="8"/>
        <v>8.8000000000000007</v>
      </c>
      <c r="G58" s="15">
        <f>MAX(G37:G56)</f>
        <v>1</v>
      </c>
      <c r="H58" s="112">
        <f>MAX(H37:H56)</f>
        <v>3.3333333333333333E-2</v>
      </c>
      <c r="I58" s="109">
        <f>MAX(I37:I56)</f>
        <v>1.5384615384615385E-2</v>
      </c>
    </row>
    <row r="60" spans="1:14" s="425" customFormat="1" ht="15.5" x14ac:dyDescent="0.35">
      <c r="A60" s="590" t="s">
        <v>45</v>
      </c>
      <c r="B60" s="591"/>
      <c r="C60" s="591"/>
      <c r="D60" s="591"/>
      <c r="E60" s="591"/>
      <c r="F60" s="591"/>
      <c r="G60" s="591"/>
      <c r="H60" s="591"/>
      <c r="I60" s="591"/>
    </row>
    <row r="61" spans="1:14" x14ac:dyDescent="0.35">
      <c r="B61" s="44"/>
    </row>
    <row r="62" spans="1:14" ht="29" x14ac:dyDescent="0.35">
      <c r="A62" s="24" t="s">
        <v>36</v>
      </c>
      <c r="B62" s="73" t="s">
        <v>0</v>
      </c>
      <c r="C62" s="85" t="s">
        <v>1</v>
      </c>
      <c r="D62" s="65" t="s">
        <v>2</v>
      </c>
      <c r="E62" s="65" t="s">
        <v>3</v>
      </c>
      <c r="F62" s="65" t="s">
        <v>4</v>
      </c>
      <c r="G62" s="65" t="s">
        <v>5</v>
      </c>
      <c r="H62" s="65" t="s">
        <v>6</v>
      </c>
      <c r="I62" s="65" t="s">
        <v>7</v>
      </c>
      <c r="J62" s="73" t="s">
        <v>46</v>
      </c>
      <c r="K62" s="62"/>
      <c r="N62" s="62"/>
    </row>
    <row r="63" spans="1:14" x14ac:dyDescent="0.35">
      <c r="A63" s="74">
        <v>1</v>
      </c>
      <c r="B63" s="72" t="s">
        <v>8</v>
      </c>
      <c r="C63" s="69">
        <f t="shared" ref="C63:I64" si="9">(C37-C$57)/(C$58-C$57)</f>
        <v>1</v>
      </c>
      <c r="D63" s="77">
        <f t="shared" si="9"/>
        <v>4.7491786270367695E-2</v>
      </c>
      <c r="E63" s="13">
        <f t="shared" si="9"/>
        <v>1</v>
      </c>
      <c r="F63" s="77">
        <f t="shared" si="9"/>
        <v>0.83259911894273098</v>
      </c>
      <c r="G63" s="13">
        <f t="shared" si="9"/>
        <v>0</v>
      </c>
      <c r="H63" s="78">
        <f t="shared" si="9"/>
        <v>0</v>
      </c>
      <c r="I63" s="86">
        <f t="shared" si="9"/>
        <v>0.32841041585697645</v>
      </c>
      <c r="J63" s="127">
        <f>SUMPRODUCT(C63:I63,C$83:I$83)</f>
        <v>0.40110095236749438</v>
      </c>
      <c r="N63" s="61"/>
    </row>
    <row r="64" spans="1:14" x14ac:dyDescent="0.35">
      <c r="A64" s="75">
        <v>2</v>
      </c>
      <c r="B64" s="49" t="s">
        <v>9</v>
      </c>
      <c r="C64" s="80">
        <f t="shared" si="9"/>
        <v>1</v>
      </c>
      <c r="D64" s="31">
        <f t="shared" si="9"/>
        <v>3.3334154347237209E-2</v>
      </c>
      <c r="E64" s="31">
        <f t="shared" si="9"/>
        <v>0.20316622691292877</v>
      </c>
      <c r="F64" s="31">
        <f t="shared" si="9"/>
        <v>0.74889867841409685</v>
      </c>
      <c r="G64" s="4">
        <f t="shared" si="9"/>
        <v>1</v>
      </c>
      <c r="H64" s="32">
        <f t="shared" si="9"/>
        <v>9.5081135902636893E-2</v>
      </c>
      <c r="I64" s="32">
        <f t="shared" si="9"/>
        <v>0.66062748563853269</v>
      </c>
      <c r="J64" s="128">
        <f t="shared" ref="J64:J81" si="10">SUMPRODUCT(C64:I64,C$83:I$83)</f>
        <v>0.24663655583803171</v>
      </c>
      <c r="N64" s="63"/>
    </row>
    <row r="65" spans="1:14" x14ac:dyDescent="0.35">
      <c r="A65" s="75">
        <v>3</v>
      </c>
      <c r="B65" s="49" t="s">
        <v>10</v>
      </c>
      <c r="C65" s="82">
        <f t="shared" ref="C65:G74" si="11">(C39-C$57)/(C$58-C$57)</f>
        <v>0.90243902439024404</v>
      </c>
      <c r="D65" s="31">
        <f t="shared" si="11"/>
        <v>6.7762441300562831E-2</v>
      </c>
      <c r="E65" s="31">
        <f t="shared" si="11"/>
        <v>2.3746701846965697E-2</v>
      </c>
      <c r="F65" s="31">
        <f t="shared" si="11"/>
        <v>0.50220264317180596</v>
      </c>
      <c r="G65" s="4">
        <f t="shared" si="11"/>
        <v>0.4</v>
      </c>
      <c r="H65" s="33">
        <f t="shared" ref="H65:H68" si="12">(H39-H$57)/(H$58-H$57)</f>
        <v>1</v>
      </c>
      <c r="I65" s="33">
        <f t="shared" ref="I65:I82" si="13">(I39-I$57)/(I$58-I$57)</f>
        <v>1</v>
      </c>
      <c r="J65" s="128">
        <f t="shared" si="10"/>
        <v>0.20651741073010801</v>
      </c>
      <c r="N65" s="63"/>
    </row>
    <row r="66" spans="1:14" x14ac:dyDescent="0.35">
      <c r="A66" s="75">
        <v>4</v>
      </c>
      <c r="B66" s="49" t="s">
        <v>11</v>
      </c>
      <c r="C66" s="82">
        <f t="shared" si="11"/>
        <v>0.63414634146341486</v>
      </c>
      <c r="D66" s="31">
        <f t="shared" si="11"/>
        <v>5.5247369992256434E-2</v>
      </c>
      <c r="E66" s="31">
        <f t="shared" si="11"/>
        <v>7.6517150395778361E-2</v>
      </c>
      <c r="F66" s="31">
        <f t="shared" si="11"/>
        <v>0.48458149779735699</v>
      </c>
      <c r="G66" s="4">
        <f t="shared" si="11"/>
        <v>0.4</v>
      </c>
      <c r="H66" s="32">
        <f t="shared" si="12"/>
        <v>0.14928698752228164</v>
      </c>
      <c r="I66" s="32">
        <f t="shared" si="13"/>
        <v>0.29953917050691237</v>
      </c>
      <c r="J66" s="128">
        <f t="shared" si="10"/>
        <v>0.13310715153703909</v>
      </c>
      <c r="N66" s="64"/>
    </row>
    <row r="67" spans="1:14" x14ac:dyDescent="0.35">
      <c r="A67" s="75">
        <v>5</v>
      </c>
      <c r="B67" s="49" t="s">
        <v>12</v>
      </c>
      <c r="C67" s="82">
        <f t="shared" si="11"/>
        <v>0.97560975609756106</v>
      </c>
      <c r="D67" s="31">
        <f t="shared" si="11"/>
        <v>2.4704559829841263E-2</v>
      </c>
      <c r="E67" s="31">
        <f t="shared" si="11"/>
        <v>0.13456464379947231</v>
      </c>
      <c r="F67" s="28">
        <f t="shared" si="11"/>
        <v>0.77973568281938332</v>
      </c>
      <c r="G67" s="4">
        <f t="shared" si="11"/>
        <v>0.4</v>
      </c>
      <c r="H67" s="32">
        <f t="shared" si="12"/>
        <v>0.22058823529411764</v>
      </c>
      <c r="I67" s="32">
        <f t="shared" si="13"/>
        <v>1</v>
      </c>
      <c r="J67" s="128">
        <f t="shared" si="10"/>
        <v>0.17688682359859412</v>
      </c>
      <c r="N67" s="63"/>
    </row>
    <row r="68" spans="1:14" x14ac:dyDescent="0.35">
      <c r="A68" s="75">
        <v>6</v>
      </c>
      <c r="B68" s="50" t="s">
        <v>13</v>
      </c>
      <c r="C68" s="82">
        <f t="shared" si="11"/>
        <v>0.85365853658536595</v>
      </c>
      <c r="D68" s="31">
        <f t="shared" si="11"/>
        <v>6.2475067692816855E-2</v>
      </c>
      <c r="E68" s="31">
        <f t="shared" si="11"/>
        <v>0.79947229551451182</v>
      </c>
      <c r="F68" s="28">
        <f t="shared" si="11"/>
        <v>1</v>
      </c>
      <c r="G68" s="4">
        <f t="shared" si="11"/>
        <v>1</v>
      </c>
      <c r="H68" s="32">
        <f t="shared" si="12"/>
        <v>0.21020761245674738</v>
      </c>
      <c r="I68" s="32">
        <f t="shared" si="13"/>
        <v>1</v>
      </c>
      <c r="J68" s="128">
        <f t="shared" si="10"/>
        <v>0.47211888988245077</v>
      </c>
      <c r="N68" s="63"/>
    </row>
    <row r="69" spans="1:14" x14ac:dyDescent="0.35">
      <c r="A69" s="75">
        <v>7</v>
      </c>
      <c r="B69" s="50" t="s">
        <v>14</v>
      </c>
      <c r="C69" s="82">
        <f t="shared" si="11"/>
        <v>4.8780487804878099E-2</v>
      </c>
      <c r="D69" s="4">
        <f t="shared" si="11"/>
        <v>0</v>
      </c>
      <c r="E69" s="4">
        <f t="shared" si="11"/>
        <v>0</v>
      </c>
      <c r="F69" s="31">
        <f t="shared" si="11"/>
        <v>0.64757709251101292</v>
      </c>
      <c r="G69" s="4">
        <f t="shared" si="11"/>
        <v>0</v>
      </c>
      <c r="H69" s="32">
        <f t="shared" ref="H69:H70" si="14">(H43-H$57)/(H$58-H$57)</f>
        <v>0.26122291021671823</v>
      </c>
      <c r="I69" s="32">
        <f t="shared" si="13"/>
        <v>0.24381095273818457</v>
      </c>
      <c r="J69" s="128">
        <f t="shared" si="10"/>
        <v>3.3832808434846928E-2</v>
      </c>
      <c r="N69" s="61"/>
    </row>
    <row r="70" spans="1:14" x14ac:dyDescent="0.35">
      <c r="A70" s="75">
        <v>8</v>
      </c>
      <c r="B70" s="52" t="s">
        <v>15</v>
      </c>
      <c r="C70" s="82">
        <f t="shared" si="11"/>
        <v>0.2682926829268294</v>
      </c>
      <c r="D70" s="31">
        <f t="shared" si="11"/>
        <v>7.8083157953328982E-3</v>
      </c>
      <c r="E70" s="31">
        <f t="shared" si="11"/>
        <v>7.9155672823219003E-3</v>
      </c>
      <c r="F70" s="31">
        <f t="shared" si="11"/>
        <v>0.4273127753303963</v>
      </c>
      <c r="G70" s="4">
        <f t="shared" si="11"/>
        <v>0.19999999999999998</v>
      </c>
      <c r="H70" s="32">
        <f t="shared" si="14"/>
        <v>0.69485294117647067</v>
      </c>
      <c r="I70" s="32">
        <f t="shared" si="13"/>
        <v>0.86337760910815919</v>
      </c>
      <c r="J70" s="128">
        <f t="shared" si="10"/>
        <v>0.11035701150321557</v>
      </c>
      <c r="N70" s="63"/>
    </row>
    <row r="71" spans="1:14" x14ac:dyDescent="0.35">
      <c r="A71" s="75">
        <v>9</v>
      </c>
      <c r="B71" s="52" t="s">
        <v>16</v>
      </c>
      <c r="C71" s="82">
        <f t="shared" si="11"/>
        <v>0.29268292682926839</v>
      </c>
      <c r="D71" s="31">
        <f t="shared" si="11"/>
        <v>4.666343197765075E-3</v>
      </c>
      <c r="E71" s="31">
        <f t="shared" si="11"/>
        <v>1.8469656992084433E-2</v>
      </c>
      <c r="F71" s="31">
        <f t="shared" si="11"/>
        <v>0.26431718061673987</v>
      </c>
      <c r="G71" s="4">
        <f t="shared" si="11"/>
        <v>0.1</v>
      </c>
      <c r="H71" s="32">
        <f>(H45-H$57)/(H$58-H$57)</f>
        <v>8.4558823529411742E-2</v>
      </c>
      <c r="I71" s="33">
        <f t="shared" si="13"/>
        <v>1</v>
      </c>
      <c r="J71" s="128">
        <f t="shared" si="10"/>
        <v>6.2950263858956967E-2</v>
      </c>
      <c r="N71" s="61"/>
    </row>
    <row r="72" spans="1:14" x14ac:dyDescent="0.35">
      <c r="A72" s="75">
        <v>10</v>
      </c>
      <c r="B72" s="52" t="s">
        <v>17</v>
      </c>
      <c r="C72" s="80">
        <f t="shared" si="11"/>
        <v>0</v>
      </c>
      <c r="D72" s="31">
        <f t="shared" si="11"/>
        <v>1.6818424390413835E-2</v>
      </c>
      <c r="E72" s="31">
        <f t="shared" si="11"/>
        <v>3.1662269129287601E-2</v>
      </c>
      <c r="F72" s="31">
        <f t="shared" si="11"/>
        <v>0.26431718061673987</v>
      </c>
      <c r="G72" s="4">
        <f t="shared" si="11"/>
        <v>0.19999999999999998</v>
      </c>
      <c r="H72" s="32">
        <f t="shared" ref="H72:H82" si="15">(H46-H$57)/(H$58-H$57)</f>
        <v>0.30252100840336132</v>
      </c>
      <c r="I72" s="32">
        <f t="shared" si="13"/>
        <v>0.7788018433179722</v>
      </c>
      <c r="J72" s="128">
        <f t="shared" si="10"/>
        <v>8.2703292187294386E-2</v>
      </c>
      <c r="N72" s="61"/>
    </row>
    <row r="73" spans="1:14" x14ac:dyDescent="0.35">
      <c r="A73" s="75">
        <v>11</v>
      </c>
      <c r="B73" s="52" t="s">
        <v>18</v>
      </c>
      <c r="C73" s="82">
        <f t="shared" si="11"/>
        <v>0.60975609756097571</v>
      </c>
      <c r="D73" s="31">
        <f t="shared" si="11"/>
        <v>2.5084764520482951E-2</v>
      </c>
      <c r="E73" s="31">
        <f t="shared" si="11"/>
        <v>1.5831134564643801E-2</v>
      </c>
      <c r="F73" s="31">
        <f t="shared" si="11"/>
        <v>0.35242290748898664</v>
      </c>
      <c r="G73" s="4">
        <f t="shared" si="11"/>
        <v>0.19999999999999998</v>
      </c>
      <c r="H73" s="32">
        <f t="shared" si="15"/>
        <v>0.41075050709939143</v>
      </c>
      <c r="I73" s="32">
        <f t="shared" si="13"/>
        <v>0.69892473118279541</v>
      </c>
      <c r="J73" s="128">
        <f t="shared" si="10"/>
        <v>0.10608469312409391</v>
      </c>
      <c r="N73" s="61"/>
    </row>
    <row r="74" spans="1:14" x14ac:dyDescent="0.35">
      <c r="A74" s="75">
        <v>12</v>
      </c>
      <c r="B74" s="53" t="s">
        <v>19</v>
      </c>
      <c r="C74" s="82">
        <f t="shared" si="11"/>
        <v>0.17073170731707324</v>
      </c>
      <c r="D74" s="31">
        <f t="shared" si="11"/>
        <v>7.0283225199586812E-3</v>
      </c>
      <c r="E74" s="31">
        <f t="shared" si="11"/>
        <v>2.9023746701846966E-2</v>
      </c>
      <c r="F74" s="31">
        <f t="shared" si="11"/>
        <v>8.8105726872246756E-2</v>
      </c>
      <c r="G74" s="4">
        <f t="shared" si="11"/>
        <v>1</v>
      </c>
      <c r="H74" s="32">
        <f t="shared" si="15"/>
        <v>0.18627450980392157</v>
      </c>
      <c r="I74" s="32">
        <f t="shared" si="13"/>
        <v>0.7788018433179722</v>
      </c>
      <c r="J74" s="128">
        <f t="shared" si="10"/>
        <v>0.1535809898155788</v>
      </c>
      <c r="N74" s="63"/>
    </row>
    <row r="75" spans="1:14" x14ac:dyDescent="0.35">
      <c r="A75" s="75">
        <v>13</v>
      </c>
      <c r="B75" s="50" t="s">
        <v>20</v>
      </c>
      <c r="C75" s="82">
        <f t="shared" ref="C75:G82" si="16">(C49-C$57)/(C$58-C$57)</f>
        <v>0.29268292682926839</v>
      </c>
      <c r="D75" s="31">
        <f t="shared" si="16"/>
        <v>3.0764706427787381E-2</v>
      </c>
      <c r="E75" s="31">
        <f t="shared" si="16"/>
        <v>1.3192612137203167E-2</v>
      </c>
      <c r="F75" s="31">
        <f t="shared" si="16"/>
        <v>1.7621145374449351E-2</v>
      </c>
      <c r="G75" s="4">
        <f t="shared" si="16"/>
        <v>0.4</v>
      </c>
      <c r="H75" s="32">
        <f t="shared" si="15"/>
        <v>0.38970588235294112</v>
      </c>
      <c r="I75" s="32">
        <f t="shared" si="13"/>
        <v>0.27134724857685011</v>
      </c>
      <c r="J75" s="128">
        <f t="shared" si="10"/>
        <v>0.10117925830165744</v>
      </c>
      <c r="N75" s="61"/>
    </row>
    <row r="76" spans="1:14" x14ac:dyDescent="0.35">
      <c r="A76" s="75">
        <v>14</v>
      </c>
      <c r="B76" s="54" t="s">
        <v>21</v>
      </c>
      <c r="C76" s="82">
        <f t="shared" si="16"/>
        <v>0.51219512195121963</v>
      </c>
      <c r="D76" s="31">
        <f t="shared" si="16"/>
        <v>3.8761903825084529E-2</v>
      </c>
      <c r="E76" s="31">
        <f t="shared" si="16"/>
        <v>1.5831134564643801E-2</v>
      </c>
      <c r="F76" s="31">
        <f t="shared" si="16"/>
        <v>0.35242290748898664</v>
      </c>
      <c r="G76" s="4">
        <f t="shared" si="16"/>
        <v>1</v>
      </c>
      <c r="H76" s="32">
        <f t="shared" si="15"/>
        <v>0.38970588235294112</v>
      </c>
      <c r="I76" s="32">
        <f t="shared" si="13"/>
        <v>0.90755897929706286</v>
      </c>
      <c r="J76" s="128">
        <f t="shared" si="10"/>
        <v>0.19394347019328934</v>
      </c>
      <c r="N76" s="61"/>
    </row>
    <row r="77" spans="1:14" x14ac:dyDescent="0.35">
      <c r="A77" s="75">
        <v>15</v>
      </c>
      <c r="B77" s="53" t="s">
        <v>22</v>
      </c>
      <c r="C77" s="82">
        <f t="shared" si="16"/>
        <v>0.43902439024390266</v>
      </c>
      <c r="D77" s="31">
        <f t="shared" si="16"/>
        <v>3.5596644737257372E-3</v>
      </c>
      <c r="E77" s="31">
        <f t="shared" si="16"/>
        <v>2.6385224274406332E-3</v>
      </c>
      <c r="F77" s="31">
        <f t="shared" si="16"/>
        <v>0.2202643171806167</v>
      </c>
      <c r="G77" s="4">
        <f t="shared" si="16"/>
        <v>1</v>
      </c>
      <c r="H77" s="32">
        <f t="shared" si="15"/>
        <v>0.69485294117647067</v>
      </c>
      <c r="I77" s="32">
        <f t="shared" si="13"/>
        <v>0.7788018433179722</v>
      </c>
      <c r="J77" s="128">
        <f t="shared" si="10"/>
        <v>0.18807806610514055</v>
      </c>
      <c r="N77" s="61"/>
    </row>
    <row r="78" spans="1:14" x14ac:dyDescent="0.35">
      <c r="A78" s="75">
        <v>16</v>
      </c>
      <c r="B78" s="50" t="s">
        <v>23</v>
      </c>
      <c r="C78" s="82">
        <f t="shared" si="16"/>
        <v>0.41463414634146351</v>
      </c>
      <c r="D78" s="31">
        <f t="shared" si="16"/>
        <v>3.0669259682401032E-2</v>
      </c>
      <c r="E78" s="31">
        <f t="shared" si="16"/>
        <v>1.0554089709762533E-2</v>
      </c>
      <c r="F78" s="31">
        <f t="shared" si="16"/>
        <v>0.44052863436123341</v>
      </c>
      <c r="G78" s="4">
        <f t="shared" si="16"/>
        <v>0.4</v>
      </c>
      <c r="H78" s="32">
        <f t="shared" si="15"/>
        <v>0.18627450980392157</v>
      </c>
      <c r="I78" s="32">
        <f t="shared" si="13"/>
        <v>0.7788018433179722</v>
      </c>
      <c r="J78" s="128">
        <f t="shared" si="10"/>
        <v>0.10877743602481338</v>
      </c>
      <c r="N78" s="61"/>
    </row>
    <row r="79" spans="1:14" x14ac:dyDescent="0.35">
      <c r="A79" s="75">
        <v>17</v>
      </c>
      <c r="B79" s="50" t="s">
        <v>24</v>
      </c>
      <c r="C79" s="82">
        <f t="shared" si="16"/>
        <v>0.34146341463414648</v>
      </c>
      <c r="D79" s="31">
        <f t="shared" si="16"/>
        <v>1.8278066819310266E-3</v>
      </c>
      <c r="E79" s="31">
        <f t="shared" si="16"/>
        <v>2.6385224274406332E-3</v>
      </c>
      <c r="F79" s="31">
        <f t="shared" si="16"/>
        <v>0.23788546255506604</v>
      </c>
      <c r="G79" s="4">
        <f t="shared" si="16"/>
        <v>1</v>
      </c>
      <c r="H79" s="32">
        <f t="shared" si="15"/>
        <v>1</v>
      </c>
      <c r="I79" s="32">
        <f t="shared" si="13"/>
        <v>0.32841041585697645</v>
      </c>
      <c r="J79" s="128">
        <f>SUMPRODUCT(C79:I79,C$83:I$83)</f>
        <v>0.19344883404270352</v>
      </c>
      <c r="N79" s="61"/>
    </row>
    <row r="80" spans="1:14" x14ac:dyDescent="0.35">
      <c r="A80" s="75">
        <v>18</v>
      </c>
      <c r="B80" s="50" t="s">
        <v>25</v>
      </c>
      <c r="C80" s="82">
        <f t="shared" si="16"/>
        <v>0.2682926829268294</v>
      </c>
      <c r="D80" s="4">
        <f t="shared" si="16"/>
        <v>1</v>
      </c>
      <c r="E80" s="31">
        <f t="shared" si="16"/>
        <v>2.1108179419525065E-2</v>
      </c>
      <c r="F80" s="28">
        <f t="shared" si="16"/>
        <v>0</v>
      </c>
      <c r="G80" s="4">
        <f t="shared" si="16"/>
        <v>0.4</v>
      </c>
      <c r="H80" s="32">
        <f t="shared" si="15"/>
        <v>0.59313725490196068</v>
      </c>
      <c r="I80" s="33">
        <f t="shared" si="13"/>
        <v>0</v>
      </c>
      <c r="J80" s="128">
        <f>SUMPRODUCT(C80:I80,C$83:I$83)</f>
        <v>0.52600107335607671</v>
      </c>
      <c r="N80" s="61"/>
    </row>
    <row r="81" spans="1:14" x14ac:dyDescent="0.35">
      <c r="A81" s="75">
        <v>19</v>
      </c>
      <c r="B81" s="50" t="s">
        <v>26</v>
      </c>
      <c r="C81" s="82">
        <f t="shared" si="16"/>
        <v>0.39024390243902457</v>
      </c>
      <c r="D81" s="31">
        <f t="shared" si="16"/>
        <v>4.2810466150144345E-3</v>
      </c>
      <c r="E81" s="4">
        <f t="shared" si="16"/>
        <v>0</v>
      </c>
      <c r="F81" s="31">
        <f t="shared" si="16"/>
        <v>0.50220264317180596</v>
      </c>
      <c r="G81" s="4">
        <f t="shared" si="16"/>
        <v>1</v>
      </c>
      <c r="H81" s="32">
        <f t="shared" si="15"/>
        <v>5.0653594771241831E-2</v>
      </c>
      <c r="I81" s="32">
        <f t="shared" si="13"/>
        <v>0.45120457329522251</v>
      </c>
      <c r="J81" s="128">
        <f t="shared" si="10"/>
        <v>0.13652831114301783</v>
      </c>
      <c r="N81" s="61"/>
    </row>
    <row r="82" spans="1:14" x14ac:dyDescent="0.35">
      <c r="A82" s="76">
        <v>20</v>
      </c>
      <c r="B82" s="99" t="s">
        <v>27</v>
      </c>
      <c r="C82" s="125">
        <f t="shared" si="16"/>
        <v>0.41463414634146351</v>
      </c>
      <c r="D82" s="110">
        <f t="shared" si="16"/>
        <v>2.2857128492227031E-2</v>
      </c>
      <c r="E82" s="110">
        <f t="shared" si="16"/>
        <v>1.0554089709762533E-2</v>
      </c>
      <c r="F82" s="110">
        <f t="shared" si="16"/>
        <v>0.2202643171806167</v>
      </c>
      <c r="G82" s="21">
        <f t="shared" si="16"/>
        <v>1</v>
      </c>
      <c r="H82" s="32">
        <f t="shared" si="15"/>
        <v>0.40004985044865399</v>
      </c>
      <c r="I82" s="126">
        <f t="shared" si="13"/>
        <v>9.1164095371669029E-2</v>
      </c>
      <c r="J82" s="129">
        <f>SUMPRODUCT(C82:I82,C$83:I$83)</f>
        <v>0.15965155279782609</v>
      </c>
      <c r="N82" s="61"/>
    </row>
    <row r="83" spans="1:14" x14ac:dyDescent="0.35">
      <c r="A83" s="60"/>
      <c r="B83" s="325" t="s">
        <v>41</v>
      </c>
      <c r="C83" s="122">
        <f>C31/SUM($C$31:$I$31)</f>
        <v>3.0679241315652445E-2</v>
      </c>
      <c r="D83" s="123">
        <f>D31/SUM($C$31:$I$31)</f>
        <v>0.429682551940197</v>
      </c>
      <c r="E83" s="123">
        <f t="shared" ref="E83:I83" si="17">E31/SUM($C$31:$I$31)</f>
        <v>0.33107405608703888</v>
      </c>
      <c r="F83" s="123">
        <f t="shared" si="17"/>
        <v>1.2210448323974598E-2</v>
      </c>
      <c r="G83" s="123">
        <f t="shared" si="17"/>
        <v>0.10105468538410065</v>
      </c>
      <c r="H83" s="123">
        <f t="shared" si="17"/>
        <v>6.857984452383091E-2</v>
      </c>
      <c r="I83" s="124">
        <f t="shared" si="17"/>
        <v>2.6719172425205634E-2</v>
      </c>
      <c r="J83" s="45"/>
      <c r="N83" s="61"/>
    </row>
    <row r="84" spans="1:14" x14ac:dyDescent="0.35">
      <c r="A84" s="60"/>
      <c r="B84" s="158"/>
      <c r="C84" s="40"/>
      <c r="D84" s="40"/>
      <c r="E84" s="40"/>
      <c r="F84" s="40"/>
      <c r="G84" s="40"/>
      <c r="H84" s="40"/>
      <c r="I84" s="40"/>
      <c r="J84" s="45"/>
      <c r="N84" s="61"/>
    </row>
    <row r="85" spans="1:14" s="427" customFormat="1" ht="15.5" x14ac:dyDescent="0.35">
      <c r="A85" s="588" t="s">
        <v>47</v>
      </c>
      <c r="B85" s="589"/>
      <c r="C85" s="589"/>
      <c r="D85" s="589"/>
      <c r="E85" s="589"/>
      <c r="F85" s="426"/>
      <c r="G85" s="426"/>
      <c r="H85" s="426"/>
      <c r="I85" s="426"/>
      <c r="J85" s="426"/>
      <c r="N85" s="428"/>
    </row>
    <row r="87" spans="1:14" x14ac:dyDescent="0.35">
      <c r="B87" s="177" t="s">
        <v>0</v>
      </c>
      <c r="C87" s="178" t="s">
        <v>48</v>
      </c>
      <c r="D87" s="17" t="s">
        <v>49</v>
      </c>
    </row>
    <row r="88" spans="1:14" x14ac:dyDescent="0.35">
      <c r="B88" s="316" t="s">
        <v>25</v>
      </c>
      <c r="C88" s="201">
        <v>0.52600107335607671</v>
      </c>
      <c r="D88" s="87">
        <f t="shared" ref="D88:D107" si="18">_xlfn.RANK.AVG(C88,C$88:C$107)</f>
        <v>1</v>
      </c>
      <c r="J88" s="45"/>
      <c r="K88" s="45"/>
    </row>
    <row r="89" spans="1:14" x14ac:dyDescent="0.35">
      <c r="B89" s="50" t="s">
        <v>13</v>
      </c>
      <c r="C89" s="202">
        <v>0.47211888988245077</v>
      </c>
      <c r="D89" s="100">
        <f t="shared" si="18"/>
        <v>2</v>
      </c>
      <c r="J89" s="45"/>
      <c r="K89" s="45"/>
    </row>
    <row r="90" spans="1:14" x14ac:dyDescent="0.35">
      <c r="B90" s="49" t="s">
        <v>8</v>
      </c>
      <c r="C90" s="202">
        <v>0.40110095236749438</v>
      </c>
      <c r="D90" s="100">
        <f t="shared" si="18"/>
        <v>3</v>
      </c>
      <c r="J90" s="45"/>
      <c r="K90" s="45"/>
    </row>
    <row r="91" spans="1:14" x14ac:dyDescent="0.35">
      <c r="B91" s="49" t="s">
        <v>9</v>
      </c>
      <c r="C91" s="203">
        <v>0.24663655583803171</v>
      </c>
      <c r="D91" s="100">
        <f t="shared" si="18"/>
        <v>4</v>
      </c>
      <c r="J91" s="45"/>
      <c r="K91" s="45"/>
    </row>
    <row r="92" spans="1:14" x14ac:dyDescent="0.35">
      <c r="B92" s="49" t="s">
        <v>10</v>
      </c>
      <c r="C92" s="203">
        <v>0.20651741073010801</v>
      </c>
      <c r="D92" s="100">
        <f t="shared" si="18"/>
        <v>5</v>
      </c>
      <c r="J92" s="45"/>
      <c r="K92" s="45"/>
    </row>
    <row r="93" spans="1:14" x14ac:dyDescent="0.35">
      <c r="B93" s="317" t="s">
        <v>21</v>
      </c>
      <c r="C93" s="203">
        <v>0.19394347019328934</v>
      </c>
      <c r="D93" s="100">
        <f t="shared" si="18"/>
        <v>6</v>
      </c>
      <c r="J93" s="45"/>
      <c r="K93" s="45"/>
    </row>
    <row r="94" spans="1:14" x14ac:dyDescent="0.35">
      <c r="B94" s="50" t="s">
        <v>24</v>
      </c>
      <c r="C94" s="203">
        <v>0.19344883404270352</v>
      </c>
      <c r="D94" s="100">
        <f t="shared" si="18"/>
        <v>7</v>
      </c>
      <c r="J94" s="45"/>
      <c r="K94" s="45"/>
    </row>
    <row r="95" spans="1:14" x14ac:dyDescent="0.35">
      <c r="B95" s="52" t="s">
        <v>22</v>
      </c>
      <c r="C95" s="319">
        <v>0.18807806610514055</v>
      </c>
      <c r="D95" s="100">
        <f t="shared" si="18"/>
        <v>8</v>
      </c>
      <c r="J95" s="45"/>
      <c r="K95" s="45"/>
    </row>
    <row r="96" spans="1:14" x14ac:dyDescent="0.35">
      <c r="B96" s="185" t="s">
        <v>12</v>
      </c>
      <c r="C96" s="319">
        <v>0.17688682359859412</v>
      </c>
      <c r="D96" s="100">
        <f t="shared" si="18"/>
        <v>9</v>
      </c>
      <c r="J96" s="45"/>
      <c r="K96" s="45"/>
    </row>
    <row r="97" spans="2:11" x14ac:dyDescent="0.35">
      <c r="B97" s="52" t="s">
        <v>27</v>
      </c>
      <c r="C97" s="319">
        <v>0.15965155279782609</v>
      </c>
      <c r="D97" s="100">
        <f t="shared" si="18"/>
        <v>10</v>
      </c>
      <c r="J97" s="45"/>
      <c r="K97" s="45"/>
    </row>
    <row r="98" spans="2:11" x14ac:dyDescent="0.35">
      <c r="B98" s="52" t="s">
        <v>19</v>
      </c>
      <c r="C98" s="319">
        <v>0.1535809898155788</v>
      </c>
      <c r="D98" s="100">
        <f t="shared" si="18"/>
        <v>11</v>
      </c>
      <c r="J98" s="45"/>
      <c r="K98" s="45"/>
    </row>
    <row r="99" spans="2:11" x14ac:dyDescent="0.35">
      <c r="B99" s="53" t="s">
        <v>26</v>
      </c>
      <c r="C99" s="319">
        <v>0.13652831114301783</v>
      </c>
      <c r="D99" s="100">
        <f t="shared" si="18"/>
        <v>12</v>
      </c>
      <c r="J99" s="45"/>
      <c r="K99" s="45"/>
    </row>
    <row r="100" spans="2:11" x14ac:dyDescent="0.35">
      <c r="B100" s="49" t="s">
        <v>11</v>
      </c>
      <c r="C100" s="319">
        <v>0.13310715153703909</v>
      </c>
      <c r="D100" s="100">
        <f t="shared" si="18"/>
        <v>13</v>
      </c>
      <c r="J100" s="45"/>
      <c r="K100" s="45"/>
    </row>
    <row r="101" spans="2:11" x14ac:dyDescent="0.35">
      <c r="B101" s="52" t="s">
        <v>15</v>
      </c>
      <c r="C101" s="319">
        <v>0.11035701150321557</v>
      </c>
      <c r="D101" s="100">
        <f t="shared" si="18"/>
        <v>14</v>
      </c>
      <c r="J101" s="45"/>
      <c r="K101" s="45"/>
    </row>
    <row r="102" spans="2:11" x14ac:dyDescent="0.35">
      <c r="B102" s="53" t="s">
        <v>23</v>
      </c>
      <c r="C102" s="319">
        <v>0.10877743602481338</v>
      </c>
      <c r="D102" s="100">
        <f t="shared" si="18"/>
        <v>15</v>
      </c>
      <c r="J102" s="45"/>
      <c r="K102" s="45"/>
    </row>
    <row r="103" spans="2:11" x14ac:dyDescent="0.35">
      <c r="B103" s="50" t="s">
        <v>18</v>
      </c>
      <c r="C103" s="319">
        <v>0.10608469312409391</v>
      </c>
      <c r="D103" s="100">
        <f t="shared" si="18"/>
        <v>16</v>
      </c>
      <c r="J103" s="45"/>
      <c r="K103" s="45"/>
    </row>
    <row r="104" spans="2:11" x14ac:dyDescent="0.35">
      <c r="B104" s="50" t="s">
        <v>20</v>
      </c>
      <c r="C104" s="319">
        <v>0.10117925830165744</v>
      </c>
      <c r="D104" s="100">
        <f t="shared" si="18"/>
        <v>17</v>
      </c>
      <c r="J104" s="45"/>
      <c r="K104" s="45"/>
    </row>
    <row r="105" spans="2:11" x14ac:dyDescent="0.35">
      <c r="B105" s="50" t="s">
        <v>17</v>
      </c>
      <c r="C105" s="319">
        <v>8.2703292187294386E-2</v>
      </c>
      <c r="D105" s="100">
        <f t="shared" si="18"/>
        <v>18</v>
      </c>
      <c r="J105" s="45"/>
      <c r="K105" s="45"/>
    </row>
    <row r="106" spans="2:11" x14ac:dyDescent="0.35">
      <c r="B106" s="50" t="s">
        <v>16</v>
      </c>
      <c r="C106" s="319">
        <v>6.2950263858956967E-2</v>
      </c>
      <c r="D106" s="100">
        <f t="shared" si="18"/>
        <v>19</v>
      </c>
      <c r="J106" s="45"/>
      <c r="K106" s="45"/>
    </row>
    <row r="107" spans="2:11" x14ac:dyDescent="0.35">
      <c r="B107" s="99" t="s">
        <v>14</v>
      </c>
      <c r="C107" s="318">
        <v>3.3832808434846928E-2</v>
      </c>
      <c r="D107" s="101">
        <f t="shared" si="18"/>
        <v>20</v>
      </c>
      <c r="J107" s="45"/>
      <c r="K107" s="45"/>
    </row>
    <row r="109" spans="2:11" x14ac:dyDescent="0.35">
      <c r="B109" s="153" t="s">
        <v>39</v>
      </c>
      <c r="C109" s="127">
        <f>AVERAGE(C88:C107)</f>
        <v>0.18967424224211143</v>
      </c>
    </row>
    <row r="110" spans="2:11" x14ac:dyDescent="0.35">
      <c r="B110" s="326" t="s">
        <v>38</v>
      </c>
      <c r="C110" s="128">
        <f>_xlfn.STDEV.S(C88:C107)</f>
        <v>0.13158741588241243</v>
      </c>
    </row>
    <row r="111" spans="2:11" x14ac:dyDescent="0.35">
      <c r="B111" s="326" t="s">
        <v>50</v>
      </c>
      <c r="C111" s="128">
        <f>C109+C110</f>
        <v>0.3212616581245239</v>
      </c>
    </row>
    <row r="112" spans="2:11" x14ac:dyDescent="0.35">
      <c r="B112" s="154" t="s">
        <v>51</v>
      </c>
      <c r="C112" s="129">
        <f>C109-C110</f>
        <v>5.8086826359699001E-2</v>
      </c>
    </row>
    <row r="113" spans="6:6" x14ac:dyDescent="0.35">
      <c r="F113" s="46"/>
    </row>
  </sheetData>
  <autoFilter ref="B87:D107" xr:uid="{5BB61893-6E1F-49C2-B2EF-14FAFE3D9E2A}">
    <sortState xmlns:xlrd2="http://schemas.microsoft.com/office/spreadsheetml/2017/richdata2" ref="B88:D107">
      <sortCondition descending="1" ref="C87:C107"/>
    </sortState>
  </autoFilter>
  <sortState xmlns:xlrd2="http://schemas.microsoft.com/office/spreadsheetml/2017/richdata2" ref="J10:K28">
    <sortCondition descending="1" ref="J10:J28"/>
  </sortState>
  <mergeCells count="10">
    <mergeCell ref="N6:U7"/>
    <mergeCell ref="C5:F7"/>
    <mergeCell ref="G5:H7"/>
    <mergeCell ref="I5:I7"/>
    <mergeCell ref="A5:B7"/>
    <mergeCell ref="F1:I3"/>
    <mergeCell ref="A1:E3"/>
    <mergeCell ref="A85:E85"/>
    <mergeCell ref="A34:K34"/>
    <mergeCell ref="A60:I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F8B6-262F-4DC9-96CD-7DA4C382C12F}">
  <dimension ref="A1:L128"/>
  <sheetViews>
    <sheetView zoomScaleNormal="100" workbookViewId="0">
      <selection activeCell="R37" sqref="R37"/>
    </sheetView>
  </sheetViews>
  <sheetFormatPr defaultColWidth="9.08984375" defaultRowHeight="14.5" x14ac:dyDescent="0.35"/>
  <cols>
    <col min="1" max="1" width="5" style="12" customWidth="1"/>
    <col min="2" max="2" width="28.90625" style="12" customWidth="1"/>
    <col min="3" max="9" width="20.6328125" style="12" customWidth="1"/>
    <col min="10" max="10" width="15" style="12" customWidth="1"/>
    <col min="11" max="11" width="5.36328125" style="12" customWidth="1"/>
    <col min="12" max="16384" width="9.08984375" style="12"/>
  </cols>
  <sheetData>
    <row r="1" spans="1:11" x14ac:dyDescent="0.35">
      <c r="A1" s="36"/>
      <c r="B1" s="37"/>
      <c r="C1" s="598" t="s">
        <v>29</v>
      </c>
      <c r="D1" s="599"/>
      <c r="E1" s="599"/>
      <c r="F1" s="600"/>
      <c r="G1" s="607" t="s">
        <v>30</v>
      </c>
      <c r="H1" s="607"/>
      <c r="I1" s="613" t="s">
        <v>31</v>
      </c>
      <c r="J1" s="102" t="s">
        <v>32</v>
      </c>
      <c r="K1" s="103">
        <v>110</v>
      </c>
    </row>
    <row r="2" spans="1:11" x14ac:dyDescent="0.35">
      <c r="A2" s="36"/>
      <c r="B2" s="37"/>
      <c r="C2" s="601"/>
      <c r="D2" s="602"/>
      <c r="E2" s="602"/>
      <c r="F2" s="603"/>
      <c r="G2" s="608"/>
      <c r="H2" s="608"/>
      <c r="I2" s="614"/>
      <c r="J2" s="26" t="s">
        <v>33</v>
      </c>
      <c r="K2" s="104">
        <v>130</v>
      </c>
    </row>
    <row r="3" spans="1:11" x14ac:dyDescent="0.35">
      <c r="A3" s="36"/>
      <c r="B3" s="37"/>
      <c r="C3" s="601"/>
      <c r="D3" s="602"/>
      <c r="E3" s="602"/>
      <c r="F3" s="603"/>
      <c r="G3" s="608"/>
      <c r="H3" s="608"/>
      <c r="I3" s="615"/>
      <c r="J3" s="27" t="s">
        <v>35</v>
      </c>
      <c r="K3" s="105">
        <v>65</v>
      </c>
    </row>
    <row r="4" spans="1:11" ht="34.5" customHeight="1" x14ac:dyDescent="0.35">
      <c r="A4" s="57" t="s">
        <v>36</v>
      </c>
      <c r="B4" s="65" t="s">
        <v>0</v>
      </c>
      <c r="C4" s="96" t="s">
        <v>1</v>
      </c>
      <c r="D4" s="96" t="s">
        <v>2</v>
      </c>
      <c r="E4" s="96" t="s">
        <v>3</v>
      </c>
      <c r="F4" s="96" t="s">
        <v>4</v>
      </c>
      <c r="G4" s="97" t="s">
        <v>5</v>
      </c>
      <c r="H4" s="97" t="s">
        <v>6</v>
      </c>
      <c r="I4" s="132" t="s">
        <v>7</v>
      </c>
    </row>
    <row r="5" spans="1:11" x14ac:dyDescent="0.35">
      <c r="A5" s="58">
        <v>1</v>
      </c>
      <c r="B5" s="72" t="s">
        <v>8</v>
      </c>
      <c r="C5" s="69">
        <v>8.1999999999999993</v>
      </c>
      <c r="D5" s="8">
        <f>837186610/160000000</f>
        <v>5.2324163124999998</v>
      </c>
      <c r="E5" s="70">
        <v>379</v>
      </c>
      <c r="F5" s="13">
        <v>8.42</v>
      </c>
      <c r="G5" s="13">
        <v>6</v>
      </c>
      <c r="H5" s="70">
        <v>166</v>
      </c>
      <c r="I5" s="14">
        <v>148</v>
      </c>
    </row>
    <row r="6" spans="1:11" x14ac:dyDescent="0.35">
      <c r="A6" s="58">
        <v>2</v>
      </c>
      <c r="B6" s="49" t="s">
        <v>9</v>
      </c>
      <c r="C6" s="90">
        <v>8.1999999999999993</v>
      </c>
      <c r="D6" s="6">
        <f>294805697/80000000</f>
        <v>3.6850712125</v>
      </c>
      <c r="E6" s="7">
        <v>77</v>
      </c>
      <c r="F6" s="5">
        <v>8.23</v>
      </c>
      <c r="G6" s="5">
        <v>1</v>
      </c>
      <c r="H6" s="7">
        <v>116</v>
      </c>
      <c r="I6" s="48">
        <v>138</v>
      </c>
    </row>
    <row r="7" spans="1:11" x14ac:dyDescent="0.35">
      <c r="A7" s="58">
        <v>3</v>
      </c>
      <c r="B7" s="49" t="s">
        <v>10</v>
      </c>
      <c r="C7" s="71">
        <v>7.8</v>
      </c>
      <c r="D7" s="3">
        <f>96822421/13000000</f>
        <v>7.4478785384615387</v>
      </c>
      <c r="E7" s="1">
        <v>9</v>
      </c>
      <c r="F7" s="1">
        <v>7.67</v>
      </c>
      <c r="G7" s="1">
        <v>2</v>
      </c>
      <c r="H7" s="2">
        <v>30</v>
      </c>
      <c r="I7" s="48">
        <v>113</v>
      </c>
    </row>
    <row r="8" spans="1:11" x14ac:dyDescent="0.35">
      <c r="A8" s="58">
        <v>4</v>
      </c>
      <c r="B8" s="49" t="s">
        <v>11</v>
      </c>
      <c r="C8" s="71">
        <v>6.7</v>
      </c>
      <c r="D8" s="3">
        <f>760006945/125000000</f>
        <v>6.0800555599999999</v>
      </c>
      <c r="E8" s="1">
        <v>29</v>
      </c>
      <c r="F8" s="1">
        <v>7.6300000000000008</v>
      </c>
      <c r="G8" s="1">
        <v>2</v>
      </c>
      <c r="H8" s="2">
        <v>99</v>
      </c>
      <c r="I8" s="48">
        <v>149</v>
      </c>
    </row>
    <row r="9" spans="1:11" x14ac:dyDescent="0.35">
      <c r="A9" s="58">
        <v>5</v>
      </c>
      <c r="B9" s="49" t="s">
        <v>12</v>
      </c>
      <c r="C9" s="71">
        <v>8.1</v>
      </c>
      <c r="D9" s="3">
        <f>109676311/40000000</f>
        <v>2.741907775</v>
      </c>
      <c r="E9" s="1">
        <v>51</v>
      </c>
      <c r="F9" s="3">
        <v>8.3000000000000007</v>
      </c>
      <c r="G9" s="1">
        <v>2</v>
      </c>
      <c r="H9" s="2">
        <v>83</v>
      </c>
      <c r="I9" s="48">
        <v>130</v>
      </c>
    </row>
    <row r="10" spans="1:11" x14ac:dyDescent="0.35">
      <c r="A10" s="58">
        <v>6</v>
      </c>
      <c r="B10" s="50" t="s">
        <v>13</v>
      </c>
      <c r="C10" s="91">
        <v>7.6</v>
      </c>
      <c r="D10" s="89">
        <v>6.87</v>
      </c>
      <c r="E10" s="34">
        <v>303</v>
      </c>
      <c r="F10" s="98">
        <v>8.8000000000000007</v>
      </c>
      <c r="G10" s="88">
        <v>1</v>
      </c>
      <c r="H10" s="2">
        <v>85</v>
      </c>
      <c r="I10" s="92">
        <v>122</v>
      </c>
    </row>
    <row r="11" spans="1:11" x14ac:dyDescent="0.35">
      <c r="A11" s="58">
        <v>7</v>
      </c>
      <c r="B11" s="50" t="s">
        <v>14</v>
      </c>
      <c r="C11" s="93">
        <v>4.3</v>
      </c>
      <c r="D11" s="20">
        <f>502153/12000000</f>
        <v>4.1846083333333332E-2</v>
      </c>
      <c r="E11" s="18">
        <v>0</v>
      </c>
      <c r="F11" s="20">
        <v>8</v>
      </c>
      <c r="G11" s="18">
        <v>6</v>
      </c>
      <c r="H11" s="34">
        <v>76</v>
      </c>
      <c r="I11" s="51">
        <v>89</v>
      </c>
    </row>
    <row r="12" spans="1:11" x14ac:dyDescent="0.35">
      <c r="A12" s="58">
        <v>8</v>
      </c>
      <c r="B12" s="52" t="s">
        <v>15</v>
      </c>
      <c r="C12" s="93">
        <v>5.2</v>
      </c>
      <c r="D12" s="20">
        <f>26857459/30000000</f>
        <v>0.89524863333333338</v>
      </c>
      <c r="E12" s="18">
        <v>3</v>
      </c>
      <c r="F12" s="20">
        <v>7.5</v>
      </c>
      <c r="G12" s="18">
        <v>3</v>
      </c>
      <c r="H12" s="34">
        <v>40</v>
      </c>
      <c r="I12" s="51">
        <v>107</v>
      </c>
    </row>
    <row r="13" spans="1:11" x14ac:dyDescent="0.35">
      <c r="A13" s="58">
        <v>9</v>
      </c>
      <c r="B13" s="52" t="s">
        <v>16</v>
      </c>
      <c r="C13" s="93">
        <v>5.3</v>
      </c>
      <c r="D13" s="20">
        <f>38629478/70000000</f>
        <v>0.55184968571428572</v>
      </c>
      <c r="E13" s="18">
        <v>7</v>
      </c>
      <c r="F13" s="20">
        <v>7.13</v>
      </c>
      <c r="G13" s="18">
        <v>4</v>
      </c>
      <c r="H13" s="34">
        <v>120</v>
      </c>
      <c r="I13" s="51">
        <v>114</v>
      </c>
    </row>
    <row r="14" spans="1:11" x14ac:dyDescent="0.35">
      <c r="A14" s="58">
        <v>10</v>
      </c>
      <c r="B14" s="52" t="s">
        <v>17</v>
      </c>
      <c r="C14" s="93">
        <v>4.0999999999999996</v>
      </c>
      <c r="D14" s="18">
        <v>1.88</v>
      </c>
      <c r="E14" s="18">
        <v>12</v>
      </c>
      <c r="F14" s="20">
        <v>7.13</v>
      </c>
      <c r="G14" s="18">
        <v>3</v>
      </c>
      <c r="H14" s="34">
        <v>70</v>
      </c>
      <c r="I14" s="51">
        <v>105</v>
      </c>
    </row>
    <row r="15" spans="1:11" x14ac:dyDescent="0.35">
      <c r="A15" s="58">
        <v>11</v>
      </c>
      <c r="B15" s="52" t="s">
        <v>18</v>
      </c>
      <c r="C15" s="93">
        <v>6.6</v>
      </c>
      <c r="D15" s="20">
        <f>278346189/100000000</f>
        <v>2.7834618899999999</v>
      </c>
      <c r="E15" s="18">
        <v>6</v>
      </c>
      <c r="F15" s="20">
        <v>7.33</v>
      </c>
      <c r="G15" s="18">
        <v>3</v>
      </c>
      <c r="H15" s="34">
        <v>58</v>
      </c>
      <c r="I15" s="51">
        <v>103</v>
      </c>
    </row>
    <row r="16" spans="1:11" x14ac:dyDescent="0.35">
      <c r="A16" s="58">
        <v>12</v>
      </c>
      <c r="B16" s="53" t="s">
        <v>19</v>
      </c>
      <c r="C16" s="93">
        <v>4.8</v>
      </c>
      <c r="D16" s="18">
        <v>0.81</v>
      </c>
      <c r="E16" s="18">
        <v>11</v>
      </c>
      <c r="F16" s="20">
        <v>6.73</v>
      </c>
      <c r="G16" s="18">
        <v>1</v>
      </c>
      <c r="H16" s="34">
        <v>90</v>
      </c>
      <c r="I16" s="51">
        <v>105</v>
      </c>
    </row>
    <row r="17" spans="1:9" x14ac:dyDescent="0.35">
      <c r="A17" s="58">
        <v>13</v>
      </c>
      <c r="B17" s="50" t="s">
        <v>20</v>
      </c>
      <c r="C17" s="93">
        <v>5.3</v>
      </c>
      <c r="D17" s="20">
        <f>163403799/48000000</f>
        <v>3.4042458125000001</v>
      </c>
      <c r="E17" s="18">
        <v>5</v>
      </c>
      <c r="F17" s="94">
        <v>6.57</v>
      </c>
      <c r="G17" s="18">
        <v>2</v>
      </c>
      <c r="H17" s="34">
        <v>60</v>
      </c>
      <c r="I17" s="51">
        <v>90</v>
      </c>
    </row>
    <row r="18" spans="1:9" ht="15" customHeight="1" x14ac:dyDescent="0.35">
      <c r="A18" s="58">
        <v>14</v>
      </c>
      <c r="B18" s="54" t="s">
        <v>21</v>
      </c>
      <c r="C18" s="93">
        <v>6.2</v>
      </c>
      <c r="D18" s="20">
        <f>256697520/60000000</f>
        <v>4.2782920000000004</v>
      </c>
      <c r="E18" s="18">
        <v>6</v>
      </c>
      <c r="F18" s="20">
        <v>7.33</v>
      </c>
      <c r="G18" s="18">
        <v>1</v>
      </c>
      <c r="H18" s="34">
        <v>60</v>
      </c>
      <c r="I18" s="51">
        <v>108</v>
      </c>
    </row>
    <row r="19" spans="1:9" x14ac:dyDescent="0.35">
      <c r="A19" s="58">
        <v>15</v>
      </c>
      <c r="B19" s="53" t="s">
        <v>22</v>
      </c>
      <c r="C19" s="93">
        <v>5.9</v>
      </c>
      <c r="D19" s="20">
        <f>9479718/22000000</f>
        <v>0.43089627272727271</v>
      </c>
      <c r="E19" s="18">
        <v>1</v>
      </c>
      <c r="F19" s="20">
        <v>7.03</v>
      </c>
      <c r="G19" s="18">
        <v>1</v>
      </c>
      <c r="H19" s="34">
        <v>40</v>
      </c>
      <c r="I19" s="51">
        <v>105</v>
      </c>
    </row>
    <row r="20" spans="1:9" x14ac:dyDescent="0.35">
      <c r="A20" s="58">
        <v>16</v>
      </c>
      <c r="B20" s="50" t="s">
        <v>23</v>
      </c>
      <c r="C20" s="93">
        <v>5.8</v>
      </c>
      <c r="D20" s="20">
        <f>67876281/20000000</f>
        <v>3.39381405</v>
      </c>
      <c r="E20" s="18">
        <v>4</v>
      </c>
      <c r="F20" s="20">
        <v>7.53</v>
      </c>
      <c r="G20" s="18">
        <v>2</v>
      </c>
      <c r="H20" s="34">
        <v>90</v>
      </c>
      <c r="I20" s="51">
        <v>105</v>
      </c>
    </row>
    <row r="21" spans="1:9" x14ac:dyDescent="0.35">
      <c r="A21" s="58">
        <v>17</v>
      </c>
      <c r="B21" s="50" t="s">
        <v>24</v>
      </c>
      <c r="C21" s="93">
        <v>5.5</v>
      </c>
      <c r="D21" s="20">
        <f>966458/4000000</f>
        <v>0.24161450000000001</v>
      </c>
      <c r="E21" s="18">
        <v>1</v>
      </c>
      <c r="F21" s="20">
        <v>7.07</v>
      </c>
      <c r="G21" s="18">
        <v>1</v>
      </c>
      <c r="H21" s="34">
        <v>30</v>
      </c>
      <c r="I21" s="51">
        <v>92</v>
      </c>
    </row>
    <row r="22" spans="1:9" x14ac:dyDescent="0.35">
      <c r="A22" s="58">
        <v>18</v>
      </c>
      <c r="B22" s="50" t="s">
        <v>25</v>
      </c>
      <c r="C22" s="93">
        <v>5.2</v>
      </c>
      <c r="D22" s="20">
        <f>54667954/500000</f>
        <v>109.335908</v>
      </c>
      <c r="E22" s="18">
        <v>8</v>
      </c>
      <c r="F22" s="20">
        <v>6.53</v>
      </c>
      <c r="G22" s="18">
        <v>2</v>
      </c>
      <c r="H22" s="34">
        <v>45</v>
      </c>
      <c r="I22" s="51">
        <v>79</v>
      </c>
    </row>
    <row r="23" spans="1:9" x14ac:dyDescent="0.35">
      <c r="A23" s="58">
        <v>19</v>
      </c>
      <c r="B23" s="50" t="s">
        <v>26</v>
      </c>
      <c r="C23" s="93">
        <v>5.7</v>
      </c>
      <c r="D23" s="20">
        <f>17840867/35000000</f>
        <v>0.50973905714285717</v>
      </c>
      <c r="E23" s="18">
        <v>0</v>
      </c>
      <c r="F23" s="20">
        <v>7.67</v>
      </c>
      <c r="G23" s="18">
        <v>1</v>
      </c>
      <c r="H23" s="34">
        <v>135</v>
      </c>
      <c r="I23" s="51">
        <v>96</v>
      </c>
    </row>
    <row r="24" spans="1:9" x14ac:dyDescent="0.35">
      <c r="A24" s="59">
        <v>20</v>
      </c>
      <c r="B24" s="99" t="s">
        <v>27</v>
      </c>
      <c r="C24" s="95">
        <v>5.8</v>
      </c>
      <c r="D24" s="56">
        <f>25399945/10000000</f>
        <v>2.5399945000000002</v>
      </c>
      <c r="E24" s="55">
        <v>4</v>
      </c>
      <c r="F24" s="56">
        <v>7.03</v>
      </c>
      <c r="G24" s="55">
        <v>1</v>
      </c>
      <c r="H24" s="133">
        <v>59</v>
      </c>
      <c r="I24" s="134">
        <v>83</v>
      </c>
    </row>
    <row r="25" spans="1:9" x14ac:dyDescent="0.35">
      <c r="A25" s="38"/>
    </row>
    <row r="26" spans="1:9" s="415" customFormat="1" ht="15.5" x14ac:dyDescent="0.35">
      <c r="A26" s="590" t="s">
        <v>42</v>
      </c>
      <c r="B26" s="591"/>
      <c r="C26" s="591"/>
      <c r="D26" s="591"/>
      <c r="E26" s="591"/>
      <c r="F26" s="591"/>
      <c r="G26" s="591"/>
      <c r="H26" s="591"/>
      <c r="I26" s="591"/>
    </row>
    <row r="27" spans="1:9" x14ac:dyDescent="0.35">
      <c r="A27" s="38"/>
    </row>
    <row r="28" spans="1:9" ht="29" x14ac:dyDescent="0.35">
      <c r="A28" s="22" t="s">
        <v>36</v>
      </c>
      <c r="B28" s="65" t="s">
        <v>0</v>
      </c>
      <c r="C28" s="65" t="s">
        <v>1</v>
      </c>
      <c r="D28" s="65" t="s">
        <v>2</v>
      </c>
      <c r="E28" s="65" t="s">
        <v>3</v>
      </c>
      <c r="F28" s="65" t="s">
        <v>4</v>
      </c>
      <c r="G28" s="65" t="s">
        <v>5</v>
      </c>
      <c r="H28" s="65" t="s">
        <v>6</v>
      </c>
      <c r="I28" s="73" t="s">
        <v>7</v>
      </c>
    </row>
    <row r="29" spans="1:9" x14ac:dyDescent="0.35">
      <c r="A29" s="58">
        <v>1</v>
      </c>
      <c r="B29" s="72" t="s">
        <v>8</v>
      </c>
      <c r="C29" s="69">
        <v>8.1999999999999993</v>
      </c>
      <c r="D29" s="8">
        <f>837186610/160000000</f>
        <v>5.2324163124999998</v>
      </c>
      <c r="E29" s="70">
        <v>379</v>
      </c>
      <c r="F29" s="70">
        <v>8.42</v>
      </c>
      <c r="G29" s="25">
        <f>1/G5</f>
        <v>0.16666666666666666</v>
      </c>
      <c r="H29" s="86">
        <f>1/H5</f>
        <v>6.024096385542169E-3</v>
      </c>
      <c r="I29" s="79">
        <f>IF(I5&lt;K$1,1/(K$1-I5+K$3),IF(I5&gt;K$2,1/(I5-K$2+K$3),1/K$3))</f>
        <v>1.2048192771084338E-2</v>
      </c>
    </row>
    <row r="30" spans="1:9" x14ac:dyDescent="0.35">
      <c r="A30" s="58">
        <v>2</v>
      </c>
      <c r="B30" s="49" t="s">
        <v>9</v>
      </c>
      <c r="C30" s="90">
        <v>8.1999999999999993</v>
      </c>
      <c r="D30" s="6">
        <f>294805697/80000000</f>
        <v>3.6850712125</v>
      </c>
      <c r="E30" s="7">
        <v>77</v>
      </c>
      <c r="F30" s="7">
        <v>8.23</v>
      </c>
      <c r="G30" s="157">
        <f t="shared" ref="G30:H48" si="0">1/G6</f>
        <v>1</v>
      </c>
      <c r="H30" s="429">
        <f t="shared" si="0"/>
        <v>8.6206896551724137E-3</v>
      </c>
      <c r="I30" s="108">
        <f t="shared" ref="I30:I48" si="1">IF(I6&lt;K$1,1/(K$1-I6+K$3),IF(I6&gt;K$2,1/(I6-K$2+K$3),1/K$3))</f>
        <v>1.3698630136986301E-2</v>
      </c>
    </row>
    <row r="31" spans="1:9" x14ac:dyDescent="0.35">
      <c r="A31" s="58">
        <v>3</v>
      </c>
      <c r="B31" s="49" t="s">
        <v>10</v>
      </c>
      <c r="C31" s="71">
        <v>7.8</v>
      </c>
      <c r="D31" s="3">
        <f>96822421/13000000</f>
        <v>7.4478785384615387</v>
      </c>
      <c r="E31" s="1">
        <v>9</v>
      </c>
      <c r="F31" s="2">
        <v>7.67</v>
      </c>
      <c r="G31" s="381">
        <f t="shared" si="0"/>
        <v>0.5</v>
      </c>
      <c r="H31" s="429">
        <f t="shared" si="0"/>
        <v>3.3333333333333333E-2</v>
      </c>
      <c r="I31" s="108">
        <f t="shared" si="1"/>
        <v>1.5384615384615385E-2</v>
      </c>
    </row>
    <row r="32" spans="1:9" x14ac:dyDescent="0.35">
      <c r="A32" s="58">
        <v>4</v>
      </c>
      <c r="B32" s="49" t="s">
        <v>11</v>
      </c>
      <c r="C32" s="71">
        <v>6.7</v>
      </c>
      <c r="D32" s="3">
        <f>760006945/125000000</f>
        <v>6.0800555599999999</v>
      </c>
      <c r="E32" s="1">
        <v>29</v>
      </c>
      <c r="F32" s="2">
        <v>7.6300000000000008</v>
      </c>
      <c r="G32" s="381">
        <f t="shared" si="0"/>
        <v>0.5</v>
      </c>
      <c r="H32" s="429">
        <f t="shared" si="0"/>
        <v>1.0101010101010102E-2</v>
      </c>
      <c r="I32" s="108">
        <f t="shared" si="1"/>
        <v>1.1904761904761904E-2</v>
      </c>
    </row>
    <row r="33" spans="1:9" x14ac:dyDescent="0.35">
      <c r="A33" s="58">
        <v>5</v>
      </c>
      <c r="B33" s="49" t="s">
        <v>12</v>
      </c>
      <c r="C33" s="71">
        <v>8.1</v>
      </c>
      <c r="D33" s="3">
        <f>109676311/40000000</f>
        <v>2.741907775</v>
      </c>
      <c r="E33" s="1">
        <v>51</v>
      </c>
      <c r="F33" s="382">
        <v>8.3000000000000007</v>
      </c>
      <c r="G33" s="381">
        <f t="shared" si="0"/>
        <v>0.5</v>
      </c>
      <c r="H33" s="429">
        <f t="shared" si="0"/>
        <v>1.2048192771084338E-2</v>
      </c>
      <c r="I33" s="108">
        <f t="shared" si="1"/>
        <v>1.5384615384615385E-2</v>
      </c>
    </row>
    <row r="34" spans="1:9" x14ac:dyDescent="0.35">
      <c r="A34" s="58">
        <v>6</v>
      </c>
      <c r="B34" s="50" t="s">
        <v>13</v>
      </c>
      <c r="C34" s="91">
        <v>7.6</v>
      </c>
      <c r="D34" s="89">
        <v>6.87</v>
      </c>
      <c r="E34" s="34">
        <v>303</v>
      </c>
      <c r="F34" s="383">
        <v>8.8000000000000007</v>
      </c>
      <c r="G34" s="157">
        <f t="shared" si="0"/>
        <v>1</v>
      </c>
      <c r="H34" s="429">
        <f t="shared" si="0"/>
        <v>1.1764705882352941E-2</v>
      </c>
      <c r="I34" s="108">
        <f t="shared" si="1"/>
        <v>1.5384615384615385E-2</v>
      </c>
    </row>
    <row r="35" spans="1:9" x14ac:dyDescent="0.35">
      <c r="A35" s="58">
        <v>7</v>
      </c>
      <c r="B35" s="50" t="s">
        <v>14</v>
      </c>
      <c r="C35" s="93">
        <v>4.3</v>
      </c>
      <c r="D35" s="20">
        <f>502153/12000000</f>
        <v>4.1846083333333332E-2</v>
      </c>
      <c r="E35" s="18">
        <v>0</v>
      </c>
      <c r="F35" s="384">
        <v>8</v>
      </c>
      <c r="G35" s="30">
        <f t="shared" si="0"/>
        <v>0.16666666666666666</v>
      </c>
      <c r="H35" s="429">
        <f t="shared" si="0"/>
        <v>1.3157894736842105E-2</v>
      </c>
      <c r="I35" s="108">
        <f t="shared" si="1"/>
        <v>1.1627906976744186E-2</v>
      </c>
    </row>
    <row r="36" spans="1:9" x14ac:dyDescent="0.35">
      <c r="A36" s="58">
        <v>8</v>
      </c>
      <c r="B36" s="52" t="s">
        <v>15</v>
      </c>
      <c r="C36" s="93">
        <v>5.2</v>
      </c>
      <c r="D36" s="20">
        <f>26857459/30000000</f>
        <v>0.89524863333333338</v>
      </c>
      <c r="E36" s="18">
        <v>3</v>
      </c>
      <c r="F36" s="384">
        <v>7.5</v>
      </c>
      <c r="G36" s="30">
        <f t="shared" si="0"/>
        <v>0.33333333333333331</v>
      </c>
      <c r="H36" s="429">
        <f t="shared" si="0"/>
        <v>2.5000000000000001E-2</v>
      </c>
      <c r="I36" s="108">
        <f t="shared" si="1"/>
        <v>1.4705882352941176E-2</v>
      </c>
    </row>
    <row r="37" spans="1:9" x14ac:dyDescent="0.35">
      <c r="A37" s="58">
        <v>9</v>
      </c>
      <c r="B37" s="52" t="s">
        <v>16</v>
      </c>
      <c r="C37" s="93">
        <v>5.3</v>
      </c>
      <c r="D37" s="20">
        <f>38629478/70000000</f>
        <v>0.55184968571428572</v>
      </c>
      <c r="E37" s="18">
        <v>7</v>
      </c>
      <c r="F37" s="384">
        <v>7.13</v>
      </c>
      <c r="G37" s="3">
        <f t="shared" si="0"/>
        <v>0.25</v>
      </c>
      <c r="H37" s="429">
        <f t="shared" si="0"/>
        <v>8.3333333333333332E-3</v>
      </c>
      <c r="I37" s="108">
        <f t="shared" si="1"/>
        <v>1.5384615384615385E-2</v>
      </c>
    </row>
    <row r="38" spans="1:9" x14ac:dyDescent="0.35">
      <c r="A38" s="58">
        <v>10</v>
      </c>
      <c r="B38" s="52" t="s">
        <v>17</v>
      </c>
      <c r="C38" s="93">
        <v>4.0999999999999996</v>
      </c>
      <c r="D38" s="18">
        <v>1.88</v>
      </c>
      <c r="E38" s="18">
        <v>12</v>
      </c>
      <c r="F38" s="384">
        <v>7.13</v>
      </c>
      <c r="G38" s="30">
        <f t="shared" si="0"/>
        <v>0.33333333333333331</v>
      </c>
      <c r="H38" s="429">
        <f t="shared" si="0"/>
        <v>1.4285714285714285E-2</v>
      </c>
      <c r="I38" s="108">
        <f t="shared" si="1"/>
        <v>1.4285714285714285E-2</v>
      </c>
    </row>
    <row r="39" spans="1:9" x14ac:dyDescent="0.35">
      <c r="A39" s="58">
        <v>11</v>
      </c>
      <c r="B39" s="52" t="s">
        <v>18</v>
      </c>
      <c r="C39" s="93">
        <v>6.6</v>
      </c>
      <c r="D39" s="20">
        <f>278346189/100000000</f>
        <v>2.7834618899999999</v>
      </c>
      <c r="E39" s="18">
        <v>6</v>
      </c>
      <c r="F39" s="384">
        <v>7.33</v>
      </c>
      <c r="G39" s="30">
        <f t="shared" si="0"/>
        <v>0.33333333333333331</v>
      </c>
      <c r="H39" s="429">
        <f t="shared" si="0"/>
        <v>1.7241379310344827E-2</v>
      </c>
      <c r="I39" s="108">
        <f t="shared" si="1"/>
        <v>1.3888888888888888E-2</v>
      </c>
    </row>
    <row r="40" spans="1:9" x14ac:dyDescent="0.35">
      <c r="A40" s="58">
        <v>12</v>
      </c>
      <c r="B40" s="53" t="s">
        <v>19</v>
      </c>
      <c r="C40" s="93">
        <v>4.8</v>
      </c>
      <c r="D40" s="18">
        <v>0.81</v>
      </c>
      <c r="E40" s="18">
        <v>11</v>
      </c>
      <c r="F40" s="384">
        <v>6.73</v>
      </c>
      <c r="G40" s="157">
        <f t="shared" si="0"/>
        <v>1</v>
      </c>
      <c r="H40" s="429">
        <f t="shared" si="0"/>
        <v>1.1111111111111112E-2</v>
      </c>
      <c r="I40" s="108">
        <f t="shared" si="1"/>
        <v>1.4285714285714285E-2</v>
      </c>
    </row>
    <row r="41" spans="1:9" x14ac:dyDescent="0.35">
      <c r="A41" s="58">
        <v>13</v>
      </c>
      <c r="B41" s="50" t="s">
        <v>20</v>
      </c>
      <c r="C41" s="93">
        <v>5.3</v>
      </c>
      <c r="D41" s="20">
        <f>163403799/48000000</f>
        <v>3.4042458125000001</v>
      </c>
      <c r="E41" s="18">
        <v>5</v>
      </c>
      <c r="F41" s="94">
        <v>6.57</v>
      </c>
      <c r="G41" s="381">
        <f t="shared" si="0"/>
        <v>0.5</v>
      </c>
      <c r="H41" s="429">
        <f t="shared" si="0"/>
        <v>1.6666666666666666E-2</v>
      </c>
      <c r="I41" s="108">
        <f t="shared" si="1"/>
        <v>1.1764705882352941E-2</v>
      </c>
    </row>
    <row r="42" spans="1:9" x14ac:dyDescent="0.35">
      <c r="A42" s="58">
        <v>14</v>
      </c>
      <c r="B42" s="54" t="s">
        <v>21</v>
      </c>
      <c r="C42" s="93">
        <v>6.2</v>
      </c>
      <c r="D42" s="20">
        <f>256697520/60000000</f>
        <v>4.2782920000000004</v>
      </c>
      <c r="E42" s="18">
        <v>6</v>
      </c>
      <c r="F42" s="384">
        <v>7.33</v>
      </c>
      <c r="G42" s="157">
        <f t="shared" si="0"/>
        <v>1</v>
      </c>
      <c r="H42" s="429">
        <f t="shared" si="0"/>
        <v>1.6666666666666666E-2</v>
      </c>
      <c r="I42" s="108">
        <f t="shared" si="1"/>
        <v>1.4925373134328358E-2</v>
      </c>
    </row>
    <row r="43" spans="1:9" x14ac:dyDescent="0.35">
      <c r="A43" s="58">
        <v>15</v>
      </c>
      <c r="B43" s="53" t="s">
        <v>22</v>
      </c>
      <c r="C43" s="93">
        <v>5.9</v>
      </c>
      <c r="D43" s="20">
        <f>9479718/22000000</f>
        <v>0.43089627272727271</v>
      </c>
      <c r="E43" s="18">
        <v>1</v>
      </c>
      <c r="F43" s="384">
        <v>7.03</v>
      </c>
      <c r="G43" s="157">
        <f t="shared" si="0"/>
        <v>1</v>
      </c>
      <c r="H43" s="429">
        <f t="shared" si="0"/>
        <v>2.5000000000000001E-2</v>
      </c>
      <c r="I43" s="108">
        <f t="shared" si="1"/>
        <v>1.4285714285714285E-2</v>
      </c>
    </row>
    <row r="44" spans="1:9" x14ac:dyDescent="0.35">
      <c r="A44" s="58">
        <v>16</v>
      </c>
      <c r="B44" s="50" t="s">
        <v>23</v>
      </c>
      <c r="C44" s="93">
        <v>5.8</v>
      </c>
      <c r="D44" s="20">
        <f>67876281/20000000</f>
        <v>3.39381405</v>
      </c>
      <c r="E44" s="18">
        <v>4</v>
      </c>
      <c r="F44" s="384">
        <v>7.53</v>
      </c>
      <c r="G44" s="381">
        <f t="shared" si="0"/>
        <v>0.5</v>
      </c>
      <c r="H44" s="429">
        <f t="shared" si="0"/>
        <v>1.1111111111111112E-2</v>
      </c>
      <c r="I44" s="108">
        <f t="shared" si="1"/>
        <v>1.4285714285714285E-2</v>
      </c>
    </row>
    <row r="45" spans="1:9" x14ac:dyDescent="0.35">
      <c r="A45" s="58">
        <v>17</v>
      </c>
      <c r="B45" s="50" t="s">
        <v>24</v>
      </c>
      <c r="C45" s="93">
        <v>5.5</v>
      </c>
      <c r="D45" s="20">
        <f>966458/4000000</f>
        <v>0.24161450000000001</v>
      </c>
      <c r="E45" s="18">
        <v>1</v>
      </c>
      <c r="F45" s="384">
        <v>7.07</v>
      </c>
      <c r="G45" s="157">
        <f t="shared" si="0"/>
        <v>1</v>
      </c>
      <c r="H45" s="429">
        <f t="shared" si="0"/>
        <v>3.3333333333333333E-2</v>
      </c>
      <c r="I45" s="108">
        <f t="shared" si="1"/>
        <v>1.2048192771084338E-2</v>
      </c>
    </row>
    <row r="46" spans="1:9" x14ac:dyDescent="0.35">
      <c r="A46" s="58">
        <v>18</v>
      </c>
      <c r="B46" s="50" t="s">
        <v>25</v>
      </c>
      <c r="C46" s="93">
        <v>5.2</v>
      </c>
      <c r="D46" s="20">
        <f>54667954/500000</f>
        <v>109.335908</v>
      </c>
      <c r="E46" s="18">
        <v>8</v>
      </c>
      <c r="F46" s="384">
        <v>6.53</v>
      </c>
      <c r="G46" s="381">
        <f t="shared" si="0"/>
        <v>0.5</v>
      </c>
      <c r="H46" s="429">
        <f t="shared" si="0"/>
        <v>2.2222222222222223E-2</v>
      </c>
      <c r="I46" s="108">
        <f t="shared" si="1"/>
        <v>1.0416666666666666E-2</v>
      </c>
    </row>
    <row r="47" spans="1:9" x14ac:dyDescent="0.35">
      <c r="A47" s="58">
        <v>19</v>
      </c>
      <c r="B47" s="50" t="s">
        <v>26</v>
      </c>
      <c r="C47" s="93">
        <v>5.7</v>
      </c>
      <c r="D47" s="20">
        <f>17840867/35000000</f>
        <v>0.50973905714285717</v>
      </c>
      <c r="E47" s="18">
        <v>0</v>
      </c>
      <c r="F47" s="384">
        <v>7.67</v>
      </c>
      <c r="G47" s="157">
        <f t="shared" si="0"/>
        <v>1</v>
      </c>
      <c r="H47" s="429">
        <f t="shared" si="0"/>
        <v>7.4074074074074077E-3</v>
      </c>
      <c r="I47" s="108">
        <f t="shared" si="1"/>
        <v>1.2658227848101266E-2</v>
      </c>
    </row>
    <row r="48" spans="1:9" x14ac:dyDescent="0.35">
      <c r="A48" s="59">
        <v>20</v>
      </c>
      <c r="B48" s="99" t="s">
        <v>27</v>
      </c>
      <c r="C48" s="95">
        <v>5.8</v>
      </c>
      <c r="D48" s="56">
        <f>25399945/10000000</f>
        <v>2.5399945000000002</v>
      </c>
      <c r="E48" s="55">
        <v>4</v>
      </c>
      <c r="F48" s="431">
        <v>7.03</v>
      </c>
      <c r="G48" s="432">
        <f t="shared" si="0"/>
        <v>1</v>
      </c>
      <c r="H48" s="433">
        <f t="shared" si="0"/>
        <v>1.6949152542372881E-2</v>
      </c>
      <c r="I48" s="109">
        <f t="shared" si="1"/>
        <v>1.0869565217391304E-2</v>
      </c>
    </row>
    <row r="49" spans="1:12" x14ac:dyDescent="0.35">
      <c r="A49" s="38"/>
      <c r="C49" s="434">
        <f>SQRT(SUMSQ(C29:C48))</f>
        <v>27.910750616921788</v>
      </c>
      <c r="D49" s="435">
        <f t="shared" ref="D49:F49" si="2">SQRT(SUMSQ(D29:D48))</f>
        <v>110.47109874252568</v>
      </c>
      <c r="E49" s="435">
        <f>SQRT(SUMSQ(E29:E48))</f>
        <v>495.39882922752253</v>
      </c>
      <c r="F49" s="435">
        <f t="shared" si="2"/>
        <v>33.568465857110603</v>
      </c>
      <c r="G49" s="435">
        <f>SQRT(SUMSQ(G29:G48))</f>
        <v>3.1545822051246168</v>
      </c>
      <c r="H49" s="435">
        <f>SQRT(SUMSQ(H29:H48))</f>
        <v>7.9691825756787973E-2</v>
      </c>
      <c r="I49" s="430">
        <f>SQRT(SUMSQ(I29:I48))</f>
        <v>6.0623414931009437E-2</v>
      </c>
    </row>
    <row r="50" spans="1:12" x14ac:dyDescent="0.35">
      <c r="A50" s="38"/>
      <c r="C50" s="38"/>
      <c r="D50" s="38"/>
      <c r="E50" s="38"/>
      <c r="F50" s="38"/>
      <c r="G50" s="38"/>
      <c r="H50" s="173"/>
      <c r="I50" s="173"/>
    </row>
    <row r="51" spans="1:12" s="415" customFormat="1" ht="15.5" x14ac:dyDescent="0.35">
      <c r="A51" s="618" t="s">
        <v>54</v>
      </c>
      <c r="B51" s="619"/>
      <c r="C51" s="619"/>
      <c r="D51" s="619"/>
      <c r="E51" s="619"/>
      <c r="F51" s="619"/>
      <c r="G51" s="619"/>
      <c r="H51" s="619"/>
      <c r="I51" s="619"/>
    </row>
    <row r="52" spans="1:12" x14ac:dyDescent="0.35">
      <c r="A52" s="38"/>
    </row>
    <row r="53" spans="1:12" ht="29" x14ac:dyDescent="0.35">
      <c r="A53" s="140" t="s">
        <v>36</v>
      </c>
      <c r="B53" s="65" t="s">
        <v>0</v>
      </c>
      <c r="C53" s="65" t="s">
        <v>1</v>
      </c>
      <c r="D53" s="65" t="s">
        <v>2</v>
      </c>
      <c r="E53" s="65" t="s">
        <v>3</v>
      </c>
      <c r="F53" s="65" t="s">
        <v>4</v>
      </c>
      <c r="G53" s="65" t="s">
        <v>5</v>
      </c>
      <c r="H53" s="65" t="s">
        <v>6</v>
      </c>
      <c r="I53" s="73" t="s">
        <v>7</v>
      </c>
    </row>
    <row r="54" spans="1:12" x14ac:dyDescent="0.35">
      <c r="A54" s="137">
        <v>1</v>
      </c>
      <c r="B54" s="141" t="s">
        <v>8</v>
      </c>
      <c r="C54" s="148">
        <f t="shared" ref="C54:C73" si="3">C29/C$49</f>
        <v>0.29379360349515238</v>
      </c>
      <c r="D54" s="77">
        <f t="shared" ref="D54:I54" si="4">D29/D$49</f>
        <v>4.7364572019829014E-2</v>
      </c>
      <c r="E54" s="77">
        <f t="shared" si="4"/>
        <v>0.7650401608558024</v>
      </c>
      <c r="F54" s="77">
        <f t="shared" ref="F54:G69" si="5">F29/F$49</f>
        <v>0.25083064670995214</v>
      </c>
      <c r="G54" s="77">
        <f t="shared" si="5"/>
        <v>5.2833198131884709E-2</v>
      </c>
      <c r="H54" s="77">
        <f t="shared" si="4"/>
        <v>7.559240020334268E-2</v>
      </c>
      <c r="I54" s="79">
        <f t="shared" si="4"/>
        <v>0.1987382727415703</v>
      </c>
      <c r="J54" s="38"/>
      <c r="K54" s="38"/>
      <c r="L54" s="38"/>
    </row>
    <row r="55" spans="1:12" x14ac:dyDescent="0.35">
      <c r="A55" s="138">
        <v>2</v>
      </c>
      <c r="B55" s="142" t="s">
        <v>9</v>
      </c>
      <c r="C55" s="149">
        <f t="shared" si="3"/>
        <v>0.29379360349515238</v>
      </c>
      <c r="D55" s="111">
        <f t="shared" ref="D55:E69" si="6">D30/D$49</f>
        <v>3.3357785470105379E-2</v>
      </c>
      <c r="E55" s="111">
        <f t="shared" si="6"/>
        <v>0.15543032291793346</v>
      </c>
      <c r="F55" s="111">
        <f t="shared" si="5"/>
        <v>0.24517057273431189</v>
      </c>
      <c r="G55" s="111">
        <f t="shared" si="5"/>
        <v>0.31699918879130828</v>
      </c>
      <c r="H55" s="111">
        <f t="shared" ref="H55:I69" si="7">H30/H$49</f>
        <v>0.10817533132547315</v>
      </c>
      <c r="I55" s="108">
        <f t="shared" si="7"/>
        <v>0.22596269366507304</v>
      </c>
      <c r="J55" s="38"/>
      <c r="K55" s="38"/>
      <c r="L55" s="38"/>
    </row>
    <row r="56" spans="1:12" x14ac:dyDescent="0.35">
      <c r="A56" s="138">
        <v>3</v>
      </c>
      <c r="B56" s="142" t="s">
        <v>10</v>
      </c>
      <c r="C56" s="149">
        <f t="shared" si="3"/>
        <v>0.27946220820270595</v>
      </c>
      <c r="D56" s="111">
        <f t="shared" si="6"/>
        <v>6.7419249226625899E-2</v>
      </c>
      <c r="E56" s="111">
        <f t="shared" si="6"/>
        <v>1.8167180600797417E-2</v>
      </c>
      <c r="F56" s="111">
        <f t="shared" si="5"/>
        <v>0.22848824943768797</v>
      </c>
      <c r="G56" s="111">
        <f t="shared" si="5"/>
        <v>0.15849959439565414</v>
      </c>
      <c r="H56" s="111">
        <f t="shared" si="7"/>
        <v>0.41827794779182947</v>
      </c>
      <c r="I56" s="108">
        <f t="shared" si="7"/>
        <v>0.2537734867315436</v>
      </c>
      <c r="J56" s="38"/>
      <c r="K56" s="38"/>
      <c r="L56" s="38"/>
    </row>
    <row r="57" spans="1:12" x14ac:dyDescent="0.35">
      <c r="A57" s="138">
        <v>4</v>
      </c>
      <c r="B57" s="142" t="s">
        <v>11</v>
      </c>
      <c r="C57" s="149">
        <f t="shared" si="3"/>
        <v>0.24005087114847817</v>
      </c>
      <c r="D57" s="111">
        <f t="shared" si="6"/>
        <v>5.5037522295046132E-2</v>
      </c>
      <c r="E57" s="111">
        <f t="shared" si="6"/>
        <v>5.8538693047013902E-2</v>
      </c>
      <c r="F57" s="111">
        <f t="shared" si="5"/>
        <v>0.22729665491650058</v>
      </c>
      <c r="G57" s="111">
        <f t="shared" si="5"/>
        <v>0.15849959439565414</v>
      </c>
      <c r="H57" s="111">
        <f t="shared" si="7"/>
        <v>0.12675089327025138</v>
      </c>
      <c r="I57" s="108">
        <f t="shared" si="7"/>
        <v>0.19637234092321823</v>
      </c>
      <c r="J57" s="38"/>
      <c r="K57" s="38"/>
      <c r="L57" s="38"/>
    </row>
    <row r="58" spans="1:12" x14ac:dyDescent="0.35">
      <c r="A58" s="138">
        <v>5</v>
      </c>
      <c r="B58" s="142" t="s">
        <v>12</v>
      </c>
      <c r="C58" s="149">
        <f t="shared" si="3"/>
        <v>0.29021075467204077</v>
      </c>
      <c r="D58" s="111">
        <f t="shared" si="6"/>
        <v>2.4820136725448416E-2</v>
      </c>
      <c r="E58" s="111">
        <f t="shared" si="6"/>
        <v>0.10294735673785203</v>
      </c>
      <c r="F58" s="111">
        <f t="shared" si="5"/>
        <v>0.24725586314638989</v>
      </c>
      <c r="G58" s="111">
        <f t="shared" si="5"/>
        <v>0.15849959439565414</v>
      </c>
      <c r="H58" s="111">
        <f t="shared" si="7"/>
        <v>0.15118480040668536</v>
      </c>
      <c r="I58" s="108">
        <f t="shared" si="7"/>
        <v>0.2537734867315436</v>
      </c>
      <c r="J58" s="38"/>
      <c r="K58" s="38"/>
      <c r="L58" s="38"/>
    </row>
    <row r="59" spans="1:12" x14ac:dyDescent="0.35">
      <c r="A59" s="138">
        <v>6</v>
      </c>
      <c r="B59" s="143" t="s">
        <v>13</v>
      </c>
      <c r="C59" s="149">
        <f t="shared" si="3"/>
        <v>0.27229651055648268</v>
      </c>
      <c r="D59" s="111">
        <f t="shared" si="6"/>
        <v>6.2188211018085984E-2</v>
      </c>
      <c r="E59" s="111">
        <f t="shared" si="6"/>
        <v>0.61162841356017972</v>
      </c>
      <c r="F59" s="111">
        <f t="shared" si="5"/>
        <v>0.26215079466123264</v>
      </c>
      <c r="G59" s="111">
        <f t="shared" si="5"/>
        <v>0.31699918879130828</v>
      </c>
      <c r="H59" s="111">
        <f t="shared" si="7"/>
        <v>0.1476275109853516</v>
      </c>
      <c r="I59" s="108">
        <f t="shared" si="7"/>
        <v>0.2537734867315436</v>
      </c>
      <c r="J59" s="38"/>
      <c r="K59" s="38"/>
      <c r="L59" s="38"/>
    </row>
    <row r="60" spans="1:12" x14ac:dyDescent="0.35">
      <c r="A60" s="138">
        <v>7</v>
      </c>
      <c r="B60" s="143" t="s">
        <v>14</v>
      </c>
      <c r="C60" s="149">
        <f t="shared" si="3"/>
        <v>0.15406249939379943</v>
      </c>
      <c r="D60" s="111">
        <f t="shared" si="6"/>
        <v>3.7879666093358719E-4</v>
      </c>
      <c r="E60" s="157">
        <f t="shared" si="6"/>
        <v>0</v>
      </c>
      <c r="F60" s="111">
        <f t="shared" si="5"/>
        <v>0.2383189042374842</v>
      </c>
      <c r="G60" s="111">
        <f t="shared" si="5"/>
        <v>5.2833198131884709E-2</v>
      </c>
      <c r="H60" s="111">
        <f t="shared" si="7"/>
        <v>0.16510971623361689</v>
      </c>
      <c r="I60" s="108">
        <f t="shared" si="7"/>
        <v>0.1918055422970969</v>
      </c>
      <c r="J60" s="38"/>
      <c r="K60" s="38"/>
      <c r="L60" s="38"/>
    </row>
    <row r="61" spans="1:12" x14ac:dyDescent="0.35">
      <c r="A61" s="138">
        <v>8</v>
      </c>
      <c r="B61" s="144" t="s">
        <v>15</v>
      </c>
      <c r="C61" s="149">
        <f t="shared" si="3"/>
        <v>0.18630813880180397</v>
      </c>
      <c r="D61" s="111">
        <f t="shared" si="6"/>
        <v>8.1039171649761894E-3</v>
      </c>
      <c r="E61" s="111">
        <f t="shared" si="6"/>
        <v>6.0557268669324728E-3</v>
      </c>
      <c r="F61" s="111">
        <f t="shared" si="5"/>
        <v>0.22342397272264145</v>
      </c>
      <c r="G61" s="111">
        <f t="shared" si="5"/>
        <v>0.10566639626376942</v>
      </c>
      <c r="H61" s="111">
        <f t="shared" si="7"/>
        <v>0.31370846084387216</v>
      </c>
      <c r="I61" s="108">
        <f t="shared" si="7"/>
        <v>0.24257759761103431</v>
      </c>
      <c r="J61" s="38"/>
      <c r="K61" s="38"/>
      <c r="L61" s="38"/>
    </row>
    <row r="62" spans="1:12" x14ac:dyDescent="0.35">
      <c r="A62" s="138">
        <v>9</v>
      </c>
      <c r="B62" s="144" t="s">
        <v>16</v>
      </c>
      <c r="C62" s="149">
        <f t="shared" si="3"/>
        <v>0.18989098762491557</v>
      </c>
      <c r="D62" s="111">
        <f t="shared" si="6"/>
        <v>4.9954213545071952E-3</v>
      </c>
      <c r="E62" s="111">
        <f t="shared" si="6"/>
        <v>1.413002935617577E-2</v>
      </c>
      <c r="F62" s="111">
        <f t="shared" si="5"/>
        <v>0.2124017234016578</v>
      </c>
      <c r="G62" s="111">
        <f t="shared" si="5"/>
        <v>7.9249797197827071E-2</v>
      </c>
      <c r="H62" s="111">
        <f t="shared" si="7"/>
        <v>0.10456948694795737</v>
      </c>
      <c r="I62" s="108">
        <f t="shared" si="7"/>
        <v>0.2537734867315436</v>
      </c>
      <c r="J62" s="38"/>
      <c r="K62" s="38"/>
      <c r="L62" s="38"/>
    </row>
    <row r="63" spans="1:12" x14ac:dyDescent="0.35">
      <c r="A63" s="138">
        <v>10</v>
      </c>
      <c r="B63" s="144" t="s">
        <v>17</v>
      </c>
      <c r="C63" s="149">
        <f t="shared" si="3"/>
        <v>0.14689680174757619</v>
      </c>
      <c r="D63" s="111">
        <f t="shared" si="6"/>
        <v>1.7018025722562103E-2</v>
      </c>
      <c r="E63" s="111">
        <f t="shared" si="6"/>
        <v>2.4222907467729891E-2</v>
      </c>
      <c r="F63" s="111">
        <f t="shared" si="5"/>
        <v>0.2124017234016578</v>
      </c>
      <c r="G63" s="111">
        <f t="shared" si="5"/>
        <v>0.10566639626376942</v>
      </c>
      <c r="H63" s="111">
        <f t="shared" si="7"/>
        <v>0.17926197762506979</v>
      </c>
      <c r="I63" s="108">
        <f t="shared" si="7"/>
        <v>0.2356468091078619</v>
      </c>
      <c r="J63" s="38"/>
      <c r="K63" s="38"/>
      <c r="L63" s="38"/>
    </row>
    <row r="64" spans="1:12" x14ac:dyDescent="0.35">
      <c r="A64" s="138">
        <v>11</v>
      </c>
      <c r="B64" s="144" t="s">
        <v>18</v>
      </c>
      <c r="C64" s="149">
        <f t="shared" si="3"/>
        <v>0.23646802232536654</v>
      </c>
      <c r="D64" s="111">
        <f t="shared" si="6"/>
        <v>2.5196290447761342E-2</v>
      </c>
      <c r="E64" s="111">
        <f t="shared" si="6"/>
        <v>1.2111453733864946E-2</v>
      </c>
      <c r="F64" s="111">
        <f t="shared" si="5"/>
        <v>0.21835969600759492</v>
      </c>
      <c r="G64" s="111">
        <f t="shared" si="5"/>
        <v>0.10566639626376942</v>
      </c>
      <c r="H64" s="111">
        <f t="shared" si="7"/>
        <v>0.2163506626509463</v>
      </c>
      <c r="I64" s="108">
        <f t="shared" si="7"/>
        <v>0.22910106441042127</v>
      </c>
      <c r="J64" s="38"/>
      <c r="K64" s="38"/>
      <c r="L64" s="38"/>
    </row>
    <row r="65" spans="1:12" x14ac:dyDescent="0.35">
      <c r="A65" s="138">
        <v>12</v>
      </c>
      <c r="B65" s="145" t="s">
        <v>19</v>
      </c>
      <c r="C65" s="149">
        <f t="shared" si="3"/>
        <v>0.17197674350935749</v>
      </c>
      <c r="D65" s="111">
        <f t="shared" si="6"/>
        <v>7.3322344868485658E-3</v>
      </c>
      <c r="E65" s="111">
        <f t="shared" si="6"/>
        <v>2.2204331845419065E-2</v>
      </c>
      <c r="F65" s="111">
        <f t="shared" si="5"/>
        <v>0.20048577818978361</v>
      </c>
      <c r="G65" s="111">
        <f t="shared" si="5"/>
        <v>0.31699918879130828</v>
      </c>
      <c r="H65" s="111">
        <f t="shared" si="7"/>
        <v>0.13942598259727651</v>
      </c>
      <c r="I65" s="108">
        <f t="shared" si="7"/>
        <v>0.2356468091078619</v>
      </c>
      <c r="J65" s="38"/>
      <c r="K65" s="38"/>
      <c r="L65" s="38"/>
    </row>
    <row r="66" spans="1:12" x14ac:dyDescent="0.35">
      <c r="A66" s="138">
        <v>13</v>
      </c>
      <c r="B66" s="143" t="s">
        <v>20</v>
      </c>
      <c r="C66" s="149">
        <f t="shared" si="3"/>
        <v>0.18989098762491557</v>
      </c>
      <c r="D66" s="111">
        <f t="shared" si="6"/>
        <v>3.0815714256941133E-2</v>
      </c>
      <c r="E66" s="111">
        <f t="shared" si="6"/>
        <v>1.0092878111554121E-2</v>
      </c>
      <c r="F66" s="111">
        <f t="shared" si="5"/>
        <v>0.19571940010503391</v>
      </c>
      <c r="G66" s="111">
        <f t="shared" si="5"/>
        <v>0.15849959439565414</v>
      </c>
      <c r="H66" s="111">
        <f t="shared" si="7"/>
        <v>0.20913897389591474</v>
      </c>
      <c r="I66" s="108">
        <f t="shared" si="7"/>
        <v>0.19406207808882744</v>
      </c>
      <c r="J66" s="38"/>
      <c r="K66" s="38"/>
      <c r="L66" s="38"/>
    </row>
    <row r="67" spans="1:12" x14ac:dyDescent="0.35">
      <c r="A67" s="138">
        <v>14</v>
      </c>
      <c r="B67" s="146" t="s">
        <v>21</v>
      </c>
      <c r="C67" s="149">
        <f t="shared" si="3"/>
        <v>0.22213662703292011</v>
      </c>
      <c r="D67" s="111">
        <f t="shared" si="6"/>
        <v>3.8727703885442374E-2</v>
      </c>
      <c r="E67" s="111">
        <f t="shared" si="6"/>
        <v>1.2111453733864946E-2</v>
      </c>
      <c r="F67" s="111">
        <f t="shared" si="5"/>
        <v>0.21835969600759492</v>
      </c>
      <c r="G67" s="111">
        <f t="shared" si="5"/>
        <v>0.31699918879130828</v>
      </c>
      <c r="H67" s="111">
        <f t="shared" si="7"/>
        <v>0.20913897389591474</v>
      </c>
      <c r="I67" s="108">
        <f t="shared" si="7"/>
        <v>0.24619815876940795</v>
      </c>
      <c r="J67" s="38"/>
      <c r="K67" s="38"/>
      <c r="L67" s="38"/>
    </row>
    <row r="68" spans="1:12" x14ac:dyDescent="0.35">
      <c r="A68" s="138">
        <v>15</v>
      </c>
      <c r="B68" s="145" t="s">
        <v>22</v>
      </c>
      <c r="C68" s="149">
        <f t="shared" si="3"/>
        <v>0.21138808056358527</v>
      </c>
      <c r="D68" s="111">
        <f t="shared" si="6"/>
        <v>3.9005339643770542E-3</v>
      </c>
      <c r="E68" s="111">
        <f t="shared" si="6"/>
        <v>2.0185756223108243E-3</v>
      </c>
      <c r="F68" s="111">
        <f t="shared" si="5"/>
        <v>0.20942273709868925</v>
      </c>
      <c r="G68" s="111">
        <f t="shared" si="5"/>
        <v>0.31699918879130828</v>
      </c>
      <c r="H68" s="111">
        <f t="shared" si="7"/>
        <v>0.31370846084387216</v>
      </c>
      <c r="I68" s="108">
        <f t="shared" si="7"/>
        <v>0.2356468091078619</v>
      </c>
      <c r="J68" s="38"/>
      <c r="K68" s="38"/>
      <c r="L68" s="38"/>
    </row>
    <row r="69" spans="1:12" x14ac:dyDescent="0.35">
      <c r="A69" s="138">
        <v>16</v>
      </c>
      <c r="B69" s="143" t="s">
        <v>23</v>
      </c>
      <c r="C69" s="149">
        <f t="shared" si="3"/>
        <v>0.20780523174047363</v>
      </c>
      <c r="D69" s="111">
        <f t="shared" si="6"/>
        <v>3.0721284468347161E-2</v>
      </c>
      <c r="E69" s="111">
        <f t="shared" si="6"/>
        <v>8.0743024892432971E-3</v>
      </c>
      <c r="F69" s="111">
        <f t="shared" si="5"/>
        <v>0.22431766861353203</v>
      </c>
      <c r="G69" s="111">
        <f t="shared" si="5"/>
        <v>0.15849959439565414</v>
      </c>
      <c r="H69" s="111">
        <f t="shared" si="7"/>
        <v>0.13942598259727651</v>
      </c>
      <c r="I69" s="108">
        <f t="shared" si="7"/>
        <v>0.2356468091078619</v>
      </c>
      <c r="J69" s="38"/>
      <c r="K69" s="38"/>
      <c r="L69" s="38"/>
    </row>
    <row r="70" spans="1:12" x14ac:dyDescent="0.35">
      <c r="A70" s="138">
        <v>17</v>
      </c>
      <c r="B70" s="143" t="s">
        <v>24</v>
      </c>
      <c r="C70" s="149">
        <f t="shared" si="3"/>
        <v>0.19705668527113879</v>
      </c>
      <c r="D70" s="111">
        <f t="shared" ref="D70:I70" si="8">D45/D$49</f>
        <v>2.187128604225522E-3</v>
      </c>
      <c r="E70" s="111">
        <f t="shared" si="8"/>
        <v>2.0185756223108243E-3</v>
      </c>
      <c r="F70" s="111">
        <f t="shared" si="8"/>
        <v>0.21061433161987667</v>
      </c>
      <c r="G70" s="111">
        <f t="shared" si="8"/>
        <v>0.31699918879130828</v>
      </c>
      <c r="H70" s="111">
        <f t="shared" si="8"/>
        <v>0.41827794779182947</v>
      </c>
      <c r="I70" s="108">
        <f t="shared" si="8"/>
        <v>0.1987382727415703</v>
      </c>
      <c r="J70" s="38"/>
      <c r="K70" s="38"/>
      <c r="L70" s="38"/>
    </row>
    <row r="71" spans="1:12" x14ac:dyDescent="0.35">
      <c r="A71" s="138">
        <v>18</v>
      </c>
      <c r="B71" s="143" t="s">
        <v>25</v>
      </c>
      <c r="C71" s="149">
        <f t="shared" si="3"/>
        <v>0.18630813880180397</v>
      </c>
      <c r="D71" s="111">
        <f t="shared" ref="D71:I73" si="9">D46/D$49</f>
        <v>0.98972409294876784</v>
      </c>
      <c r="E71" s="111">
        <f t="shared" si="9"/>
        <v>1.6148604978486594E-2</v>
      </c>
      <c r="F71" s="111">
        <f t="shared" si="9"/>
        <v>0.1945278055838465</v>
      </c>
      <c r="G71" s="111">
        <f t="shared" si="9"/>
        <v>0.15849959439565414</v>
      </c>
      <c r="H71" s="111">
        <f t="shared" si="9"/>
        <v>0.27885196519455302</v>
      </c>
      <c r="I71" s="108">
        <f t="shared" si="9"/>
        <v>0.17182579830781597</v>
      </c>
      <c r="J71" s="38"/>
      <c r="K71" s="38"/>
      <c r="L71" s="38"/>
    </row>
    <row r="72" spans="1:12" x14ac:dyDescent="0.35">
      <c r="A72" s="138">
        <v>19</v>
      </c>
      <c r="B72" s="143" t="s">
        <v>26</v>
      </c>
      <c r="C72" s="149">
        <f t="shared" si="3"/>
        <v>0.20422238291736203</v>
      </c>
      <c r="D72" s="111">
        <f t="shared" si="9"/>
        <v>4.6142299926870724E-3</v>
      </c>
      <c r="E72" s="157">
        <f t="shared" si="9"/>
        <v>0</v>
      </c>
      <c r="F72" s="111">
        <f t="shared" si="9"/>
        <v>0.22848824943768797</v>
      </c>
      <c r="G72" s="111">
        <f t="shared" si="9"/>
        <v>0.31699918879130828</v>
      </c>
      <c r="H72" s="111">
        <f t="shared" si="9"/>
        <v>9.2950655064851007E-2</v>
      </c>
      <c r="I72" s="108">
        <f t="shared" si="9"/>
        <v>0.20880097009557383</v>
      </c>
      <c r="J72" s="38"/>
      <c r="K72" s="38"/>
      <c r="L72" s="38"/>
    </row>
    <row r="73" spans="1:12" x14ac:dyDescent="0.35">
      <c r="A73" s="139">
        <v>20</v>
      </c>
      <c r="B73" s="147" t="s">
        <v>27</v>
      </c>
      <c r="C73" s="155">
        <f t="shared" si="3"/>
        <v>0.20780523174047363</v>
      </c>
      <c r="D73" s="135">
        <f t="shared" si="9"/>
        <v>2.2992389221365036E-2</v>
      </c>
      <c r="E73" s="135">
        <f t="shared" si="9"/>
        <v>8.0743024892432971E-3</v>
      </c>
      <c r="F73" s="135">
        <f t="shared" si="9"/>
        <v>0.20942273709868925</v>
      </c>
      <c r="G73" s="135">
        <f t="shared" si="9"/>
        <v>0.31699918879130828</v>
      </c>
      <c r="H73" s="135">
        <f t="shared" si="9"/>
        <v>0.21268370226703195</v>
      </c>
      <c r="I73" s="136">
        <f t="shared" si="9"/>
        <v>0.17929648519076449</v>
      </c>
      <c r="J73" s="38"/>
      <c r="K73" s="38"/>
      <c r="L73" s="38"/>
    </row>
    <row r="74" spans="1:12" x14ac:dyDescent="0.35">
      <c r="A74" s="38"/>
      <c r="B74" s="153" t="s">
        <v>55</v>
      </c>
      <c r="C74" s="148">
        <f>MAX(C54:C73)</f>
        <v>0.29379360349515238</v>
      </c>
      <c r="D74" s="152">
        <f t="shared" ref="D74:G74" si="10">MAX(D54:D73)</f>
        <v>0.98972409294876784</v>
      </c>
      <c r="E74" s="152">
        <f>MAX(E54:E73)</f>
        <v>0.7650401608558024</v>
      </c>
      <c r="F74" s="152">
        <f t="shared" si="10"/>
        <v>0.26215079466123264</v>
      </c>
      <c r="G74" s="152">
        <f t="shared" si="10"/>
        <v>0.31699918879130828</v>
      </c>
      <c r="H74" s="152">
        <f>MAX(H54:H73)</f>
        <v>0.41827794779182947</v>
      </c>
      <c r="I74" s="130">
        <f>MAX(I54:I73)</f>
        <v>0.2537734867315436</v>
      </c>
    </row>
    <row r="75" spans="1:12" x14ac:dyDescent="0.35">
      <c r="A75" s="38"/>
      <c r="B75" s="154" t="s">
        <v>56</v>
      </c>
      <c r="C75" s="150">
        <f>MIN(C54:C73)</f>
        <v>0.14689680174757619</v>
      </c>
      <c r="D75" s="151">
        <f t="shared" ref="D75:I75" si="11">MIN(D54:D73)</f>
        <v>3.7879666093358719E-4</v>
      </c>
      <c r="E75" s="156">
        <f>MIN(E54:E73)</f>
        <v>0</v>
      </c>
      <c r="F75" s="151">
        <f t="shared" si="11"/>
        <v>0.1945278055838465</v>
      </c>
      <c r="G75" s="151">
        <f t="shared" si="11"/>
        <v>5.2833198131884709E-2</v>
      </c>
      <c r="H75" s="151">
        <f>MIN(H54:H73)</f>
        <v>7.559240020334268E-2</v>
      </c>
      <c r="I75" s="131">
        <f t="shared" si="11"/>
        <v>0.17182579830781597</v>
      </c>
    </row>
    <row r="76" spans="1:12" x14ac:dyDescent="0.35">
      <c r="A76" s="38"/>
      <c r="B76" s="62"/>
      <c r="C76" s="173"/>
      <c r="D76" s="173"/>
      <c r="E76" s="174"/>
      <c r="F76" s="173"/>
      <c r="G76" s="173"/>
      <c r="H76" s="173"/>
      <c r="I76" s="173"/>
    </row>
    <row r="77" spans="1:12" s="415" customFormat="1" ht="15.5" x14ac:dyDescent="0.35">
      <c r="A77" s="618" t="s">
        <v>57</v>
      </c>
      <c r="B77" s="619"/>
      <c r="C77" s="619"/>
      <c r="D77" s="619"/>
      <c r="E77" s="619"/>
      <c r="F77" s="619"/>
      <c r="G77" s="619"/>
      <c r="H77" s="619"/>
      <c r="I77" s="619"/>
    </row>
    <row r="78" spans="1:12" x14ac:dyDescent="0.35">
      <c r="A78" s="38"/>
      <c r="C78" s="38"/>
      <c r="D78" s="38"/>
      <c r="E78" s="38"/>
      <c r="F78" s="38"/>
      <c r="G78" s="38"/>
      <c r="H78" s="38"/>
      <c r="I78" s="38"/>
    </row>
    <row r="79" spans="1:12" ht="38.25" customHeight="1" x14ac:dyDescent="0.35">
      <c r="A79" s="140" t="s">
        <v>36</v>
      </c>
      <c r="B79" s="65" t="s">
        <v>0</v>
      </c>
      <c r="C79" s="172" t="s">
        <v>58</v>
      </c>
      <c r="D79" s="172" t="s">
        <v>59</v>
      </c>
      <c r="E79" s="171" t="s">
        <v>53</v>
      </c>
      <c r="F79" s="180"/>
      <c r="K79" s="46"/>
      <c r="L79" s="38"/>
    </row>
    <row r="80" spans="1:12" x14ac:dyDescent="0.35">
      <c r="A80" s="166">
        <v>1</v>
      </c>
      <c r="B80" s="159" t="s">
        <v>8</v>
      </c>
      <c r="C80" s="152">
        <f>SQRT(SUMXMY2(C54:I54,C$74:I$74))</f>
        <v>1.0384678822000593</v>
      </c>
      <c r="D80" s="86">
        <f>SQRT(SUMXMY2(C54:I54,C$75:I$75))</f>
        <v>0.78292213685080725</v>
      </c>
      <c r="E80" s="127">
        <f>D80/(C80+D80)</f>
        <v>0.42984870272803571</v>
      </c>
      <c r="F80" s="38"/>
      <c r="K80" s="38"/>
      <c r="L80" s="38"/>
    </row>
    <row r="81" spans="1:12" x14ac:dyDescent="0.35">
      <c r="A81" s="167">
        <v>2</v>
      </c>
      <c r="B81" s="160" t="s">
        <v>9</v>
      </c>
      <c r="C81" s="175">
        <f t="shared" ref="C81:C98" si="12">SQRT(SUMXMY2(C55:I55,C$74:I$74))</f>
        <v>1.1762168462821641</v>
      </c>
      <c r="D81" s="32">
        <f t="shared" ref="D81:D99" si="13">SQRT(SUMXMY2(C55:I55,C$75:I$75))</f>
        <v>0.35094968396349679</v>
      </c>
      <c r="E81" s="181">
        <f t="shared" ref="E81:E98" si="14">D81/(C81+D81)</f>
        <v>0.22980446271765975</v>
      </c>
      <c r="F81" s="38"/>
      <c r="K81" s="38"/>
      <c r="L81" s="38"/>
    </row>
    <row r="82" spans="1:12" x14ac:dyDescent="0.35">
      <c r="A82" s="167">
        <v>3</v>
      </c>
      <c r="B82" s="160" t="s">
        <v>10</v>
      </c>
      <c r="C82" s="175">
        <f t="shared" si="12"/>
        <v>1.197884030552983</v>
      </c>
      <c r="D82" s="32">
        <f t="shared" si="13"/>
        <v>0.39857943114258149</v>
      </c>
      <c r="E82" s="181">
        <f t="shared" si="14"/>
        <v>0.24966398586990529</v>
      </c>
      <c r="F82" s="38"/>
      <c r="K82" s="38"/>
      <c r="L82" s="38"/>
    </row>
    <row r="83" spans="1:12" x14ac:dyDescent="0.35">
      <c r="A83" s="167">
        <v>4</v>
      </c>
      <c r="B83" s="160" t="s">
        <v>11</v>
      </c>
      <c r="C83" s="175">
        <f t="shared" si="12"/>
        <v>1.2207749334728091</v>
      </c>
      <c r="D83" s="32">
        <f t="shared" si="13"/>
        <v>0.17478828470681496</v>
      </c>
      <c r="E83" s="181">
        <f t="shared" si="14"/>
        <v>0.12524569466283958</v>
      </c>
      <c r="F83" s="38"/>
      <c r="K83" s="38"/>
      <c r="L83" s="38"/>
    </row>
    <row r="84" spans="1:12" x14ac:dyDescent="0.35">
      <c r="A84" s="167">
        <v>5</v>
      </c>
      <c r="B84" s="160" t="s">
        <v>12</v>
      </c>
      <c r="C84" s="175">
        <f t="shared" si="12"/>
        <v>1.21082702835475</v>
      </c>
      <c r="D84" s="32">
        <f t="shared" si="13"/>
        <v>0.24105952880249512</v>
      </c>
      <c r="E84" s="181">
        <f t="shared" si="14"/>
        <v>0.16603193108591296</v>
      </c>
      <c r="F84" s="38"/>
      <c r="K84" s="38"/>
      <c r="L84" s="38"/>
    </row>
    <row r="85" spans="1:12" x14ac:dyDescent="0.35">
      <c r="A85" s="167">
        <v>6</v>
      </c>
      <c r="B85" s="161" t="s">
        <v>13</v>
      </c>
      <c r="C85" s="175">
        <f>SQRT(SUMXMY2(C59:I59,C$74:I$74))</f>
        <v>0.97855595671661766</v>
      </c>
      <c r="D85" s="32">
        <f t="shared" si="13"/>
        <v>0.69274513859202103</v>
      </c>
      <c r="E85" s="181">
        <f>D85/(C85+D85)</f>
        <v>0.41449451600107518</v>
      </c>
      <c r="F85" s="38"/>
      <c r="K85" s="38"/>
      <c r="L85" s="38"/>
    </row>
    <row r="86" spans="1:12" x14ac:dyDescent="0.35">
      <c r="A86" s="167">
        <v>7</v>
      </c>
      <c r="B86" s="161" t="s">
        <v>14</v>
      </c>
      <c r="C86" s="175">
        <f t="shared" si="12"/>
        <v>1.312212312734683</v>
      </c>
      <c r="D86" s="32">
        <f t="shared" si="13"/>
        <v>0.101889879689746</v>
      </c>
      <c r="E86" s="181">
        <f t="shared" si="14"/>
        <v>7.2052699045080576E-2</v>
      </c>
      <c r="F86" s="38"/>
      <c r="K86" s="38"/>
      <c r="L86" s="38"/>
    </row>
    <row r="87" spans="1:12" x14ac:dyDescent="0.35">
      <c r="A87" s="167">
        <v>8</v>
      </c>
      <c r="B87" s="162" t="s">
        <v>15</v>
      </c>
      <c r="C87" s="175">
        <f t="shared" si="12"/>
        <v>1.2682310937413028</v>
      </c>
      <c r="D87" s="32">
        <f t="shared" si="13"/>
        <v>0.25880690397061318</v>
      </c>
      <c r="E87" s="181">
        <f t="shared" si="14"/>
        <v>0.16948294957846788</v>
      </c>
      <c r="F87" s="38"/>
      <c r="K87" s="38"/>
      <c r="L87" s="38"/>
    </row>
    <row r="88" spans="1:12" ht="14.25" customHeight="1" x14ac:dyDescent="0.35">
      <c r="A88" s="167">
        <v>9</v>
      </c>
      <c r="B88" s="162" t="s">
        <v>16</v>
      </c>
      <c r="C88" s="175">
        <f t="shared" si="12"/>
        <v>1.304517181769774</v>
      </c>
      <c r="D88" s="32">
        <f t="shared" si="13"/>
        <v>0.10315948725632945</v>
      </c>
      <c r="E88" s="181">
        <f t="shared" si="14"/>
        <v>7.3283510003543648E-2</v>
      </c>
      <c r="F88" s="38"/>
      <c r="K88" s="38"/>
      <c r="L88" s="38"/>
    </row>
    <row r="89" spans="1:12" ht="14.25" customHeight="1" x14ac:dyDescent="0.35">
      <c r="A89" s="167">
        <v>10</v>
      </c>
      <c r="B89" s="162" t="s">
        <v>17</v>
      </c>
      <c r="C89" s="175">
        <f t="shared" si="12"/>
        <v>1.2732398423804114</v>
      </c>
      <c r="D89" s="32">
        <f t="shared" si="13"/>
        <v>0.13709463758767321</v>
      </c>
      <c r="E89" s="181">
        <f t="shared" si="14"/>
        <v>9.7207179952641887E-2</v>
      </c>
      <c r="F89" s="38"/>
      <c r="K89" s="38"/>
      <c r="L89" s="38"/>
    </row>
    <row r="90" spans="1:12" ht="15" customHeight="1" x14ac:dyDescent="0.35">
      <c r="A90" s="167">
        <v>11</v>
      </c>
      <c r="B90" s="162" t="s">
        <v>18</v>
      </c>
      <c r="C90" s="175">
        <f t="shared" si="12"/>
        <v>1.2603429328910947</v>
      </c>
      <c r="D90" s="32">
        <f t="shared" si="13"/>
        <v>0.1877185372988166</v>
      </c>
      <c r="E90" s="181">
        <f t="shared" si="14"/>
        <v>0.12963437061425132</v>
      </c>
      <c r="F90" s="38"/>
      <c r="K90" s="46"/>
      <c r="L90" s="38"/>
    </row>
    <row r="91" spans="1:12" x14ac:dyDescent="0.35">
      <c r="A91" s="167">
        <v>12</v>
      </c>
      <c r="B91" s="163" t="s">
        <v>19</v>
      </c>
      <c r="C91" s="175">
        <f t="shared" si="12"/>
        <v>1.2702864830429264</v>
      </c>
      <c r="D91" s="32">
        <f t="shared" si="13"/>
        <v>0.28131370718204468</v>
      </c>
      <c r="E91" s="181">
        <f t="shared" si="14"/>
        <v>0.18130553795643464</v>
      </c>
      <c r="F91" s="38"/>
      <c r="K91" s="38"/>
      <c r="L91" s="38"/>
    </row>
    <row r="92" spans="1:12" x14ac:dyDescent="0.35">
      <c r="A92" s="167">
        <v>13</v>
      </c>
      <c r="B92" s="161" t="s">
        <v>20</v>
      </c>
      <c r="C92" s="175">
        <f t="shared" si="12"/>
        <v>1.255820945184301</v>
      </c>
      <c r="D92" s="32">
        <f t="shared" si="13"/>
        <v>0.17992420304388157</v>
      </c>
      <c r="E92" s="181">
        <f>D92/(C92+D92)</f>
        <v>0.12531764656556324</v>
      </c>
      <c r="F92" s="38"/>
      <c r="K92" s="38"/>
      <c r="L92" s="38"/>
    </row>
    <row r="93" spans="1:12" x14ac:dyDescent="0.35">
      <c r="A93" s="167">
        <v>14</v>
      </c>
      <c r="B93" s="164" t="s">
        <v>21</v>
      </c>
      <c r="C93" s="175">
        <f t="shared" si="12"/>
        <v>1.2337522638734115</v>
      </c>
      <c r="D93" s="32">
        <f t="shared" si="13"/>
        <v>0.31779855612278884</v>
      </c>
      <c r="E93" s="181">
        <f t="shared" si="14"/>
        <v>0.20482639177978526</v>
      </c>
      <c r="F93" s="38"/>
      <c r="K93" s="38"/>
      <c r="L93" s="38"/>
    </row>
    <row r="94" spans="1:12" x14ac:dyDescent="0.35">
      <c r="A94" s="167">
        <v>15</v>
      </c>
      <c r="B94" s="163" t="s">
        <v>22</v>
      </c>
      <c r="C94" s="175">
        <f t="shared" si="12"/>
        <v>1.2549439434839538</v>
      </c>
      <c r="D94" s="32">
        <f t="shared" si="13"/>
        <v>0.36736019338642573</v>
      </c>
      <c r="E94" s="181">
        <f t="shared" si="14"/>
        <v>0.22644347939290094</v>
      </c>
      <c r="F94" s="38"/>
      <c r="K94" s="38"/>
      <c r="L94" s="38"/>
    </row>
    <row r="95" spans="1:12" x14ac:dyDescent="0.35">
      <c r="A95" s="167">
        <v>16</v>
      </c>
      <c r="B95" s="161" t="s">
        <v>23</v>
      </c>
      <c r="C95" s="175">
        <f t="shared" si="12"/>
        <v>1.2667747073839302</v>
      </c>
      <c r="D95" s="32">
        <f t="shared" si="13"/>
        <v>0.1577858316538992</v>
      </c>
      <c r="E95" s="181">
        <f t="shared" si="14"/>
        <v>0.1107610574138676</v>
      </c>
      <c r="F95" s="38"/>
    </row>
    <row r="96" spans="1:12" x14ac:dyDescent="0.35">
      <c r="A96" s="167">
        <v>17</v>
      </c>
      <c r="B96" s="161" t="s">
        <v>24</v>
      </c>
      <c r="C96" s="175">
        <f t="shared" si="12"/>
        <v>1.2539832967899847</v>
      </c>
      <c r="D96" s="32">
        <f>SQRT(SUMXMY2(C70:I70,C$75:I$75))</f>
        <v>0.43671898444446922</v>
      </c>
      <c r="E96" s="181">
        <f t="shared" si="14"/>
        <v>0.25830626083121039</v>
      </c>
      <c r="F96" s="38"/>
    </row>
    <row r="97" spans="1:6" x14ac:dyDescent="0.35">
      <c r="A97" s="167">
        <v>18</v>
      </c>
      <c r="B97" s="161" t="s">
        <v>25</v>
      </c>
      <c r="C97" s="175">
        <f>SQRT(SUMXMY2(C71:I71,C$74:I$74))</f>
        <v>0.79261699825404164</v>
      </c>
      <c r="D97" s="32">
        <f>SQRT(SUMXMY2(C71:I71,C$75:I$75))</f>
        <v>1.0164142778797451</v>
      </c>
      <c r="E97" s="181">
        <f>D97/(C97+D97)</f>
        <v>0.56185555843567203</v>
      </c>
      <c r="F97" s="38"/>
    </row>
    <row r="98" spans="1:6" x14ac:dyDescent="0.35">
      <c r="A98" s="167">
        <v>19</v>
      </c>
      <c r="B98" s="161" t="s">
        <v>26</v>
      </c>
      <c r="C98" s="175">
        <f t="shared" si="12"/>
        <v>1.293346216203527</v>
      </c>
      <c r="D98" s="32">
        <f t="shared" si="13"/>
        <v>0.27551699740734203</v>
      </c>
      <c r="E98" s="181">
        <f t="shared" si="14"/>
        <v>0.17561569104116911</v>
      </c>
      <c r="F98" s="38"/>
    </row>
    <row r="99" spans="1:6" x14ac:dyDescent="0.35">
      <c r="A99" s="168">
        <v>20</v>
      </c>
      <c r="B99" s="165" t="s">
        <v>27</v>
      </c>
      <c r="C99" s="176">
        <f>SQRT(SUMXMY2(C73:I73,C$74:I$74))</f>
        <v>1.2512224276311004</v>
      </c>
      <c r="D99" s="179">
        <f t="shared" si="13"/>
        <v>0.30519136888729992</v>
      </c>
      <c r="E99" s="182">
        <f>D99/(C99+D99)</f>
        <v>0.19608626547129937</v>
      </c>
      <c r="F99" s="38"/>
    </row>
    <row r="101" spans="1:6" s="415" customFormat="1" ht="15.5" x14ac:dyDescent="0.35">
      <c r="A101" s="616" t="s">
        <v>47</v>
      </c>
      <c r="B101" s="617"/>
      <c r="C101" s="617"/>
      <c r="D101" s="617"/>
      <c r="E101" s="617"/>
    </row>
    <row r="103" spans="1:6" ht="42.75" customHeight="1" x14ac:dyDescent="0.35">
      <c r="B103" s="177" t="s">
        <v>0</v>
      </c>
      <c r="C103" s="178" t="s">
        <v>53</v>
      </c>
      <c r="D103" s="171" t="s">
        <v>60</v>
      </c>
    </row>
    <row r="104" spans="1:6" x14ac:dyDescent="0.35">
      <c r="B104" s="314" t="s">
        <v>25</v>
      </c>
      <c r="C104" s="201">
        <v>0.56185555843567203</v>
      </c>
      <c r="D104" s="87">
        <f t="shared" ref="D104:D123" si="15">_xlfn.RANK.AVG(C104,C$104:C$123)</f>
        <v>1</v>
      </c>
    </row>
    <row r="105" spans="1:6" x14ac:dyDescent="0.35">
      <c r="B105" s="160" t="s">
        <v>8</v>
      </c>
      <c r="C105" s="204">
        <v>0.42984870272803571</v>
      </c>
      <c r="D105" s="169">
        <f t="shared" si="15"/>
        <v>2</v>
      </c>
    </row>
    <row r="106" spans="1:6" x14ac:dyDescent="0.35">
      <c r="B106" s="161" t="s">
        <v>13</v>
      </c>
      <c r="C106" s="204">
        <v>0.41449451600107518</v>
      </c>
      <c r="D106" s="169">
        <f t="shared" si="15"/>
        <v>3</v>
      </c>
    </row>
    <row r="107" spans="1:6" x14ac:dyDescent="0.35">
      <c r="B107" s="161" t="s">
        <v>24</v>
      </c>
      <c r="C107" s="205">
        <v>0.25830626083121039</v>
      </c>
      <c r="D107" s="169">
        <f t="shared" si="15"/>
        <v>4</v>
      </c>
    </row>
    <row r="108" spans="1:6" x14ac:dyDescent="0.35">
      <c r="B108" s="160" t="s">
        <v>10</v>
      </c>
      <c r="C108" s="205">
        <v>0.24966398586990529</v>
      </c>
      <c r="D108" s="169">
        <f t="shared" si="15"/>
        <v>5</v>
      </c>
    </row>
    <row r="109" spans="1:6" x14ac:dyDescent="0.35">
      <c r="B109" s="160" t="s">
        <v>9</v>
      </c>
      <c r="C109" s="205">
        <v>0.22980446271765975</v>
      </c>
      <c r="D109" s="169">
        <f t="shared" si="15"/>
        <v>6</v>
      </c>
    </row>
    <row r="110" spans="1:6" x14ac:dyDescent="0.35">
      <c r="B110" s="161" t="s">
        <v>22</v>
      </c>
      <c r="C110" s="205">
        <v>0.22644347939290094</v>
      </c>
      <c r="D110" s="169">
        <f t="shared" si="15"/>
        <v>7</v>
      </c>
    </row>
    <row r="111" spans="1:6" x14ac:dyDescent="0.35">
      <c r="B111" s="164" t="s">
        <v>21</v>
      </c>
      <c r="C111" s="206">
        <v>0.20482639177978526</v>
      </c>
      <c r="D111" s="169">
        <f t="shared" si="15"/>
        <v>8</v>
      </c>
    </row>
    <row r="112" spans="1:6" x14ac:dyDescent="0.35">
      <c r="B112" s="162" t="s">
        <v>27</v>
      </c>
      <c r="C112" s="206">
        <v>0.19608626547129937</v>
      </c>
      <c r="D112" s="169">
        <f t="shared" si="15"/>
        <v>9</v>
      </c>
    </row>
    <row r="113" spans="2:4" x14ac:dyDescent="0.35">
      <c r="B113" s="162" t="s">
        <v>19</v>
      </c>
      <c r="C113" s="206">
        <v>0.18130553795643464</v>
      </c>
      <c r="D113" s="169">
        <f t="shared" si="15"/>
        <v>10</v>
      </c>
    </row>
    <row r="114" spans="2:4" x14ac:dyDescent="0.35">
      <c r="B114" s="162" t="s">
        <v>26</v>
      </c>
      <c r="C114" s="206">
        <v>0.17561569104116911</v>
      </c>
      <c r="D114" s="169">
        <f t="shared" si="15"/>
        <v>11</v>
      </c>
    </row>
    <row r="115" spans="2:4" x14ac:dyDescent="0.35">
      <c r="B115" s="163" t="s">
        <v>15</v>
      </c>
      <c r="C115" s="206">
        <v>0.16948294957846788</v>
      </c>
      <c r="D115" s="169">
        <f t="shared" si="15"/>
        <v>12</v>
      </c>
    </row>
    <row r="116" spans="2:4" x14ac:dyDescent="0.35">
      <c r="B116" s="160" t="s">
        <v>12</v>
      </c>
      <c r="C116" s="206">
        <v>0.16603193108591296</v>
      </c>
      <c r="D116" s="169">
        <f t="shared" si="15"/>
        <v>13</v>
      </c>
    </row>
    <row r="117" spans="2:4" x14ac:dyDescent="0.35">
      <c r="B117" s="162" t="s">
        <v>18</v>
      </c>
      <c r="C117" s="206">
        <v>0.12963437061425132</v>
      </c>
      <c r="D117" s="169">
        <f t="shared" si="15"/>
        <v>14</v>
      </c>
    </row>
    <row r="118" spans="2:4" x14ac:dyDescent="0.35">
      <c r="B118" s="163" t="s">
        <v>20</v>
      </c>
      <c r="C118" s="206">
        <v>0.12531764656556324</v>
      </c>
      <c r="D118" s="169">
        <f t="shared" si="15"/>
        <v>15</v>
      </c>
    </row>
    <row r="119" spans="2:4" x14ac:dyDescent="0.35">
      <c r="B119" s="160" t="s">
        <v>11</v>
      </c>
      <c r="C119" s="206">
        <v>0.12524569466283958</v>
      </c>
      <c r="D119" s="169">
        <f t="shared" si="15"/>
        <v>16</v>
      </c>
    </row>
    <row r="120" spans="2:4" x14ac:dyDescent="0.35">
      <c r="B120" s="161" t="s">
        <v>23</v>
      </c>
      <c r="C120" s="206">
        <v>0.1107610574138676</v>
      </c>
      <c r="D120" s="169">
        <f t="shared" si="15"/>
        <v>17</v>
      </c>
    </row>
    <row r="121" spans="2:4" x14ac:dyDescent="0.35">
      <c r="B121" s="161" t="s">
        <v>17</v>
      </c>
      <c r="C121" s="206">
        <v>9.7207179952641887E-2</v>
      </c>
      <c r="D121" s="169">
        <f t="shared" si="15"/>
        <v>18</v>
      </c>
    </row>
    <row r="122" spans="2:4" x14ac:dyDescent="0.35">
      <c r="B122" s="161" t="s">
        <v>16</v>
      </c>
      <c r="C122" s="207">
        <v>7.3283510003543648E-2</v>
      </c>
      <c r="D122" s="169">
        <f t="shared" si="15"/>
        <v>19</v>
      </c>
    </row>
    <row r="123" spans="2:4" x14ac:dyDescent="0.35">
      <c r="B123" s="165" t="s">
        <v>14</v>
      </c>
      <c r="C123" s="315">
        <v>7.2052699045080576E-2</v>
      </c>
      <c r="D123" s="170">
        <f t="shared" si="15"/>
        <v>20</v>
      </c>
    </row>
    <row r="124" spans="2:4" x14ac:dyDescent="0.35">
      <c r="B124" s="36"/>
      <c r="C124" s="38"/>
    </row>
    <row r="125" spans="2:4" x14ac:dyDescent="0.35">
      <c r="B125" s="153" t="s">
        <v>39</v>
      </c>
      <c r="C125" s="127">
        <f>AVERAGE(C104:C123)</f>
        <v>0.2098633945573658</v>
      </c>
    </row>
    <row r="126" spans="2:4" x14ac:dyDescent="0.35">
      <c r="B126" s="326" t="s">
        <v>38</v>
      </c>
      <c r="C126" s="128">
        <f>_xlfn.STDEV.S(C104:C123)</f>
        <v>0.12678785782807295</v>
      </c>
    </row>
    <row r="127" spans="2:4" x14ac:dyDescent="0.35">
      <c r="B127" s="326" t="s">
        <v>50</v>
      </c>
      <c r="C127" s="128">
        <f>C125+C126</f>
        <v>0.33665125238543875</v>
      </c>
    </row>
    <row r="128" spans="2:4" x14ac:dyDescent="0.35">
      <c r="B128" s="154" t="s">
        <v>51</v>
      </c>
      <c r="C128" s="129">
        <f>C125-C126</f>
        <v>8.3075536729292854E-2</v>
      </c>
    </row>
  </sheetData>
  <autoFilter ref="B103:D123" xr:uid="{5F52F8B6-262F-4DC9-96CD-7DA4C382C12F}">
    <sortState xmlns:xlrd2="http://schemas.microsoft.com/office/spreadsheetml/2017/richdata2" ref="B104:D123">
      <sortCondition descending="1" ref="C103:C123"/>
    </sortState>
  </autoFilter>
  <sortState xmlns:xlrd2="http://schemas.microsoft.com/office/spreadsheetml/2017/richdata2" ref="B104:D123">
    <sortCondition descending="1" ref="C104:C123"/>
  </sortState>
  <mergeCells count="7">
    <mergeCell ref="C1:F3"/>
    <mergeCell ref="G1:H3"/>
    <mergeCell ref="I1:I3"/>
    <mergeCell ref="A26:I26"/>
    <mergeCell ref="A101:E101"/>
    <mergeCell ref="A51:I51"/>
    <mergeCell ref="A77:I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91DD-926A-4EAF-85AB-036A034E6A64}">
  <dimension ref="A1:E67"/>
  <sheetViews>
    <sheetView zoomScaleNormal="100" workbookViewId="0">
      <selection activeCell="I54" sqref="I54"/>
    </sheetView>
  </sheetViews>
  <sheetFormatPr defaultRowHeight="14.5" x14ac:dyDescent="0.35"/>
  <cols>
    <col min="1" max="1" width="29" bestFit="1" customWidth="1"/>
    <col min="2" max="2" width="23.90625" bestFit="1" customWidth="1"/>
    <col min="3" max="3" width="16.08984375" customWidth="1"/>
    <col min="4" max="4" width="29.08984375" customWidth="1"/>
    <col min="5" max="5" width="20.6328125" bestFit="1" customWidth="1"/>
  </cols>
  <sheetData>
    <row r="1" spans="1:1" x14ac:dyDescent="0.35">
      <c r="A1" s="572" t="s">
        <v>52</v>
      </c>
    </row>
    <row r="25" spans="1:1" x14ac:dyDescent="0.35">
      <c r="A25" s="572" t="s">
        <v>53</v>
      </c>
    </row>
    <row r="46" spans="1:5" x14ac:dyDescent="0.35">
      <c r="A46" s="572"/>
    </row>
    <row r="47" spans="1:5" x14ac:dyDescent="0.35">
      <c r="A47" s="573" t="s">
        <v>0</v>
      </c>
      <c r="B47" s="573" t="s">
        <v>48</v>
      </c>
      <c r="D47" s="573" t="s">
        <v>0</v>
      </c>
      <c r="E47" s="573" t="s">
        <v>53</v>
      </c>
    </row>
    <row r="48" spans="1:5" x14ac:dyDescent="0.35">
      <c r="A48" s="574" t="s">
        <v>25</v>
      </c>
      <c r="B48" s="560">
        <v>0.52600107335607671</v>
      </c>
      <c r="D48" s="574" t="s">
        <v>25</v>
      </c>
      <c r="E48" s="560">
        <v>0.56185555843567203</v>
      </c>
    </row>
    <row r="49" spans="1:5" x14ac:dyDescent="0.35">
      <c r="A49" s="574" t="s">
        <v>13</v>
      </c>
      <c r="B49" s="560">
        <v>0.47211888988245077</v>
      </c>
      <c r="D49" s="574" t="s">
        <v>8</v>
      </c>
      <c r="E49" s="560">
        <v>0.42984870272803571</v>
      </c>
    </row>
    <row r="50" spans="1:5" x14ac:dyDescent="0.35">
      <c r="A50" s="574" t="s">
        <v>8</v>
      </c>
      <c r="B50" s="560">
        <v>0.40110095236749438</v>
      </c>
      <c r="D50" s="574" t="s">
        <v>13</v>
      </c>
      <c r="E50" s="560">
        <v>0.41449451600107518</v>
      </c>
    </row>
    <row r="51" spans="1:5" x14ac:dyDescent="0.35">
      <c r="A51" s="574" t="s">
        <v>9</v>
      </c>
      <c r="B51" s="561">
        <v>0.24663655583803171</v>
      </c>
      <c r="D51" s="574" t="s">
        <v>24</v>
      </c>
      <c r="E51" s="561">
        <v>0.25830626083121039</v>
      </c>
    </row>
    <row r="52" spans="1:5" x14ac:dyDescent="0.35">
      <c r="A52" s="574" t="s">
        <v>10</v>
      </c>
      <c r="B52" s="561">
        <v>0.20651741073010801</v>
      </c>
      <c r="D52" s="574" t="s">
        <v>10</v>
      </c>
      <c r="E52" s="561">
        <v>0.24966398586990529</v>
      </c>
    </row>
    <row r="53" spans="1:5" x14ac:dyDescent="0.35">
      <c r="A53" s="574" t="s">
        <v>21</v>
      </c>
      <c r="B53" s="561">
        <v>0.19394347019328934</v>
      </c>
      <c r="D53" s="574" t="s">
        <v>9</v>
      </c>
      <c r="E53" s="561">
        <v>0.22980446271765975</v>
      </c>
    </row>
    <row r="54" spans="1:5" x14ac:dyDescent="0.35">
      <c r="A54" s="574" t="s">
        <v>24</v>
      </c>
      <c r="B54" s="561">
        <v>0.19344883404270352</v>
      </c>
      <c r="D54" s="574" t="s">
        <v>22</v>
      </c>
      <c r="E54" s="561">
        <v>0.22644347939290094</v>
      </c>
    </row>
    <row r="55" spans="1:5" x14ac:dyDescent="0.35">
      <c r="A55" s="574" t="s">
        <v>22</v>
      </c>
      <c r="B55" s="562">
        <v>0.18807806610514055</v>
      </c>
      <c r="D55" s="574" t="s">
        <v>21</v>
      </c>
      <c r="E55" s="562">
        <v>0.20482639177978526</v>
      </c>
    </row>
    <row r="56" spans="1:5" x14ac:dyDescent="0.35">
      <c r="A56" s="574" t="s">
        <v>12</v>
      </c>
      <c r="B56" s="562">
        <v>0.17688682359859412</v>
      </c>
      <c r="D56" s="574" t="s">
        <v>27</v>
      </c>
      <c r="E56" s="562">
        <v>0.19608626547129937</v>
      </c>
    </row>
    <row r="57" spans="1:5" x14ac:dyDescent="0.35">
      <c r="A57" s="574" t="s">
        <v>27</v>
      </c>
      <c r="B57" s="562">
        <v>0.15965155279782609</v>
      </c>
      <c r="D57" s="574" t="s">
        <v>19</v>
      </c>
      <c r="E57" s="562">
        <v>0.18130553795643464</v>
      </c>
    </row>
    <row r="58" spans="1:5" x14ac:dyDescent="0.35">
      <c r="A58" s="574" t="s">
        <v>19</v>
      </c>
      <c r="B58" s="562">
        <v>0.1535809898155788</v>
      </c>
      <c r="D58" s="574" t="s">
        <v>26</v>
      </c>
      <c r="E58" s="562">
        <v>0.17561569104116911</v>
      </c>
    </row>
    <row r="59" spans="1:5" x14ac:dyDescent="0.35">
      <c r="A59" s="574" t="s">
        <v>26</v>
      </c>
      <c r="B59" s="562">
        <v>0.13652831114301783</v>
      </c>
      <c r="D59" s="574" t="s">
        <v>15</v>
      </c>
      <c r="E59" s="562">
        <v>0.16948294957846788</v>
      </c>
    </row>
    <row r="60" spans="1:5" x14ac:dyDescent="0.35">
      <c r="A60" s="574" t="s">
        <v>11</v>
      </c>
      <c r="B60" s="562">
        <v>0.13310715153703909</v>
      </c>
      <c r="D60" s="574" t="s">
        <v>12</v>
      </c>
      <c r="E60" s="562">
        <v>0.16603193108591296</v>
      </c>
    </row>
    <row r="61" spans="1:5" x14ac:dyDescent="0.35">
      <c r="A61" s="574" t="s">
        <v>15</v>
      </c>
      <c r="B61" s="562">
        <v>0.11035701150321557</v>
      </c>
      <c r="D61" s="574" t="s">
        <v>18</v>
      </c>
      <c r="E61" s="562">
        <v>0.12963437061425132</v>
      </c>
    </row>
    <row r="62" spans="1:5" x14ac:dyDescent="0.35">
      <c r="A62" s="574" t="s">
        <v>23</v>
      </c>
      <c r="B62" s="562">
        <v>0.10877743602481338</v>
      </c>
      <c r="D62" s="574" t="s">
        <v>20</v>
      </c>
      <c r="E62" s="562">
        <v>0.12531764656556324</v>
      </c>
    </row>
    <row r="63" spans="1:5" x14ac:dyDescent="0.35">
      <c r="A63" s="574" t="s">
        <v>18</v>
      </c>
      <c r="B63" s="562">
        <v>0.10608469312409391</v>
      </c>
      <c r="D63" s="574" t="s">
        <v>11</v>
      </c>
      <c r="E63" s="562">
        <v>0.12524569466283958</v>
      </c>
    </row>
    <row r="64" spans="1:5" x14ac:dyDescent="0.35">
      <c r="A64" s="574" t="s">
        <v>20</v>
      </c>
      <c r="B64" s="562">
        <v>0.10117925830165744</v>
      </c>
      <c r="D64" s="574" t="s">
        <v>23</v>
      </c>
      <c r="E64" s="562">
        <v>0.1107610574138676</v>
      </c>
    </row>
    <row r="65" spans="1:5" x14ac:dyDescent="0.35">
      <c r="A65" s="574" t="s">
        <v>17</v>
      </c>
      <c r="B65" s="562">
        <v>8.2703292187294386E-2</v>
      </c>
      <c r="D65" s="574" t="s">
        <v>17</v>
      </c>
      <c r="E65" s="562">
        <v>9.7207179952641887E-2</v>
      </c>
    </row>
    <row r="66" spans="1:5" x14ac:dyDescent="0.35">
      <c r="A66" s="574" t="s">
        <v>16</v>
      </c>
      <c r="B66" s="562">
        <v>6.2950263858956967E-2</v>
      </c>
      <c r="D66" s="574" t="s">
        <v>16</v>
      </c>
      <c r="E66" s="563">
        <v>7.3283510003543648E-2</v>
      </c>
    </row>
    <row r="67" spans="1:5" x14ac:dyDescent="0.35">
      <c r="A67" s="574" t="s">
        <v>14</v>
      </c>
      <c r="B67" s="563">
        <v>3.3832808434846928E-2</v>
      </c>
      <c r="D67" s="574" t="s">
        <v>14</v>
      </c>
      <c r="E67" s="563">
        <v>7.2052699045080576E-2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BE8A-5426-4161-8D9F-7CD0271136AB}">
  <dimension ref="A2:S26"/>
  <sheetViews>
    <sheetView zoomScaleNormal="100" workbookViewId="0">
      <selection activeCell="G27" sqref="G27"/>
    </sheetView>
  </sheetViews>
  <sheetFormatPr defaultColWidth="9.08984375" defaultRowHeight="14.5" x14ac:dyDescent="0.35"/>
  <cols>
    <col min="1" max="1" width="11.54296875" style="12" customWidth="1"/>
    <col min="2" max="2" width="21.36328125" style="12" customWidth="1"/>
    <col min="3" max="3" width="18" style="12" customWidth="1"/>
    <col min="4" max="4" width="10.453125" style="12" customWidth="1"/>
    <col min="5" max="5" width="20.08984375" style="12" customWidth="1"/>
    <col min="6" max="6" width="10.453125" style="12" customWidth="1"/>
    <col min="7" max="7" width="26" style="12" customWidth="1"/>
    <col min="8" max="15" width="10.453125" style="12" customWidth="1"/>
    <col min="16" max="16384" width="9.08984375" style="12"/>
  </cols>
  <sheetData>
    <row r="2" spans="1:19" x14ac:dyDescent="0.35">
      <c r="A2" s="213" t="s">
        <v>61</v>
      </c>
      <c r="B2" s="38"/>
      <c r="C2" s="38"/>
      <c r="E2" s="620" t="s">
        <v>62</v>
      </c>
      <c r="F2" s="621"/>
      <c r="G2" s="622"/>
      <c r="I2" s="623"/>
      <c r="J2" s="624"/>
      <c r="K2" s="624"/>
      <c r="L2" s="624"/>
      <c r="M2" s="624"/>
      <c r="N2" s="624"/>
      <c r="O2" s="624"/>
      <c r="P2" s="624"/>
      <c r="Q2" s="624"/>
      <c r="R2" s="624"/>
      <c r="S2" s="625"/>
    </row>
    <row r="3" spans="1:19" x14ac:dyDescent="0.35">
      <c r="A3" s="214">
        <v>0.76401390000000002</v>
      </c>
      <c r="B3" s="282" t="s">
        <v>63</v>
      </c>
      <c r="C3" s="282" t="s">
        <v>64</v>
      </c>
      <c r="I3" s="626"/>
      <c r="J3" s="627"/>
      <c r="K3" s="627"/>
      <c r="L3" s="627"/>
      <c r="M3" s="627"/>
      <c r="N3" s="627"/>
      <c r="O3" s="627"/>
      <c r="P3" s="627"/>
      <c r="Q3" s="627"/>
      <c r="R3" s="627"/>
      <c r="S3" s="628"/>
    </row>
    <row r="4" spans="1:19" ht="18.5" x14ac:dyDescent="0.35">
      <c r="A4" s="283">
        <v>0.76543950000000005</v>
      </c>
      <c r="B4" s="279">
        <f>A4-A3</f>
        <v>1.4256000000000268E-3</v>
      </c>
      <c r="C4" s="280">
        <f>A4/A3</f>
        <v>1.0018659346381003</v>
      </c>
      <c r="E4" s="224" t="s">
        <v>65</v>
      </c>
      <c r="F4" s="224"/>
      <c r="G4" s="224" t="s">
        <v>66</v>
      </c>
      <c r="I4" s="626"/>
      <c r="J4" s="627"/>
      <c r="K4" s="627"/>
      <c r="L4" s="627"/>
      <c r="M4" s="627"/>
      <c r="N4" s="627"/>
      <c r="O4" s="627"/>
      <c r="P4" s="627"/>
      <c r="Q4" s="627"/>
      <c r="R4" s="627"/>
      <c r="S4" s="628"/>
    </row>
    <row r="5" spans="1:19" ht="18.5" x14ac:dyDescent="0.35">
      <c r="A5" s="283">
        <v>0.93726069999999995</v>
      </c>
      <c r="B5" s="199">
        <f t="shared" ref="B5:B19" si="0">A5-A4</f>
        <v>0.1718211999999999</v>
      </c>
      <c r="C5" s="197">
        <f t="shared" ref="C5:C21" si="1">A5/A4</f>
        <v>1.2244739133530473</v>
      </c>
      <c r="E5" s="224" t="s">
        <v>67</v>
      </c>
      <c r="F5" s="38"/>
      <c r="G5" s="224" t="s">
        <v>68</v>
      </c>
      <c r="I5" s="626"/>
      <c r="J5" s="627"/>
      <c r="K5" s="627"/>
      <c r="L5" s="627"/>
      <c r="M5" s="627"/>
      <c r="N5" s="627"/>
      <c r="O5" s="627"/>
      <c r="P5" s="627"/>
      <c r="Q5" s="627"/>
      <c r="R5" s="627"/>
      <c r="S5" s="628"/>
    </row>
    <row r="6" spans="1:19" x14ac:dyDescent="0.35">
      <c r="A6" s="283">
        <v>1.040519</v>
      </c>
      <c r="B6" s="199">
        <f t="shared" si="0"/>
        <v>0.10325830000000003</v>
      </c>
      <c r="C6" s="197">
        <f t="shared" si="1"/>
        <v>1.1101703080050194</v>
      </c>
      <c r="E6" s="221" t="s">
        <v>8</v>
      </c>
      <c r="G6" s="285" t="s">
        <v>25</v>
      </c>
      <c r="I6" s="626"/>
      <c r="J6" s="627"/>
      <c r="K6" s="627"/>
      <c r="L6" s="627"/>
      <c r="M6" s="627"/>
      <c r="N6" s="627"/>
      <c r="O6" s="627"/>
      <c r="P6" s="627"/>
      <c r="Q6" s="627"/>
      <c r="R6" s="627"/>
      <c r="S6" s="628"/>
    </row>
    <row r="7" spans="1:19" x14ac:dyDescent="0.35">
      <c r="A7" s="283">
        <v>1.0934710000000001</v>
      </c>
      <c r="B7" s="199">
        <f t="shared" si="0"/>
        <v>5.295200000000011E-2</v>
      </c>
      <c r="C7" s="197">
        <f t="shared" si="1"/>
        <v>1.0508899885537892</v>
      </c>
      <c r="E7" s="222" t="s">
        <v>9</v>
      </c>
      <c r="G7" s="38"/>
      <c r="I7" s="626"/>
      <c r="J7" s="627"/>
      <c r="K7" s="627"/>
      <c r="L7" s="627"/>
      <c r="M7" s="627"/>
      <c r="N7" s="627"/>
      <c r="O7" s="627"/>
      <c r="P7" s="627"/>
      <c r="Q7" s="627"/>
      <c r="R7" s="627"/>
      <c r="S7" s="628"/>
    </row>
    <row r="8" spans="1:19" x14ac:dyDescent="0.35">
      <c r="A8" s="283">
        <v>1.0934710000000001</v>
      </c>
      <c r="B8" s="199">
        <f t="shared" si="0"/>
        <v>0</v>
      </c>
      <c r="C8" s="197">
        <f t="shared" si="1"/>
        <v>1</v>
      </c>
      <c r="E8" s="222" t="s">
        <v>11</v>
      </c>
      <c r="G8" s="38"/>
      <c r="I8" s="626"/>
      <c r="J8" s="627"/>
      <c r="K8" s="627"/>
      <c r="L8" s="627"/>
      <c r="M8" s="627"/>
      <c r="N8" s="627"/>
      <c r="O8" s="627"/>
      <c r="P8" s="627"/>
      <c r="Q8" s="627"/>
      <c r="R8" s="627"/>
      <c r="S8" s="628"/>
    </row>
    <row r="9" spans="1:19" x14ac:dyDescent="0.35">
      <c r="A9" s="283">
        <v>1.1914039999999999</v>
      </c>
      <c r="B9" s="199">
        <f t="shared" si="0"/>
        <v>9.7932999999999826E-2</v>
      </c>
      <c r="C9" s="197">
        <f t="shared" si="1"/>
        <v>1.0895615887389787</v>
      </c>
      <c r="E9" s="222" t="s">
        <v>15</v>
      </c>
      <c r="G9" s="38"/>
      <c r="I9" s="626"/>
      <c r="J9" s="627"/>
      <c r="K9" s="627"/>
      <c r="L9" s="627"/>
      <c r="M9" s="627"/>
      <c r="N9" s="627"/>
      <c r="O9" s="627"/>
      <c r="P9" s="627"/>
      <c r="Q9" s="627"/>
      <c r="R9" s="627"/>
      <c r="S9" s="628"/>
    </row>
    <row r="10" spans="1:19" x14ac:dyDescent="0.35">
      <c r="A10" s="283">
        <v>1.2142059999999999</v>
      </c>
      <c r="B10" s="199">
        <f t="shared" si="0"/>
        <v>2.2801999999999989E-2</v>
      </c>
      <c r="C10" s="197">
        <f t="shared" si="1"/>
        <v>1.0191387640128788</v>
      </c>
      <c r="E10" s="222" t="s">
        <v>16</v>
      </c>
      <c r="I10" s="626"/>
      <c r="J10" s="627"/>
      <c r="K10" s="627"/>
      <c r="L10" s="627"/>
      <c r="M10" s="627"/>
      <c r="N10" s="627"/>
      <c r="O10" s="627"/>
      <c r="P10" s="627"/>
      <c r="Q10" s="627"/>
      <c r="R10" s="627"/>
      <c r="S10" s="628"/>
    </row>
    <row r="11" spans="1:19" x14ac:dyDescent="0.35">
      <c r="A11" s="283">
        <v>1.2999149999999999</v>
      </c>
      <c r="B11" s="199">
        <f t="shared" si="0"/>
        <v>8.5709000000000035E-2</v>
      </c>
      <c r="C11" s="197">
        <f t="shared" si="1"/>
        <v>1.0705885162814217</v>
      </c>
      <c r="E11" s="222" t="s">
        <v>23</v>
      </c>
      <c r="I11" s="626"/>
      <c r="J11" s="627"/>
      <c r="K11" s="627"/>
      <c r="L11" s="627"/>
      <c r="M11" s="627"/>
      <c r="N11" s="627"/>
      <c r="O11" s="627"/>
      <c r="P11" s="627"/>
      <c r="Q11" s="627"/>
      <c r="R11" s="627"/>
      <c r="S11" s="628"/>
    </row>
    <row r="12" spans="1:19" x14ac:dyDescent="0.35">
      <c r="A12" s="283">
        <v>1.3692740000000001</v>
      </c>
      <c r="B12" s="199">
        <f t="shared" si="0"/>
        <v>6.9359000000000171E-2</v>
      </c>
      <c r="C12" s="197">
        <f t="shared" si="1"/>
        <v>1.0533565656215984</v>
      </c>
      <c r="E12" s="222" t="s">
        <v>18</v>
      </c>
      <c r="I12" s="626"/>
      <c r="J12" s="627"/>
      <c r="K12" s="627"/>
      <c r="L12" s="627"/>
      <c r="M12" s="627"/>
      <c r="N12" s="627"/>
      <c r="O12" s="627"/>
      <c r="P12" s="627"/>
      <c r="Q12" s="627"/>
      <c r="R12" s="627"/>
      <c r="S12" s="628"/>
    </row>
    <row r="13" spans="1:19" x14ac:dyDescent="0.35">
      <c r="A13" s="283">
        <v>1.387402</v>
      </c>
      <c r="B13" s="199">
        <f t="shared" si="0"/>
        <v>1.8127999999999922E-2</v>
      </c>
      <c r="C13" s="197">
        <f t="shared" si="1"/>
        <v>1.013239132562219</v>
      </c>
      <c r="E13" s="222" t="s">
        <v>17</v>
      </c>
      <c r="I13" s="626"/>
      <c r="J13" s="627"/>
      <c r="K13" s="627"/>
      <c r="L13" s="627"/>
      <c r="M13" s="627"/>
      <c r="N13" s="627"/>
      <c r="O13" s="627"/>
      <c r="P13" s="627"/>
      <c r="Q13" s="627"/>
      <c r="R13" s="627"/>
      <c r="S13" s="628"/>
    </row>
    <row r="14" spans="1:19" x14ac:dyDescent="0.35">
      <c r="A14" s="283">
        <v>1.5280279999999999</v>
      </c>
      <c r="B14" s="199">
        <f t="shared" si="0"/>
        <v>0.14062599999999992</v>
      </c>
      <c r="C14" s="197">
        <f t="shared" si="1"/>
        <v>1.1013592311384877</v>
      </c>
      <c r="E14" s="222" t="s">
        <v>20</v>
      </c>
      <c r="I14" s="626"/>
      <c r="J14" s="627"/>
      <c r="K14" s="627"/>
      <c r="L14" s="627"/>
      <c r="M14" s="627"/>
      <c r="N14" s="627"/>
      <c r="O14" s="627"/>
      <c r="P14" s="627"/>
      <c r="Q14" s="627"/>
      <c r="R14" s="627"/>
      <c r="S14" s="628"/>
    </row>
    <row r="15" spans="1:19" x14ac:dyDescent="0.35">
      <c r="A15" s="283">
        <v>1.5280279999999999</v>
      </c>
      <c r="B15" s="199">
        <f t="shared" si="0"/>
        <v>0</v>
      </c>
      <c r="C15" s="197">
        <f t="shared" si="1"/>
        <v>1</v>
      </c>
      <c r="E15" s="222" t="s">
        <v>19</v>
      </c>
      <c r="I15" s="626"/>
      <c r="J15" s="627"/>
      <c r="K15" s="627"/>
      <c r="L15" s="627"/>
      <c r="M15" s="627"/>
      <c r="N15" s="627"/>
      <c r="O15" s="627"/>
      <c r="P15" s="627"/>
      <c r="Q15" s="627"/>
      <c r="R15" s="627"/>
      <c r="S15" s="628"/>
    </row>
    <row r="16" spans="1:19" x14ac:dyDescent="0.35">
      <c r="A16" s="283">
        <v>1.5280279999999999</v>
      </c>
      <c r="B16" s="199">
        <f t="shared" si="0"/>
        <v>0</v>
      </c>
      <c r="C16" s="197">
        <f t="shared" si="1"/>
        <v>1</v>
      </c>
      <c r="E16" s="222" t="s">
        <v>21</v>
      </c>
      <c r="I16" s="626"/>
      <c r="J16" s="627"/>
      <c r="K16" s="627"/>
      <c r="L16" s="627"/>
      <c r="M16" s="627"/>
      <c r="N16" s="627"/>
      <c r="O16" s="627"/>
      <c r="P16" s="627"/>
      <c r="Q16" s="627"/>
      <c r="R16" s="627"/>
      <c r="S16" s="628"/>
    </row>
    <row r="17" spans="1:19" x14ac:dyDescent="0.35">
      <c r="A17" s="283">
        <v>1.5280279999999999</v>
      </c>
      <c r="B17" s="199">
        <f t="shared" si="0"/>
        <v>0</v>
      </c>
      <c r="C17" s="197">
        <f t="shared" si="1"/>
        <v>1</v>
      </c>
      <c r="E17" s="222" t="s">
        <v>22</v>
      </c>
      <c r="I17" s="626"/>
      <c r="J17" s="627"/>
      <c r="K17" s="627"/>
      <c r="L17" s="627"/>
      <c r="M17" s="627"/>
      <c r="N17" s="627"/>
      <c r="O17" s="627"/>
      <c r="P17" s="627"/>
      <c r="Q17" s="627"/>
      <c r="R17" s="627"/>
      <c r="S17" s="628"/>
    </row>
    <row r="18" spans="1:19" x14ac:dyDescent="0.35">
      <c r="A18" s="283">
        <v>1.6264719999999999</v>
      </c>
      <c r="B18" s="199">
        <f t="shared" si="0"/>
        <v>9.8443999999999976E-2</v>
      </c>
      <c r="C18" s="197">
        <f t="shared" si="1"/>
        <v>1.0644255209983062</v>
      </c>
      <c r="E18" s="222" t="s">
        <v>24</v>
      </c>
      <c r="I18" s="626"/>
      <c r="J18" s="627"/>
      <c r="K18" s="627"/>
      <c r="L18" s="627"/>
      <c r="M18" s="627"/>
      <c r="N18" s="627"/>
      <c r="O18" s="627"/>
      <c r="P18" s="627"/>
      <c r="Q18" s="627"/>
      <c r="R18" s="627"/>
      <c r="S18" s="628"/>
    </row>
    <row r="19" spans="1:19" x14ac:dyDescent="0.35">
      <c r="A19" s="283">
        <v>2.1839270000000002</v>
      </c>
      <c r="B19" s="199">
        <f t="shared" si="0"/>
        <v>0.55745500000000026</v>
      </c>
      <c r="C19" s="197">
        <f t="shared" si="1"/>
        <v>1.3427387621797364</v>
      </c>
      <c r="E19" s="222" t="s">
        <v>26</v>
      </c>
      <c r="I19" s="626"/>
      <c r="J19" s="627"/>
      <c r="K19" s="627"/>
      <c r="L19" s="627"/>
      <c r="M19" s="627"/>
      <c r="N19" s="627"/>
      <c r="O19" s="627"/>
      <c r="P19" s="627"/>
      <c r="Q19" s="627"/>
      <c r="R19" s="627"/>
      <c r="S19" s="628"/>
    </row>
    <row r="20" spans="1:19" x14ac:dyDescent="0.35">
      <c r="A20" s="283">
        <v>2.546713</v>
      </c>
      <c r="B20" s="199">
        <f>A20-A19</f>
        <v>0.36278599999999983</v>
      </c>
      <c r="C20" s="197">
        <f t="shared" si="1"/>
        <v>1.1661163582848693</v>
      </c>
      <c r="E20" s="222" t="s">
        <v>27</v>
      </c>
      <c r="I20" s="626"/>
      <c r="J20" s="627"/>
      <c r="K20" s="627"/>
      <c r="L20" s="627"/>
      <c r="M20" s="627"/>
      <c r="N20" s="627"/>
      <c r="O20" s="627"/>
      <c r="P20" s="627"/>
      <c r="Q20" s="627"/>
      <c r="R20" s="627"/>
      <c r="S20" s="628"/>
    </row>
    <row r="21" spans="1:19" x14ac:dyDescent="0.35">
      <c r="A21" s="284">
        <v>4.2591929999999998</v>
      </c>
      <c r="B21" s="281">
        <f>A21-A20</f>
        <v>1.7124799999999998</v>
      </c>
      <c r="C21" s="209">
        <f t="shared" si="1"/>
        <v>1.6724275566190614</v>
      </c>
      <c r="E21" s="222" t="s">
        <v>12</v>
      </c>
      <c r="I21" s="626"/>
      <c r="J21" s="627"/>
      <c r="K21" s="627"/>
      <c r="L21" s="627"/>
      <c r="M21" s="627"/>
      <c r="N21" s="627"/>
      <c r="O21" s="627"/>
      <c r="P21" s="627"/>
      <c r="Q21" s="627"/>
      <c r="R21" s="627"/>
      <c r="S21" s="628"/>
    </row>
    <row r="22" spans="1:19" x14ac:dyDescent="0.35">
      <c r="A22" s="193"/>
      <c r="B22" s="38"/>
      <c r="C22" s="38"/>
      <c r="E22" s="222" t="s">
        <v>10</v>
      </c>
      <c r="I22" s="626"/>
      <c r="J22" s="627"/>
      <c r="K22" s="627"/>
      <c r="L22" s="627"/>
      <c r="M22" s="627"/>
      <c r="N22" s="627"/>
      <c r="O22" s="627"/>
      <c r="P22" s="627"/>
      <c r="Q22" s="627"/>
      <c r="R22" s="627"/>
      <c r="S22" s="628"/>
    </row>
    <row r="23" spans="1:19" x14ac:dyDescent="0.35">
      <c r="E23" s="222" t="s">
        <v>14</v>
      </c>
      <c r="I23" s="626"/>
      <c r="J23" s="627"/>
      <c r="K23" s="627"/>
      <c r="L23" s="627"/>
      <c r="M23" s="627"/>
      <c r="N23" s="627"/>
      <c r="O23" s="627"/>
      <c r="P23" s="627"/>
      <c r="Q23" s="627"/>
      <c r="R23" s="627"/>
      <c r="S23" s="628"/>
    </row>
    <row r="24" spans="1:19" ht="32.25" customHeight="1" x14ac:dyDescent="0.35">
      <c r="A24" s="192"/>
      <c r="E24" s="286" t="s">
        <v>13</v>
      </c>
      <c r="I24" s="626"/>
      <c r="J24" s="627"/>
      <c r="K24" s="627"/>
      <c r="L24" s="627"/>
      <c r="M24" s="627"/>
      <c r="N24" s="627"/>
      <c r="O24" s="627"/>
      <c r="P24" s="627"/>
      <c r="Q24" s="627"/>
      <c r="R24" s="627"/>
      <c r="S24" s="628"/>
    </row>
    <row r="25" spans="1:19" x14ac:dyDescent="0.35">
      <c r="A25" s="192"/>
      <c r="B25" s="192"/>
      <c r="I25" s="626"/>
      <c r="J25" s="627"/>
      <c r="K25" s="627"/>
      <c r="L25" s="627"/>
      <c r="M25" s="627"/>
      <c r="N25" s="627"/>
      <c r="O25" s="627"/>
      <c r="P25" s="627"/>
      <c r="Q25" s="627"/>
      <c r="R25" s="627"/>
      <c r="S25" s="628"/>
    </row>
    <row r="26" spans="1:19" x14ac:dyDescent="0.35">
      <c r="I26" s="629"/>
      <c r="J26" s="630"/>
      <c r="K26" s="630"/>
      <c r="L26" s="630"/>
      <c r="M26" s="630"/>
      <c r="N26" s="630"/>
      <c r="O26" s="630"/>
      <c r="P26" s="630"/>
      <c r="Q26" s="630"/>
      <c r="R26" s="630"/>
      <c r="S26" s="631"/>
    </row>
  </sheetData>
  <mergeCells count="2">
    <mergeCell ref="E2:G2"/>
    <mergeCell ref="I2:S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A5D7-448B-43A6-818C-721986EFFD49}">
  <dimension ref="A2:S44"/>
  <sheetViews>
    <sheetView zoomScaleNormal="100" workbookViewId="0">
      <selection activeCell="H17" sqref="H17"/>
    </sheetView>
  </sheetViews>
  <sheetFormatPr defaultColWidth="9.08984375" defaultRowHeight="14.5" x14ac:dyDescent="0.35"/>
  <cols>
    <col min="1" max="1" width="11.90625" style="12" customWidth="1"/>
    <col min="2" max="2" width="22.08984375" style="12" customWidth="1"/>
    <col min="3" max="3" width="18.453125" style="12" customWidth="1"/>
    <col min="4" max="4" width="9.08984375" style="12"/>
    <col min="5" max="5" width="19.54296875" style="12" customWidth="1"/>
    <col min="6" max="6" width="9.08984375" style="12"/>
    <col min="7" max="7" width="28" style="12" customWidth="1"/>
    <col min="8" max="16384" width="9.08984375" style="12"/>
  </cols>
  <sheetData>
    <row r="2" spans="1:19" x14ac:dyDescent="0.35">
      <c r="A2" s="213" t="s">
        <v>61</v>
      </c>
      <c r="B2" s="38"/>
      <c r="C2" s="38"/>
      <c r="E2" s="620" t="s">
        <v>62</v>
      </c>
      <c r="F2" s="621"/>
      <c r="G2" s="622"/>
      <c r="I2" s="623"/>
      <c r="J2" s="624"/>
      <c r="K2" s="624"/>
      <c r="L2" s="624"/>
      <c r="M2" s="624"/>
      <c r="N2" s="624"/>
      <c r="O2" s="624"/>
      <c r="P2" s="624"/>
      <c r="Q2" s="624"/>
      <c r="R2" s="624"/>
      <c r="S2" s="625"/>
    </row>
    <row r="3" spans="1:19" x14ac:dyDescent="0.35">
      <c r="A3" s="214">
        <v>2.3566240000000001</v>
      </c>
      <c r="B3" s="210" t="s">
        <v>63</v>
      </c>
      <c r="C3" s="210" t="s">
        <v>64</v>
      </c>
      <c r="I3" s="626"/>
      <c r="J3" s="627"/>
      <c r="K3" s="627"/>
      <c r="L3" s="627"/>
      <c r="M3" s="627"/>
      <c r="N3" s="627"/>
      <c r="O3" s="627"/>
      <c r="P3" s="627"/>
      <c r="Q3" s="627"/>
      <c r="R3" s="627"/>
      <c r="S3" s="628"/>
    </row>
    <row r="4" spans="1:19" ht="18.5" x14ac:dyDescent="0.35">
      <c r="A4" s="215">
        <v>2.5081020000000001</v>
      </c>
      <c r="B4" s="208">
        <f>A4-A3</f>
        <v>0.151478</v>
      </c>
      <c r="C4" s="197">
        <f>A4/A3</f>
        <v>1.0642775427900251</v>
      </c>
      <c r="E4" s="224" t="s">
        <v>65</v>
      </c>
      <c r="F4" s="224"/>
      <c r="G4" s="224" t="s">
        <v>66</v>
      </c>
      <c r="I4" s="626"/>
      <c r="J4" s="627"/>
      <c r="K4" s="627"/>
      <c r="L4" s="627"/>
      <c r="M4" s="627"/>
      <c r="N4" s="627"/>
      <c r="O4" s="627"/>
      <c r="P4" s="627"/>
      <c r="Q4" s="627"/>
      <c r="R4" s="627"/>
      <c r="S4" s="628"/>
    </row>
    <row r="5" spans="1:19" ht="18.5" x14ac:dyDescent="0.35">
      <c r="A5" s="215">
        <v>2.711481</v>
      </c>
      <c r="B5" s="208">
        <f t="shared" ref="B5:B20" si="0">A5-A4</f>
        <v>0.20337899999999998</v>
      </c>
      <c r="C5" s="197">
        <f t="shared" ref="C5:C20" si="1">A5/A4</f>
        <v>1.0810888073930007</v>
      </c>
      <c r="E5" s="224" t="s">
        <v>69</v>
      </c>
      <c r="F5" s="38"/>
      <c r="G5" s="224" t="s">
        <v>70</v>
      </c>
      <c r="I5" s="626"/>
      <c r="J5" s="627"/>
      <c r="K5" s="627"/>
      <c r="L5" s="627"/>
      <c r="M5" s="627"/>
      <c r="N5" s="627"/>
      <c r="O5" s="627"/>
      <c r="P5" s="627"/>
      <c r="Q5" s="627"/>
      <c r="R5" s="627"/>
      <c r="S5" s="628"/>
    </row>
    <row r="6" spans="1:19" x14ac:dyDescent="0.35">
      <c r="A6" s="215">
        <v>3.1315270000000002</v>
      </c>
      <c r="B6" s="208">
        <f t="shared" si="0"/>
        <v>0.42004600000000014</v>
      </c>
      <c r="C6" s="197">
        <f t="shared" si="1"/>
        <v>1.1549138644157935</v>
      </c>
      <c r="E6" s="218" t="s">
        <v>10</v>
      </c>
      <c r="G6" s="221" t="s">
        <v>8</v>
      </c>
      <c r="I6" s="626"/>
      <c r="J6" s="627"/>
      <c r="K6" s="627"/>
      <c r="L6" s="627"/>
      <c r="M6" s="627"/>
      <c r="N6" s="627"/>
      <c r="O6" s="627"/>
      <c r="P6" s="627"/>
      <c r="Q6" s="627"/>
      <c r="R6" s="627"/>
      <c r="S6" s="628"/>
    </row>
    <row r="7" spans="1:19" x14ac:dyDescent="0.35">
      <c r="A7" s="215">
        <v>3.1905830000000002</v>
      </c>
      <c r="B7" s="208">
        <f t="shared" si="0"/>
        <v>5.9055999999999997E-2</v>
      </c>
      <c r="C7" s="197">
        <f t="shared" si="1"/>
        <v>1.0188585313171497</v>
      </c>
      <c r="E7" s="219" t="s">
        <v>11</v>
      </c>
      <c r="G7" s="222" t="s">
        <v>9</v>
      </c>
      <c r="I7" s="626"/>
      <c r="J7" s="627"/>
      <c r="K7" s="627"/>
      <c r="L7" s="627"/>
      <c r="M7" s="627"/>
      <c r="N7" s="627"/>
      <c r="O7" s="627"/>
      <c r="P7" s="627"/>
      <c r="Q7" s="627"/>
      <c r="R7" s="627"/>
      <c r="S7" s="628"/>
    </row>
    <row r="8" spans="1:19" x14ac:dyDescent="0.35">
      <c r="A8" s="215">
        <v>3.3342869999999998</v>
      </c>
      <c r="B8" s="208">
        <f t="shared" si="0"/>
        <v>0.14370399999999961</v>
      </c>
      <c r="C8" s="197">
        <f t="shared" si="1"/>
        <v>1.0450400444056775</v>
      </c>
      <c r="E8" s="219" t="s">
        <v>26</v>
      </c>
      <c r="G8" s="222" t="s">
        <v>12</v>
      </c>
      <c r="I8" s="626"/>
      <c r="J8" s="627"/>
      <c r="K8" s="627"/>
      <c r="L8" s="627"/>
      <c r="M8" s="627"/>
      <c r="N8" s="627"/>
      <c r="O8" s="627"/>
      <c r="P8" s="627"/>
      <c r="Q8" s="627"/>
      <c r="R8" s="627"/>
      <c r="S8" s="628"/>
    </row>
    <row r="9" spans="1:19" x14ac:dyDescent="0.35">
      <c r="A9" s="215">
        <v>3.4688080000000001</v>
      </c>
      <c r="B9" s="208">
        <f t="shared" si="0"/>
        <v>0.13452100000000033</v>
      </c>
      <c r="C9" s="197">
        <f t="shared" si="1"/>
        <v>1.040344757364918</v>
      </c>
      <c r="E9" s="219" t="s">
        <v>14</v>
      </c>
      <c r="G9" s="198" t="s">
        <v>13</v>
      </c>
      <c r="I9" s="626"/>
      <c r="J9" s="627"/>
      <c r="K9" s="627"/>
      <c r="L9" s="627"/>
      <c r="M9" s="627"/>
      <c r="N9" s="627"/>
      <c r="O9" s="627"/>
      <c r="P9" s="627"/>
      <c r="Q9" s="627"/>
      <c r="R9" s="627"/>
      <c r="S9" s="628"/>
    </row>
    <row r="10" spans="1:19" x14ac:dyDescent="0.35">
      <c r="A10" s="215">
        <v>3.683751</v>
      </c>
      <c r="B10" s="208">
        <f t="shared" si="0"/>
        <v>0.21494299999999988</v>
      </c>
      <c r="C10" s="197">
        <f t="shared" si="1"/>
        <v>1.0619645134582254</v>
      </c>
      <c r="E10" s="219" t="s">
        <v>20</v>
      </c>
      <c r="I10" s="626"/>
      <c r="J10" s="627"/>
      <c r="K10" s="627"/>
      <c r="L10" s="627"/>
      <c r="M10" s="627"/>
      <c r="N10" s="627"/>
      <c r="O10" s="627"/>
      <c r="P10" s="627"/>
      <c r="Q10" s="627"/>
      <c r="R10" s="627"/>
      <c r="S10" s="628"/>
    </row>
    <row r="11" spans="1:19" x14ac:dyDescent="0.35">
      <c r="A11" s="215">
        <v>3.7213889999999998</v>
      </c>
      <c r="B11" s="208">
        <f t="shared" si="0"/>
        <v>3.7637999999999838E-2</v>
      </c>
      <c r="C11" s="197">
        <f t="shared" si="1"/>
        <v>1.0102173029610306</v>
      </c>
      <c r="E11" s="219" t="s">
        <v>15</v>
      </c>
      <c r="I11" s="626"/>
      <c r="J11" s="627"/>
      <c r="K11" s="627"/>
      <c r="L11" s="627"/>
      <c r="M11" s="627"/>
      <c r="N11" s="627"/>
      <c r="O11" s="627"/>
      <c r="P11" s="627"/>
      <c r="Q11" s="627"/>
      <c r="R11" s="627"/>
      <c r="S11" s="628"/>
    </row>
    <row r="12" spans="1:19" x14ac:dyDescent="0.35">
      <c r="A12" s="215">
        <v>4.8041359999999997</v>
      </c>
      <c r="B12" s="208">
        <f t="shared" si="0"/>
        <v>1.0827469999999999</v>
      </c>
      <c r="C12" s="197">
        <f t="shared" si="1"/>
        <v>1.2909523836395496</v>
      </c>
      <c r="E12" s="219" t="s">
        <v>18</v>
      </c>
      <c r="I12" s="626"/>
      <c r="J12" s="627"/>
      <c r="K12" s="627"/>
      <c r="L12" s="627"/>
      <c r="M12" s="627"/>
      <c r="N12" s="627"/>
      <c r="O12" s="627"/>
      <c r="P12" s="627"/>
      <c r="Q12" s="627"/>
      <c r="R12" s="627"/>
      <c r="S12" s="628"/>
    </row>
    <row r="13" spans="1:19" x14ac:dyDescent="0.35">
      <c r="A13" s="215">
        <v>5.3564759999999998</v>
      </c>
      <c r="B13" s="208">
        <f t="shared" si="0"/>
        <v>0.55234000000000005</v>
      </c>
      <c r="C13" s="197">
        <f t="shared" si="1"/>
        <v>1.1149717659949676</v>
      </c>
      <c r="E13" s="219" t="s">
        <v>23</v>
      </c>
      <c r="I13" s="626"/>
      <c r="J13" s="627"/>
      <c r="K13" s="627"/>
      <c r="L13" s="627"/>
      <c r="M13" s="627"/>
      <c r="N13" s="627"/>
      <c r="O13" s="627"/>
      <c r="P13" s="627"/>
      <c r="Q13" s="627"/>
      <c r="R13" s="627"/>
      <c r="S13" s="628"/>
    </row>
    <row r="14" spans="1:19" x14ac:dyDescent="0.35">
      <c r="A14" s="215">
        <v>5.3636819999999998</v>
      </c>
      <c r="B14" s="208">
        <f t="shared" si="0"/>
        <v>7.2060000000000457E-3</v>
      </c>
      <c r="C14" s="197">
        <f t="shared" si="1"/>
        <v>1.0013452874613833</v>
      </c>
      <c r="E14" s="219" t="s">
        <v>16</v>
      </c>
      <c r="I14" s="626"/>
      <c r="J14" s="627"/>
      <c r="K14" s="627"/>
      <c r="L14" s="627"/>
      <c r="M14" s="627"/>
      <c r="N14" s="627"/>
      <c r="O14" s="627"/>
      <c r="P14" s="627"/>
      <c r="Q14" s="627"/>
      <c r="R14" s="627"/>
      <c r="S14" s="628"/>
    </row>
    <row r="15" spans="1:19" x14ac:dyDescent="0.35">
      <c r="A15" s="215">
        <v>5.4465190000000003</v>
      </c>
      <c r="B15" s="208">
        <f t="shared" si="0"/>
        <v>8.2837000000000494E-2</v>
      </c>
      <c r="C15" s="197">
        <f t="shared" si="1"/>
        <v>1.0154440550353285</v>
      </c>
      <c r="E15" s="219" t="s">
        <v>17</v>
      </c>
      <c r="I15" s="626"/>
      <c r="J15" s="627"/>
      <c r="K15" s="627"/>
      <c r="L15" s="627"/>
      <c r="M15" s="627"/>
      <c r="N15" s="627"/>
      <c r="O15" s="627"/>
      <c r="P15" s="627"/>
      <c r="Q15" s="627"/>
      <c r="R15" s="627"/>
      <c r="S15" s="628"/>
    </row>
    <row r="16" spans="1:19" x14ac:dyDescent="0.35">
      <c r="A16" s="215">
        <v>6.1954130000000003</v>
      </c>
      <c r="B16" s="208">
        <f t="shared" si="0"/>
        <v>0.74889399999999995</v>
      </c>
      <c r="C16" s="197">
        <f t="shared" si="1"/>
        <v>1.13749956623671</v>
      </c>
      <c r="E16" s="219" t="s">
        <v>19</v>
      </c>
      <c r="I16" s="626"/>
      <c r="J16" s="627"/>
      <c r="K16" s="627"/>
      <c r="L16" s="627"/>
      <c r="M16" s="627"/>
      <c r="N16" s="627"/>
      <c r="O16" s="627"/>
      <c r="P16" s="627"/>
      <c r="Q16" s="627"/>
      <c r="R16" s="627"/>
      <c r="S16" s="628"/>
    </row>
    <row r="17" spans="1:19" x14ac:dyDescent="0.35">
      <c r="A17" s="215">
        <v>7.3569110000000002</v>
      </c>
      <c r="B17" s="208">
        <f t="shared" si="0"/>
        <v>1.1614979999999999</v>
      </c>
      <c r="C17" s="197">
        <f t="shared" si="1"/>
        <v>1.1874770899050635</v>
      </c>
      <c r="E17" s="219" t="s">
        <v>21</v>
      </c>
      <c r="I17" s="626"/>
      <c r="J17" s="627"/>
      <c r="K17" s="627"/>
      <c r="L17" s="627"/>
      <c r="M17" s="627"/>
      <c r="N17" s="627"/>
      <c r="O17" s="627"/>
      <c r="P17" s="627"/>
      <c r="Q17" s="627"/>
      <c r="R17" s="627"/>
      <c r="S17" s="628"/>
    </row>
    <row r="18" spans="1:19" x14ac:dyDescent="0.35">
      <c r="A18" s="215">
        <v>8.4832900000000002</v>
      </c>
      <c r="B18" s="208">
        <f t="shared" si="0"/>
        <v>1.126379</v>
      </c>
      <c r="C18" s="197">
        <f t="shared" si="1"/>
        <v>1.1531048832859334</v>
      </c>
      <c r="E18" s="219" t="s">
        <v>22</v>
      </c>
      <c r="I18" s="626"/>
      <c r="J18" s="627"/>
      <c r="K18" s="627"/>
      <c r="L18" s="627"/>
      <c r="M18" s="627"/>
      <c r="N18" s="627"/>
      <c r="O18" s="627"/>
      <c r="P18" s="627"/>
      <c r="Q18" s="627"/>
      <c r="R18" s="627"/>
      <c r="S18" s="628"/>
    </row>
    <row r="19" spans="1:19" x14ac:dyDescent="0.35">
      <c r="A19" s="215">
        <v>9.4963460000000008</v>
      </c>
      <c r="B19" s="208">
        <f t="shared" si="0"/>
        <v>1.0130560000000006</v>
      </c>
      <c r="C19" s="197">
        <f t="shared" si="1"/>
        <v>1.1194178202089049</v>
      </c>
      <c r="E19" s="219" t="s">
        <v>24</v>
      </c>
      <c r="I19" s="626"/>
      <c r="J19" s="627"/>
      <c r="K19" s="627"/>
      <c r="L19" s="627"/>
      <c r="M19" s="627"/>
      <c r="N19" s="627"/>
      <c r="O19" s="627"/>
      <c r="P19" s="627"/>
      <c r="Q19" s="627"/>
      <c r="R19" s="627"/>
      <c r="S19" s="628"/>
    </row>
    <row r="20" spans="1:19" x14ac:dyDescent="0.35">
      <c r="A20" s="215">
        <v>12.555669999999999</v>
      </c>
      <c r="B20" s="208">
        <f t="shared" si="0"/>
        <v>3.0593239999999984</v>
      </c>
      <c r="C20" s="197">
        <f t="shared" si="1"/>
        <v>1.3221580174100647</v>
      </c>
      <c r="E20" s="219" t="s">
        <v>27</v>
      </c>
      <c r="I20" s="626"/>
      <c r="J20" s="627"/>
      <c r="K20" s="627"/>
      <c r="L20" s="627"/>
      <c r="M20" s="627"/>
      <c r="N20" s="627"/>
      <c r="O20" s="627"/>
      <c r="P20" s="627"/>
      <c r="Q20" s="627"/>
      <c r="R20" s="627"/>
      <c r="S20" s="628"/>
    </row>
    <row r="21" spans="1:19" x14ac:dyDescent="0.35">
      <c r="A21" s="216">
        <v>18.523579999999999</v>
      </c>
      <c r="B21" s="212">
        <f>A21-A20</f>
        <v>5.9679099999999998</v>
      </c>
      <c r="C21" s="209">
        <f>A21/A20</f>
        <v>1.4753159329609651</v>
      </c>
      <c r="E21" s="220" t="s">
        <v>71</v>
      </c>
      <c r="I21" s="626"/>
      <c r="J21" s="627"/>
      <c r="K21" s="627"/>
      <c r="L21" s="627"/>
      <c r="M21" s="627"/>
      <c r="N21" s="627"/>
      <c r="O21" s="627"/>
      <c r="P21" s="627"/>
      <c r="Q21" s="627"/>
      <c r="R21" s="627"/>
      <c r="S21" s="628"/>
    </row>
    <row r="22" spans="1:19" x14ac:dyDescent="0.35">
      <c r="I22" s="626"/>
      <c r="J22" s="627"/>
      <c r="K22" s="627"/>
      <c r="L22" s="627"/>
      <c r="M22" s="627"/>
      <c r="N22" s="627"/>
      <c r="O22" s="627"/>
      <c r="P22" s="627"/>
      <c r="Q22" s="627"/>
      <c r="R22" s="627"/>
      <c r="S22" s="628"/>
    </row>
    <row r="23" spans="1:19" x14ac:dyDescent="0.35">
      <c r="I23" s="626"/>
      <c r="J23" s="627"/>
      <c r="K23" s="627"/>
      <c r="L23" s="627"/>
      <c r="M23" s="627"/>
      <c r="N23" s="627"/>
      <c r="O23" s="627"/>
      <c r="P23" s="627"/>
      <c r="Q23" s="627"/>
      <c r="R23" s="627"/>
      <c r="S23" s="628"/>
    </row>
    <row r="24" spans="1:19" x14ac:dyDescent="0.35">
      <c r="A24" s="217"/>
      <c r="I24" s="626"/>
      <c r="J24" s="627"/>
      <c r="K24" s="627"/>
      <c r="L24" s="627"/>
      <c r="M24" s="627"/>
      <c r="N24" s="627"/>
      <c r="O24" s="627"/>
      <c r="P24" s="627"/>
      <c r="Q24" s="627"/>
      <c r="R24" s="627"/>
      <c r="S24" s="628"/>
    </row>
    <row r="25" spans="1:19" x14ac:dyDescent="0.35">
      <c r="I25" s="626"/>
      <c r="J25" s="627"/>
      <c r="K25" s="627"/>
      <c r="L25" s="627"/>
      <c r="M25" s="627"/>
      <c r="N25" s="627"/>
      <c r="O25" s="627"/>
      <c r="P25" s="627"/>
      <c r="Q25" s="627"/>
      <c r="R25" s="627"/>
      <c r="S25" s="628"/>
    </row>
    <row r="26" spans="1:19" x14ac:dyDescent="0.35">
      <c r="C26" s="63"/>
      <c r="I26" s="629"/>
      <c r="J26" s="630"/>
      <c r="K26" s="630"/>
      <c r="L26" s="630"/>
      <c r="M26" s="630"/>
      <c r="N26" s="630"/>
      <c r="O26" s="630"/>
      <c r="P26" s="630"/>
      <c r="Q26" s="630"/>
      <c r="R26" s="630"/>
      <c r="S26" s="631"/>
    </row>
    <row r="27" spans="1:19" x14ac:dyDescent="0.35">
      <c r="C27" s="63"/>
    </row>
    <row r="28" spans="1:19" x14ac:dyDescent="0.35">
      <c r="B28" s="63"/>
    </row>
    <row r="29" spans="1:19" x14ac:dyDescent="0.35">
      <c r="B29" s="63"/>
    </row>
    <row r="30" spans="1:19" x14ac:dyDescent="0.35">
      <c r="B30" s="63"/>
    </row>
    <row r="31" spans="1:19" x14ac:dyDescent="0.35">
      <c r="B31" s="63"/>
    </row>
    <row r="32" spans="1:19" x14ac:dyDescent="0.35">
      <c r="B32" s="61"/>
    </row>
    <row r="33" spans="2:2" x14ac:dyDescent="0.35">
      <c r="B33" s="61"/>
    </row>
    <row r="34" spans="2:2" x14ac:dyDescent="0.35">
      <c r="B34" s="61"/>
    </row>
    <row r="35" spans="2:2" x14ac:dyDescent="0.35">
      <c r="B35" s="61"/>
    </row>
    <row r="36" spans="2:2" x14ac:dyDescent="0.35">
      <c r="B36" s="61"/>
    </row>
    <row r="37" spans="2:2" x14ac:dyDescent="0.35">
      <c r="B37" s="61"/>
    </row>
    <row r="38" spans="2:2" x14ac:dyDescent="0.35">
      <c r="B38" s="61"/>
    </row>
    <row r="39" spans="2:2" x14ac:dyDescent="0.35">
      <c r="B39" s="64"/>
    </row>
    <row r="40" spans="2:2" x14ac:dyDescent="0.35">
      <c r="B40" s="61"/>
    </row>
    <row r="41" spans="2:2" x14ac:dyDescent="0.35">
      <c r="B41" s="61"/>
    </row>
    <row r="42" spans="2:2" x14ac:dyDescent="0.35">
      <c r="B42" s="61"/>
    </row>
    <row r="43" spans="2:2" x14ac:dyDescent="0.35">
      <c r="B43" s="61"/>
    </row>
    <row r="44" spans="2:2" x14ac:dyDescent="0.35">
      <c r="B44" s="61"/>
    </row>
  </sheetData>
  <mergeCells count="2">
    <mergeCell ref="E2:G2"/>
    <mergeCell ref="I2:S2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E742-0D38-423F-BD09-3D7F276E0550}">
  <dimension ref="A1:S26"/>
  <sheetViews>
    <sheetView zoomScaleNormal="100" workbookViewId="0">
      <selection activeCell="E11" sqref="E11"/>
    </sheetView>
  </sheetViews>
  <sheetFormatPr defaultColWidth="9.08984375" defaultRowHeight="14.5" x14ac:dyDescent="0.35"/>
  <cols>
    <col min="1" max="1" width="12.6328125" style="12" customWidth="1"/>
    <col min="2" max="2" width="21.54296875" style="12" customWidth="1"/>
    <col min="3" max="3" width="18.6328125" style="12" customWidth="1"/>
    <col min="4" max="4" width="9.08984375" style="12"/>
    <col min="5" max="5" width="20.36328125" style="12" customWidth="1"/>
    <col min="6" max="6" width="10" style="12" customWidth="1"/>
    <col min="7" max="7" width="28.36328125" style="12" customWidth="1"/>
    <col min="8" max="16384" width="9.08984375" style="12"/>
  </cols>
  <sheetData>
    <row r="1" spans="1:19" x14ac:dyDescent="0.35">
      <c r="E1" s="223"/>
      <c r="F1" s="223"/>
    </row>
    <row r="2" spans="1:19" x14ac:dyDescent="0.35">
      <c r="A2" s="200" t="s">
        <v>61</v>
      </c>
      <c r="B2" s="38"/>
      <c r="C2" s="38"/>
      <c r="E2" s="620" t="s">
        <v>62</v>
      </c>
      <c r="F2" s="621"/>
      <c r="G2" s="622"/>
      <c r="I2" s="623"/>
      <c r="J2" s="624"/>
      <c r="K2" s="624"/>
      <c r="L2" s="624"/>
      <c r="M2" s="624"/>
      <c r="N2" s="624"/>
      <c r="O2" s="624"/>
      <c r="P2" s="624"/>
      <c r="Q2" s="624"/>
      <c r="R2" s="624"/>
      <c r="S2" s="625"/>
    </row>
    <row r="3" spans="1:19" x14ac:dyDescent="0.35">
      <c r="A3" s="215">
        <v>1.18265</v>
      </c>
      <c r="B3" s="210" t="s">
        <v>63</v>
      </c>
      <c r="C3" s="210" t="s">
        <v>64</v>
      </c>
      <c r="D3" s="38"/>
      <c r="H3" s="63"/>
      <c r="I3" s="626"/>
      <c r="J3" s="627"/>
      <c r="K3" s="627"/>
      <c r="L3" s="627"/>
      <c r="M3" s="627"/>
      <c r="N3" s="627"/>
      <c r="O3" s="627"/>
      <c r="P3" s="627"/>
      <c r="Q3" s="627"/>
      <c r="R3" s="627"/>
      <c r="S3" s="628"/>
    </row>
    <row r="4" spans="1:19" ht="15" customHeight="1" x14ac:dyDescent="0.35">
      <c r="A4" s="215">
        <v>1.2452160000000001</v>
      </c>
      <c r="B4" s="208">
        <f>A4-A3</f>
        <v>6.2566000000000122E-2</v>
      </c>
      <c r="C4" s="197">
        <f>A4/A3</f>
        <v>1.0529032258064517</v>
      </c>
      <c r="D4" s="38"/>
      <c r="E4" s="224" t="s">
        <v>65</v>
      </c>
      <c r="F4" s="224"/>
      <c r="G4" s="224" t="s">
        <v>66</v>
      </c>
      <c r="H4" s="194"/>
      <c r="I4" s="626"/>
      <c r="J4" s="627"/>
      <c r="K4" s="627"/>
      <c r="L4" s="627"/>
      <c r="M4" s="627"/>
      <c r="N4" s="627"/>
      <c r="O4" s="627"/>
      <c r="P4" s="627"/>
      <c r="Q4" s="627"/>
      <c r="R4" s="627"/>
      <c r="S4" s="628"/>
    </row>
    <row r="5" spans="1:19" ht="15" customHeight="1" x14ac:dyDescent="0.35">
      <c r="A5" s="215">
        <v>1.397624</v>
      </c>
      <c r="B5" s="208">
        <f t="shared" ref="B5:B20" si="0">A5-A4</f>
        <v>0.15240799999999988</v>
      </c>
      <c r="C5" s="197">
        <f t="shared" ref="C5:C20" si="1">A5/A4</f>
        <v>1.1223948294914294</v>
      </c>
      <c r="D5" s="38"/>
      <c r="E5" s="224" t="s">
        <v>72</v>
      </c>
      <c r="F5" s="225"/>
      <c r="G5" s="224" t="s">
        <v>73</v>
      </c>
      <c r="H5" s="63"/>
      <c r="I5" s="626"/>
      <c r="J5" s="627"/>
      <c r="K5" s="627"/>
      <c r="L5" s="627"/>
      <c r="M5" s="627"/>
      <c r="N5" s="627"/>
      <c r="O5" s="627"/>
      <c r="P5" s="627"/>
      <c r="Q5" s="627"/>
      <c r="R5" s="627"/>
      <c r="S5" s="628"/>
    </row>
    <row r="6" spans="1:19" x14ac:dyDescent="0.35">
      <c r="A6" s="215">
        <v>1.8260590000000001</v>
      </c>
      <c r="B6" s="208">
        <f t="shared" si="0"/>
        <v>0.42843500000000012</v>
      </c>
      <c r="C6" s="197">
        <f t="shared" si="1"/>
        <v>1.3065452510832671</v>
      </c>
      <c r="D6" s="38"/>
      <c r="E6" s="218" t="s">
        <v>11</v>
      </c>
      <c r="G6" s="221" t="s">
        <v>8</v>
      </c>
      <c r="H6" s="63"/>
      <c r="I6" s="626"/>
      <c r="J6" s="627"/>
      <c r="K6" s="627"/>
      <c r="L6" s="627"/>
      <c r="M6" s="627"/>
      <c r="N6" s="627"/>
      <c r="O6" s="627"/>
      <c r="P6" s="627"/>
      <c r="Q6" s="627"/>
      <c r="R6" s="627"/>
      <c r="S6" s="628"/>
    </row>
    <row r="7" spans="1:19" x14ac:dyDescent="0.35">
      <c r="A7" s="215">
        <v>1.829671</v>
      </c>
      <c r="B7" s="208">
        <f t="shared" si="0"/>
        <v>3.6119999999999486E-3</v>
      </c>
      <c r="C7" s="197">
        <f t="shared" si="1"/>
        <v>1.0019780302827017</v>
      </c>
      <c r="D7" s="38"/>
      <c r="E7" s="219" t="s">
        <v>18</v>
      </c>
      <c r="G7" s="222" t="s">
        <v>9</v>
      </c>
      <c r="H7" s="63"/>
      <c r="I7" s="626"/>
      <c r="J7" s="627"/>
      <c r="K7" s="627"/>
      <c r="L7" s="627"/>
      <c r="M7" s="627"/>
      <c r="N7" s="627"/>
      <c r="O7" s="627"/>
      <c r="P7" s="627"/>
      <c r="Q7" s="627"/>
      <c r="R7" s="627"/>
      <c r="S7" s="628"/>
    </row>
    <row r="8" spans="1:19" x14ac:dyDescent="0.35">
      <c r="A8" s="215">
        <v>1.9146620000000001</v>
      </c>
      <c r="B8" s="208">
        <f t="shared" si="0"/>
        <v>8.4991000000000039E-2</v>
      </c>
      <c r="C8" s="197">
        <f t="shared" si="1"/>
        <v>1.0464515205192628</v>
      </c>
      <c r="D8" s="38"/>
      <c r="E8" s="219" t="s">
        <v>23</v>
      </c>
      <c r="G8" s="222" t="s">
        <v>12</v>
      </c>
      <c r="H8" s="63"/>
      <c r="I8" s="626"/>
      <c r="J8" s="627"/>
      <c r="K8" s="627"/>
      <c r="L8" s="627"/>
      <c r="M8" s="627"/>
      <c r="N8" s="627"/>
      <c r="O8" s="627"/>
      <c r="P8" s="627"/>
      <c r="Q8" s="627"/>
      <c r="R8" s="627"/>
      <c r="S8" s="628"/>
    </row>
    <row r="9" spans="1:19" x14ac:dyDescent="0.35">
      <c r="A9" s="215">
        <v>1.996165</v>
      </c>
      <c r="B9" s="208">
        <f t="shared" si="0"/>
        <v>8.1502999999999881E-2</v>
      </c>
      <c r="C9" s="197">
        <f t="shared" si="1"/>
        <v>1.0425678265928922</v>
      </c>
      <c r="D9" s="38"/>
      <c r="E9" s="219" t="s">
        <v>15</v>
      </c>
      <c r="G9" s="222" t="s">
        <v>13</v>
      </c>
      <c r="H9" s="63"/>
      <c r="I9" s="626"/>
      <c r="J9" s="627"/>
      <c r="K9" s="627"/>
      <c r="L9" s="627"/>
      <c r="M9" s="627"/>
      <c r="N9" s="627"/>
      <c r="O9" s="627"/>
      <c r="P9" s="627"/>
      <c r="Q9" s="627"/>
      <c r="R9" s="627"/>
      <c r="S9" s="628"/>
    </row>
    <row r="10" spans="1:19" x14ac:dyDescent="0.35">
      <c r="A10" s="215">
        <v>2.1601810000000001</v>
      </c>
      <c r="B10" s="208">
        <f t="shared" si="0"/>
        <v>0.16401600000000016</v>
      </c>
      <c r="C10" s="197">
        <f t="shared" si="1"/>
        <v>1.0821655524468168</v>
      </c>
      <c r="D10" s="38"/>
      <c r="E10" s="219" t="s">
        <v>16</v>
      </c>
      <c r="G10" s="220" t="s">
        <v>10</v>
      </c>
      <c r="H10" s="63"/>
      <c r="I10" s="626"/>
      <c r="J10" s="627"/>
      <c r="K10" s="627"/>
      <c r="L10" s="627"/>
      <c r="M10" s="627"/>
      <c r="N10" s="627"/>
      <c r="O10" s="627"/>
      <c r="P10" s="627"/>
      <c r="Q10" s="627"/>
      <c r="R10" s="627"/>
      <c r="S10" s="628"/>
    </row>
    <row r="11" spans="1:19" x14ac:dyDescent="0.35">
      <c r="A11" s="215">
        <v>2.4911349999999999</v>
      </c>
      <c r="B11" s="208">
        <f t="shared" si="0"/>
        <v>0.33095399999999975</v>
      </c>
      <c r="C11" s="197">
        <f t="shared" si="1"/>
        <v>1.1532066062982684</v>
      </c>
      <c r="D11" s="38"/>
      <c r="E11" s="219" t="s">
        <v>17</v>
      </c>
      <c r="H11" s="63"/>
      <c r="I11" s="626"/>
      <c r="J11" s="627"/>
      <c r="K11" s="627"/>
      <c r="L11" s="627"/>
      <c r="M11" s="627"/>
      <c r="N11" s="627"/>
      <c r="O11" s="627"/>
      <c r="P11" s="627"/>
      <c r="Q11" s="627"/>
      <c r="R11" s="627"/>
      <c r="S11" s="628"/>
    </row>
    <row r="12" spans="1:19" x14ac:dyDescent="0.35">
      <c r="A12" s="215">
        <v>2.6593740000000001</v>
      </c>
      <c r="B12" s="208">
        <f t="shared" si="0"/>
        <v>0.16823900000000025</v>
      </c>
      <c r="C12" s="197">
        <f t="shared" si="1"/>
        <v>1.0675350793915224</v>
      </c>
      <c r="D12" s="38"/>
      <c r="E12" s="219" t="s">
        <v>14</v>
      </c>
      <c r="H12" s="63"/>
      <c r="I12" s="626"/>
      <c r="J12" s="627"/>
      <c r="K12" s="627"/>
      <c r="L12" s="627"/>
      <c r="M12" s="627"/>
      <c r="N12" s="627"/>
      <c r="O12" s="627"/>
      <c r="P12" s="627"/>
      <c r="Q12" s="627"/>
      <c r="R12" s="627"/>
      <c r="S12" s="628"/>
    </row>
    <row r="13" spans="1:19" x14ac:dyDescent="0.35">
      <c r="A13" s="215">
        <v>2.8784719999999999</v>
      </c>
      <c r="B13" s="208">
        <f t="shared" si="0"/>
        <v>0.21909799999999979</v>
      </c>
      <c r="C13" s="197">
        <f t="shared" si="1"/>
        <v>1.0823870580068842</v>
      </c>
      <c r="D13" s="38"/>
      <c r="E13" s="219" t="s">
        <v>19</v>
      </c>
      <c r="H13" s="63"/>
      <c r="I13" s="626"/>
      <c r="J13" s="627"/>
      <c r="K13" s="627"/>
      <c r="L13" s="627"/>
      <c r="M13" s="627"/>
      <c r="N13" s="627"/>
      <c r="O13" s="627"/>
      <c r="P13" s="627"/>
      <c r="Q13" s="627"/>
      <c r="R13" s="627"/>
      <c r="S13" s="628"/>
    </row>
    <row r="14" spans="1:19" x14ac:dyDescent="0.35">
      <c r="A14" s="215">
        <v>2.9510559999999999</v>
      </c>
      <c r="B14" s="208">
        <f>A14-A13</f>
        <v>7.2583999999999982E-2</v>
      </c>
      <c r="C14" s="197">
        <f t="shared" si="1"/>
        <v>1.0252161563496187</v>
      </c>
      <c r="D14" s="38"/>
      <c r="E14" s="219" t="s">
        <v>26</v>
      </c>
      <c r="H14" s="63"/>
      <c r="I14" s="626"/>
      <c r="J14" s="627"/>
      <c r="K14" s="627"/>
      <c r="L14" s="627"/>
      <c r="M14" s="627"/>
      <c r="N14" s="627"/>
      <c r="O14" s="627"/>
      <c r="P14" s="627"/>
      <c r="Q14" s="627"/>
      <c r="R14" s="627"/>
      <c r="S14" s="628"/>
    </row>
    <row r="15" spans="1:19" x14ac:dyDescent="0.35">
      <c r="A15" s="215">
        <v>3.1434920000000002</v>
      </c>
      <c r="B15" s="208">
        <f t="shared" si="0"/>
        <v>0.19243600000000027</v>
      </c>
      <c r="C15" s="211">
        <f t="shared" si="1"/>
        <v>1.0652091996898738</v>
      </c>
      <c r="D15" s="38"/>
      <c r="E15" s="219" t="s">
        <v>21</v>
      </c>
      <c r="I15" s="626"/>
      <c r="J15" s="627"/>
      <c r="K15" s="627"/>
      <c r="L15" s="627"/>
      <c r="M15" s="627"/>
      <c r="N15" s="627"/>
      <c r="O15" s="627"/>
      <c r="P15" s="627"/>
      <c r="Q15" s="627"/>
      <c r="R15" s="627"/>
      <c r="S15" s="628"/>
    </row>
    <row r="16" spans="1:19" x14ac:dyDescent="0.35">
      <c r="A16" s="215">
        <v>3.7700119999999999</v>
      </c>
      <c r="B16" s="208">
        <f t="shared" si="0"/>
        <v>0.62651999999999974</v>
      </c>
      <c r="C16" s="197">
        <f t="shared" si="1"/>
        <v>1.1993070127107051</v>
      </c>
      <c r="D16" s="38"/>
      <c r="E16" s="219" t="s">
        <v>22</v>
      </c>
      <c r="I16" s="626"/>
      <c r="J16" s="627"/>
      <c r="K16" s="627"/>
      <c r="L16" s="627"/>
      <c r="M16" s="627"/>
      <c r="N16" s="627"/>
      <c r="O16" s="627"/>
      <c r="P16" s="627"/>
      <c r="Q16" s="627"/>
      <c r="R16" s="627"/>
      <c r="S16" s="628"/>
    </row>
    <row r="17" spans="1:19" x14ac:dyDescent="0.35">
      <c r="A17" s="215">
        <v>4.3588399999999998</v>
      </c>
      <c r="B17" s="208">
        <f t="shared" si="0"/>
        <v>0.58882799999999991</v>
      </c>
      <c r="C17" s="197">
        <f t="shared" si="1"/>
        <v>1.1561873012605794</v>
      </c>
      <c r="D17" s="38"/>
      <c r="E17" s="219" t="s">
        <v>20</v>
      </c>
      <c r="I17" s="626"/>
      <c r="J17" s="627"/>
      <c r="K17" s="627"/>
      <c r="L17" s="627"/>
      <c r="M17" s="627"/>
      <c r="N17" s="627"/>
      <c r="O17" s="627"/>
      <c r="P17" s="627"/>
      <c r="Q17" s="627"/>
      <c r="R17" s="627"/>
      <c r="S17" s="628"/>
    </row>
    <row r="18" spans="1:19" x14ac:dyDescent="0.35">
      <c r="A18" s="215">
        <v>4.957713</v>
      </c>
      <c r="B18" s="208">
        <f t="shared" si="0"/>
        <v>0.59887300000000021</v>
      </c>
      <c r="C18" s="197">
        <f t="shared" si="1"/>
        <v>1.1373927466940745</v>
      </c>
      <c r="D18" s="38"/>
      <c r="E18" s="219" t="s">
        <v>27</v>
      </c>
      <c r="I18" s="626"/>
      <c r="J18" s="627"/>
      <c r="K18" s="627"/>
      <c r="L18" s="627"/>
      <c r="M18" s="627"/>
      <c r="N18" s="627"/>
      <c r="O18" s="627"/>
      <c r="P18" s="627"/>
      <c r="Q18" s="627"/>
      <c r="R18" s="627"/>
      <c r="S18" s="628"/>
    </row>
    <row r="19" spans="1:19" x14ac:dyDescent="0.35">
      <c r="A19" s="215">
        <v>6.7338750000000003</v>
      </c>
      <c r="B19" s="208">
        <f t="shared" si="0"/>
        <v>1.7761620000000002</v>
      </c>
      <c r="C19" s="197">
        <f t="shared" si="1"/>
        <v>1.3582623681524122</v>
      </c>
      <c r="D19" s="38"/>
      <c r="E19" s="219" t="s">
        <v>24</v>
      </c>
      <c r="I19" s="626"/>
      <c r="J19" s="627"/>
      <c r="K19" s="627"/>
      <c r="L19" s="627"/>
      <c r="M19" s="627"/>
      <c r="N19" s="627"/>
      <c r="O19" s="627"/>
      <c r="P19" s="627"/>
      <c r="Q19" s="627"/>
      <c r="R19" s="627"/>
      <c r="S19" s="628"/>
    </row>
    <row r="20" spans="1:19" x14ac:dyDescent="0.35">
      <c r="A20" s="215">
        <v>7.7849310000000003</v>
      </c>
      <c r="B20" s="208">
        <f t="shared" si="0"/>
        <v>1.051056</v>
      </c>
      <c r="C20" s="197">
        <f t="shared" si="1"/>
        <v>1.1560848694102579</v>
      </c>
      <c r="D20" s="38"/>
      <c r="E20" s="220" t="s">
        <v>71</v>
      </c>
      <c r="I20" s="626"/>
      <c r="J20" s="627"/>
      <c r="K20" s="627"/>
      <c r="L20" s="627"/>
      <c r="M20" s="627"/>
      <c r="N20" s="627"/>
      <c r="O20" s="627"/>
      <c r="P20" s="627"/>
      <c r="Q20" s="627"/>
      <c r="R20" s="627"/>
      <c r="S20" s="628"/>
    </row>
    <row r="21" spans="1:19" x14ac:dyDescent="0.35">
      <c r="A21" s="216">
        <v>11.180020000000001</v>
      </c>
      <c r="B21" s="212">
        <f>A21-A20</f>
        <v>3.3950890000000005</v>
      </c>
      <c r="C21" s="209">
        <f>A21/A20</f>
        <v>1.4361103521662555</v>
      </c>
      <c r="D21" s="38"/>
      <c r="I21" s="626"/>
      <c r="J21" s="627"/>
      <c r="K21" s="627"/>
      <c r="L21" s="627"/>
      <c r="M21" s="627"/>
      <c r="N21" s="627"/>
      <c r="O21" s="627"/>
      <c r="P21" s="627"/>
      <c r="Q21" s="627"/>
      <c r="R21" s="627"/>
      <c r="S21" s="628"/>
    </row>
    <row r="22" spans="1:19" x14ac:dyDescent="0.35">
      <c r="A22" s="196"/>
      <c r="B22" s="196"/>
      <c r="C22" s="196"/>
      <c r="I22" s="626"/>
      <c r="J22" s="627"/>
      <c r="K22" s="627"/>
      <c r="L22" s="627"/>
      <c r="M22" s="627"/>
      <c r="N22" s="627"/>
      <c r="O22" s="627"/>
      <c r="P22" s="627"/>
      <c r="Q22" s="627"/>
      <c r="R22" s="627"/>
      <c r="S22" s="628"/>
    </row>
    <row r="23" spans="1:19" x14ac:dyDescent="0.35">
      <c r="A23" s="196"/>
      <c r="B23" s="196"/>
      <c r="C23" s="196"/>
      <c r="I23" s="626"/>
      <c r="J23" s="627"/>
      <c r="K23" s="627"/>
      <c r="L23" s="627"/>
      <c r="M23" s="627"/>
      <c r="N23" s="627"/>
      <c r="O23" s="627"/>
      <c r="P23" s="627"/>
      <c r="Q23" s="627"/>
      <c r="R23" s="627"/>
      <c r="S23" s="628"/>
    </row>
    <row r="24" spans="1:19" x14ac:dyDescent="0.35">
      <c r="I24" s="626"/>
      <c r="J24" s="627"/>
      <c r="K24" s="627"/>
      <c r="L24" s="627"/>
      <c r="M24" s="627"/>
      <c r="N24" s="627"/>
      <c r="O24" s="627"/>
      <c r="P24" s="627"/>
      <c r="Q24" s="627"/>
      <c r="R24" s="627"/>
      <c r="S24" s="628"/>
    </row>
    <row r="25" spans="1:19" x14ac:dyDescent="0.35">
      <c r="I25" s="626"/>
      <c r="J25" s="627"/>
      <c r="K25" s="627"/>
      <c r="L25" s="627"/>
      <c r="M25" s="627"/>
      <c r="N25" s="627"/>
      <c r="O25" s="627"/>
      <c r="P25" s="627"/>
      <c r="Q25" s="627"/>
      <c r="R25" s="627"/>
      <c r="S25" s="628"/>
    </row>
    <row r="26" spans="1:19" x14ac:dyDescent="0.35">
      <c r="I26" s="629"/>
      <c r="J26" s="630"/>
      <c r="K26" s="630"/>
      <c r="L26" s="630"/>
      <c r="M26" s="630"/>
      <c r="N26" s="630"/>
      <c r="O26" s="630"/>
      <c r="P26" s="630"/>
      <c r="Q26" s="630"/>
      <c r="R26" s="630"/>
      <c r="S26" s="631"/>
    </row>
  </sheetData>
  <mergeCells count="2">
    <mergeCell ref="E2:G2"/>
    <mergeCell ref="I2:S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Czyste dane</vt:lpstr>
      <vt:lpstr>Ujednolicony charakter</vt:lpstr>
      <vt:lpstr>Po standaryzacji</vt:lpstr>
      <vt:lpstr>Miernik bezwzorcowy</vt:lpstr>
      <vt:lpstr>Miernik TOPSIS</vt:lpstr>
      <vt:lpstr>Wykresy</vt:lpstr>
      <vt:lpstr>Metoda Najbliższego Sąsiedztwa</vt:lpstr>
      <vt:lpstr>Metoda Najdalszego Sąsiedztwa</vt:lpstr>
      <vt:lpstr>Metoda Warda</vt:lpstr>
      <vt:lpstr>Metoda k-średnich</vt:lpstr>
      <vt:lpstr>ANOVA &amp; Testy Kruskalla-Wallisa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Izabela Stefanowska</dc:creator>
  <cp:keywords/>
  <dc:description/>
  <cp:lastModifiedBy>Miłosz Lauda</cp:lastModifiedBy>
  <cp:revision/>
  <dcterms:created xsi:type="dcterms:W3CDTF">2023-11-05T10:42:52Z</dcterms:created>
  <dcterms:modified xsi:type="dcterms:W3CDTF">2025-03-18T19:55:25Z</dcterms:modified>
  <cp:category/>
  <cp:contentStatus/>
</cp:coreProperties>
</file>