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4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6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s\Desktop\Studia\1 Semestr\Prognozowanie i symulacje\Ćwiczenia\Projekt\"/>
    </mc:Choice>
  </mc:AlternateContent>
  <xr:revisionPtr revIDLastSave="0" documentId="13_ncr:1_{0F3E39C3-984B-4B9D-8B6D-2F42F6E655A2}" xr6:coauthVersionLast="47" xr6:coauthVersionMax="47" xr10:uidLastSave="{00000000-0000-0000-0000-000000000000}"/>
  <bookViews>
    <workbookView xWindow="-110" yWindow="-110" windowWidth="25820" windowHeight="15500" xr2:uid="{5F9A480D-6D0A-4528-9958-18B8C237F2A9}"/>
  </bookViews>
  <sheets>
    <sheet name="Dane" sheetId="11" r:id="rId1"/>
    <sheet name="Model ekonometryczny" sheetId="9" r:id="rId2"/>
    <sheet name="Metoda naiwna" sheetId="14" r:id="rId3"/>
    <sheet name="Wygładzanie wykładnicze" sheetId="8" r:id="rId4"/>
    <sheet name="Test Chow'a - do wyjebania" sheetId="12" state="hidden" r:id="rId5"/>
    <sheet name="Modele Segmentowe - do wyjebani" sheetId="10" state="hidden" r:id="rId6"/>
    <sheet name="Trend pełzający" sheetId="13" r:id="rId7"/>
    <sheet name="Podsumowanie" sheetId="1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2" i="9" l="1" a="1"/>
  <c r="D172" i="9" s="1"/>
  <c r="D177" i="9" s="1"/>
  <c r="E180" i="9" s="1"/>
  <c r="C154" i="9"/>
  <c r="Q283" i="13"/>
  <c r="Q211" i="13"/>
  <c r="Q140" i="13"/>
  <c r="Q69" i="13"/>
  <c r="J6" i="8"/>
  <c r="J5" i="8"/>
  <c r="E17" i="8"/>
  <c r="F6" i="8"/>
  <c r="E6" i="8"/>
  <c r="D6" i="8"/>
  <c r="D5" i="8"/>
  <c r="B283" i="13"/>
  <c r="K87" i="14"/>
  <c r="I84" i="14"/>
  <c r="K84" i="14"/>
  <c r="AJ168" i="9"/>
  <c r="AG154" i="9"/>
  <c r="AJ220" i="9"/>
  <c r="AF226" i="9" a="1"/>
  <c r="AF226" i="9"/>
  <c r="AF228" i="9"/>
  <c r="AI207" i="9"/>
  <c r="AL172" i="9" a="1"/>
  <c r="AL172" i="9"/>
  <c r="AH172" i="9" a="1"/>
  <c r="AH172" i="9"/>
  <c r="AG162" i="9"/>
  <c r="AG161" i="9"/>
  <c r="AH175" i="9" s="1"/>
  <c r="AH177" i="9" s="1"/>
  <c r="AI180" i="9" s="1"/>
  <c r="AI119" i="9"/>
  <c r="AI28" i="9"/>
  <c r="AI39" i="9"/>
  <c r="AG28" i="9"/>
  <c r="AG39" i="9"/>
  <c r="AL29" i="9"/>
  <c r="AL30" i="9"/>
  <c r="AL31" i="9"/>
  <c r="AL32" i="9"/>
  <c r="AL33" i="9"/>
  <c r="AL34" i="9"/>
  <c r="AL35" i="9"/>
  <c r="AL36" i="9"/>
  <c r="AL37" i="9"/>
  <c r="AL38" i="9"/>
  <c r="AL39" i="9"/>
  <c r="AK28" i="9"/>
  <c r="AL28" i="9"/>
  <c r="V298" i="9"/>
  <c r="V296" i="9" a="1"/>
  <c r="V296" i="9"/>
  <c r="Z290" i="9"/>
  <c r="AB282" i="9"/>
  <c r="V261" i="9"/>
  <c r="V259" i="9" a="1"/>
  <c r="V259" i="9"/>
  <c r="Z253" i="9"/>
  <c r="AB246" i="9"/>
  <c r="Y200" i="9"/>
  <c r="X172" i="9" a="1"/>
  <c r="X172" i="9"/>
  <c r="L262" i="9" a="1"/>
  <c r="L262" i="9"/>
  <c r="AB172" i="9" a="1"/>
  <c r="AB172" i="9"/>
  <c r="W162" i="9"/>
  <c r="W161" i="9"/>
  <c r="Z168" i="9" s="1"/>
  <c r="X175" i="9" s="1"/>
  <c r="X177" i="9" s="1"/>
  <c r="Y180" i="9" s="1"/>
  <c r="W160" i="9"/>
  <c r="W154" i="9"/>
  <c r="Y96" i="9"/>
  <c r="L264" i="9"/>
  <c r="Q260" i="9" a="1"/>
  <c r="Q260" i="9"/>
  <c r="P256" i="9"/>
  <c r="R248" i="9"/>
  <c r="N172" i="9" a="1"/>
  <c r="N172" i="9"/>
  <c r="R172" i="9" a="1"/>
  <c r="R172" i="9"/>
  <c r="M161" i="9"/>
  <c r="P168" i="9" s="1"/>
  <c r="N175" i="9" s="1"/>
  <c r="N177" i="9" s="1"/>
  <c r="O180" i="9" s="1"/>
  <c r="M160" i="9"/>
  <c r="M154" i="9"/>
  <c r="O119" i="9"/>
  <c r="F168" i="9"/>
  <c r="D175" i="9" s="1"/>
  <c r="E200" i="9"/>
  <c r="H172" i="9" a="1"/>
  <c r="H172" i="9"/>
  <c r="C160" i="9"/>
  <c r="E141" i="9"/>
  <c r="AA257" i="9" a="1"/>
  <c r="AA257" i="9"/>
  <c r="AA294" i="9" a="1"/>
  <c r="AA294" i="9"/>
  <c r="C14" i="15"/>
  <c r="C6" i="15"/>
  <c r="D14" i="15"/>
  <c r="E14" i="15"/>
  <c r="F14" i="15"/>
  <c r="D12" i="15"/>
  <c r="E12" i="15"/>
  <c r="F12" i="15"/>
  <c r="C12" i="15"/>
  <c r="D10" i="15"/>
  <c r="E10" i="15"/>
  <c r="F10" i="15"/>
  <c r="C10" i="15"/>
  <c r="D8" i="15"/>
  <c r="E8" i="15"/>
  <c r="F8" i="15"/>
  <c r="C8" i="15"/>
  <c r="D6" i="15"/>
  <c r="E6" i="15"/>
  <c r="F6" i="15"/>
  <c r="E85" i="8"/>
  <c r="E40" i="8"/>
  <c r="I42" i="14"/>
  <c r="C5" i="8"/>
  <c r="Z199" i="9"/>
  <c r="H267" i="13"/>
  <c r="E269" i="13"/>
  <c r="H21" i="14"/>
  <c r="H22" i="14"/>
  <c r="I21" i="14"/>
  <c r="F21" i="14"/>
  <c r="F199" i="9"/>
  <c r="H28" i="9"/>
  <c r="Z198" i="9"/>
  <c r="AA198" i="9" s="1"/>
  <c r="AB198" i="9" s="1"/>
  <c r="Y198" i="9"/>
  <c r="Z197" i="9"/>
  <c r="AA197" i="9" s="1"/>
  <c r="AB197" i="9" s="1"/>
  <c r="Y197" i="9"/>
  <c r="Z196" i="9"/>
  <c r="AA196" i="9" s="1"/>
  <c r="AB196" i="9" s="1"/>
  <c r="Y196" i="9"/>
  <c r="Z195" i="9"/>
  <c r="AA195" i="9" s="1"/>
  <c r="AB195" i="9" s="1"/>
  <c r="Y195" i="9"/>
  <c r="Z194" i="9"/>
  <c r="AA194" i="9" s="1"/>
  <c r="AB194" i="9" s="1"/>
  <c r="Y194" i="9"/>
  <c r="Z193" i="9"/>
  <c r="AA193" i="9" s="1"/>
  <c r="AB193" i="9" s="1"/>
  <c r="Y193" i="9"/>
  <c r="Z192" i="9"/>
  <c r="AA192" i="9" s="1"/>
  <c r="AB192" i="9" s="1"/>
  <c r="Y192" i="9"/>
  <c r="Z191" i="9"/>
  <c r="AA191" i="9" s="1"/>
  <c r="AB191" i="9" s="1"/>
  <c r="Y191" i="9"/>
  <c r="Z190" i="9"/>
  <c r="AA190" i="9" s="1"/>
  <c r="AB190" i="9" s="1"/>
  <c r="Y190" i="9"/>
  <c r="Z189" i="9"/>
  <c r="AA189" i="9" s="1"/>
  <c r="AB189" i="9" s="1"/>
  <c r="AB199" i="9" s="1"/>
  <c r="AB200" i="9" s="1"/>
  <c r="Y189" i="9"/>
  <c r="Y188" i="9"/>
  <c r="AJ237" i="9"/>
  <c r="AK237" i="9" s="1"/>
  <c r="AL237" i="9" s="1"/>
  <c r="AI242" i="9"/>
  <c r="AJ247" i="9"/>
  <c r="AJ246" i="9"/>
  <c r="AK246" i="9" s="1"/>
  <c r="AL246" i="9" s="1"/>
  <c r="AI246" i="9"/>
  <c r="AJ245" i="9"/>
  <c r="AK245" i="9" s="1"/>
  <c r="AL245" i="9" s="1"/>
  <c r="AI245" i="9"/>
  <c r="AJ244" i="9"/>
  <c r="AK244" i="9" s="1"/>
  <c r="AL244" i="9" s="1"/>
  <c r="AI244" i="9"/>
  <c r="AJ243" i="9"/>
  <c r="AK243" i="9" s="1"/>
  <c r="AL243" i="9" s="1"/>
  <c r="AI243" i="9"/>
  <c r="AJ242" i="9"/>
  <c r="AK242" i="9" s="1"/>
  <c r="AL242" i="9" s="1"/>
  <c r="AJ241" i="9"/>
  <c r="AK241" i="9" s="1"/>
  <c r="AL241" i="9" s="1"/>
  <c r="AI241" i="9"/>
  <c r="AJ240" i="9"/>
  <c r="AK240" i="9" s="1"/>
  <c r="AL240" i="9" s="1"/>
  <c r="AI240" i="9"/>
  <c r="AJ239" i="9"/>
  <c r="AK239" i="9" s="1"/>
  <c r="AL239" i="9" s="1"/>
  <c r="AI239" i="9"/>
  <c r="AJ238" i="9"/>
  <c r="AK238" i="9" s="1"/>
  <c r="AL238" i="9" s="1"/>
  <c r="AI238" i="9"/>
  <c r="AI237" i="9"/>
  <c r="AI236" i="9"/>
  <c r="P199" i="9"/>
  <c r="P198" i="9"/>
  <c r="Q198" i="9" s="1"/>
  <c r="R198" i="9" s="1"/>
  <c r="O198" i="9"/>
  <c r="P197" i="9"/>
  <c r="Q197" i="9" s="1"/>
  <c r="R197" i="9" s="1"/>
  <c r="O197" i="9"/>
  <c r="P196" i="9"/>
  <c r="Q196" i="9" s="1"/>
  <c r="R196" i="9" s="1"/>
  <c r="O196" i="9"/>
  <c r="P195" i="9"/>
  <c r="Q195" i="9" s="1"/>
  <c r="R195" i="9" s="1"/>
  <c r="O195" i="9"/>
  <c r="P194" i="9"/>
  <c r="Q194" i="9" s="1"/>
  <c r="R194" i="9" s="1"/>
  <c r="O194" i="9"/>
  <c r="P193" i="9"/>
  <c r="Q193" i="9" s="1"/>
  <c r="R193" i="9" s="1"/>
  <c r="O193" i="9"/>
  <c r="P192" i="9"/>
  <c r="Q192" i="9" s="1"/>
  <c r="R192" i="9" s="1"/>
  <c r="O192" i="9"/>
  <c r="P191" i="9"/>
  <c r="Q191" i="9" s="1"/>
  <c r="R191" i="9" s="1"/>
  <c r="O191" i="9"/>
  <c r="P190" i="9"/>
  <c r="Q190" i="9" s="1"/>
  <c r="R190" i="9" s="1"/>
  <c r="O190" i="9"/>
  <c r="P189" i="9"/>
  <c r="O189" i="9"/>
  <c r="O188" i="9"/>
  <c r="F198" i="9"/>
  <c r="G198" i="9" s="1"/>
  <c r="H198" i="9" s="1"/>
  <c r="E198" i="9"/>
  <c r="F197" i="9"/>
  <c r="G197" i="9" s="1"/>
  <c r="H197" i="9" s="1"/>
  <c r="E197" i="9"/>
  <c r="F196" i="9"/>
  <c r="G196" i="9" s="1"/>
  <c r="H196" i="9" s="1"/>
  <c r="E196" i="9"/>
  <c r="F195" i="9"/>
  <c r="G195" i="9" s="1"/>
  <c r="H195" i="9" s="1"/>
  <c r="E195" i="9"/>
  <c r="F194" i="9"/>
  <c r="G194" i="9" s="1"/>
  <c r="H194" i="9" s="1"/>
  <c r="E194" i="9"/>
  <c r="F193" i="9"/>
  <c r="G193" i="9" s="1"/>
  <c r="H193" i="9" s="1"/>
  <c r="E193" i="9"/>
  <c r="F192" i="9"/>
  <c r="G192" i="9" s="1"/>
  <c r="H192" i="9" s="1"/>
  <c r="E192" i="9"/>
  <c r="F191" i="9"/>
  <c r="G191" i="9" s="1"/>
  <c r="H191" i="9" s="1"/>
  <c r="E191" i="9"/>
  <c r="F190" i="9"/>
  <c r="G190" i="9" s="1"/>
  <c r="H190" i="9" s="1"/>
  <c r="E190" i="9"/>
  <c r="F189" i="9"/>
  <c r="G189" i="9" s="1"/>
  <c r="H189" i="9" s="1"/>
  <c r="E189" i="9"/>
  <c r="E188" i="9"/>
  <c r="AK224" i="9" a="1"/>
  <c r="AK224" i="9" s="1"/>
  <c r="F63" i="14"/>
  <c r="D73" i="8"/>
  <c r="C73" i="8"/>
  <c r="E74" i="8" s="1"/>
  <c r="D51" i="8"/>
  <c r="C51" i="8"/>
  <c r="D28" i="8"/>
  <c r="C28" i="8"/>
  <c r="K21" i="14"/>
  <c r="H42" i="14"/>
  <c r="H84" i="14"/>
  <c r="H63" i="14"/>
  <c r="K63" i="14"/>
  <c r="K42" i="14"/>
  <c r="J34" i="14"/>
  <c r="I32" i="14"/>
  <c r="F42" i="14"/>
  <c r="K64" i="14"/>
  <c r="F74" i="14"/>
  <c r="E10" i="14"/>
  <c r="C39" i="9"/>
  <c r="F32" i="9"/>
  <c r="E268" i="13"/>
  <c r="B244" i="13"/>
  <c r="B278" i="13" s="1"/>
  <c r="B243" i="13"/>
  <c r="B277" i="13" s="1"/>
  <c r="B242" i="13"/>
  <c r="B276" i="13" s="1"/>
  <c r="B241" i="13"/>
  <c r="B275" i="13" s="1"/>
  <c r="B240" i="13"/>
  <c r="B274" i="13" s="1"/>
  <c r="B239" i="13"/>
  <c r="B273" i="13" s="1"/>
  <c r="B238" i="13"/>
  <c r="B272" i="13" s="1"/>
  <c r="B237" i="13"/>
  <c r="B271" i="13" s="1"/>
  <c r="B236" i="13"/>
  <c r="B270" i="13" s="1"/>
  <c r="B235" i="13"/>
  <c r="B269" i="13" s="1"/>
  <c r="B234" i="13"/>
  <c r="B268" i="13" s="1"/>
  <c r="B233" i="13"/>
  <c r="B267" i="13" s="1"/>
  <c r="N224" i="13" a="1"/>
  <c r="N224" i="13" s="1"/>
  <c r="K224" i="13" a="1"/>
  <c r="K224" i="13" s="1"/>
  <c r="H224" i="13" a="1"/>
  <c r="H224" i="13" s="1"/>
  <c r="E224" i="13" a="1"/>
  <c r="E224" i="13" s="1"/>
  <c r="N217" i="13" a="1"/>
  <c r="N217" i="13" s="1"/>
  <c r="K217" i="13" a="1"/>
  <c r="K217" i="13" s="1"/>
  <c r="H217" i="13" a="1"/>
  <c r="H217" i="13" s="1"/>
  <c r="E217" i="13" a="1"/>
  <c r="E217" i="13" s="1"/>
  <c r="H195" i="13"/>
  <c r="E196" i="13" s="1"/>
  <c r="B173" i="13"/>
  <c r="B206" i="13" s="1"/>
  <c r="B172" i="13"/>
  <c r="B205" i="13" s="1"/>
  <c r="B171" i="13"/>
  <c r="B204" i="13" s="1"/>
  <c r="B170" i="13"/>
  <c r="B203" i="13" s="1"/>
  <c r="B169" i="13"/>
  <c r="B168" i="13"/>
  <c r="B167" i="13"/>
  <c r="B166" i="13"/>
  <c r="B165" i="13"/>
  <c r="B164" i="13"/>
  <c r="B163" i="13"/>
  <c r="B162" i="13"/>
  <c r="N153" i="13" a="1"/>
  <c r="N153" i="13" s="1"/>
  <c r="K153" i="13" a="1"/>
  <c r="K153" i="13" s="1"/>
  <c r="H153" i="13" a="1"/>
  <c r="H153" i="13" s="1"/>
  <c r="E153" i="13" a="1"/>
  <c r="E153" i="13" s="1"/>
  <c r="N146" i="13" a="1"/>
  <c r="N146" i="13" s="1"/>
  <c r="K146" i="13" a="1"/>
  <c r="K146" i="13" s="1"/>
  <c r="H146" i="13" a="1"/>
  <c r="H146" i="13" s="1"/>
  <c r="E146" i="13" a="1"/>
  <c r="E146" i="13" s="1"/>
  <c r="E75" i="13" a="1"/>
  <c r="E75" i="13"/>
  <c r="H124" i="13"/>
  <c r="E125" i="13" s="1"/>
  <c r="B102" i="13"/>
  <c r="B135" i="13" s="1"/>
  <c r="B101" i="13"/>
  <c r="B134" i="13" s="1"/>
  <c r="B100" i="13"/>
  <c r="B133" i="13" s="1"/>
  <c r="B99" i="13"/>
  <c r="B132" i="13" s="1"/>
  <c r="B98" i="13"/>
  <c r="B97" i="13"/>
  <c r="B96" i="13"/>
  <c r="B95" i="13"/>
  <c r="B94" i="13"/>
  <c r="B93" i="13"/>
  <c r="B92" i="13"/>
  <c r="B91" i="13"/>
  <c r="N82" i="13" a="1"/>
  <c r="N82" i="13" s="1"/>
  <c r="K82" i="13" a="1"/>
  <c r="K82" i="13" s="1"/>
  <c r="H82" i="13" a="1"/>
  <c r="H82" i="13" s="1"/>
  <c r="E82" i="13" a="1"/>
  <c r="E82" i="13" s="1"/>
  <c r="N75" i="13" a="1"/>
  <c r="N75" i="13" s="1"/>
  <c r="K75" i="13" a="1"/>
  <c r="K75" i="13" s="1"/>
  <c r="H75" i="13" a="1"/>
  <c r="H75" i="13" s="1"/>
  <c r="H53" i="13"/>
  <c r="E58" i="13" s="1"/>
  <c r="N11" i="13" a="1"/>
  <c r="N11" i="13"/>
  <c r="K11" i="13" a="1"/>
  <c r="K11" i="13"/>
  <c r="H11" i="13" a="1"/>
  <c r="H11" i="13"/>
  <c r="E11" i="13" a="1"/>
  <c r="E11" i="13"/>
  <c r="N4" i="13" a="1"/>
  <c r="N4" i="13"/>
  <c r="K4" i="13" a="1"/>
  <c r="K4" i="13"/>
  <c r="E4" i="13" a="1"/>
  <c r="E4" i="13"/>
  <c r="H4" i="13" a="1"/>
  <c r="H4" i="13"/>
  <c r="G39" i="9"/>
  <c r="B21" i="13"/>
  <c r="B54" i="13" s="1"/>
  <c r="B22" i="13"/>
  <c r="B55" i="13" s="1"/>
  <c r="B23" i="13"/>
  <c r="B56" i="13" s="1"/>
  <c r="B24" i="13"/>
  <c r="B25" i="13"/>
  <c r="B26" i="13"/>
  <c r="B27" i="13"/>
  <c r="F23" i="13" s="1" a="1"/>
  <c r="B28" i="13"/>
  <c r="G24" i="13" s="1" a="1"/>
  <c r="B29" i="13"/>
  <c r="H25" i="13" s="1" a="1"/>
  <c r="B30" i="13"/>
  <c r="I26" i="13" s="1" a="1"/>
  <c r="B31" i="13"/>
  <c r="J27" i="13" s="1" a="1"/>
  <c r="B20" i="13"/>
  <c r="B53" i="13" s="1"/>
  <c r="E73" i="14"/>
  <c r="E74" i="14"/>
  <c r="G74" i="14"/>
  <c r="H74" i="14"/>
  <c r="I74" i="14"/>
  <c r="J74" i="14"/>
  <c r="K74" i="14"/>
  <c r="E75" i="14"/>
  <c r="F75" i="14"/>
  <c r="G75" i="14"/>
  <c r="H75" i="14"/>
  <c r="I75" i="14"/>
  <c r="J75" i="14"/>
  <c r="K75" i="14"/>
  <c r="E76" i="14"/>
  <c r="F76" i="14"/>
  <c r="G76" i="14"/>
  <c r="H76" i="14"/>
  <c r="I76" i="14"/>
  <c r="J76" i="14"/>
  <c r="K76" i="14"/>
  <c r="E77" i="14"/>
  <c r="F77" i="14"/>
  <c r="G77" i="14"/>
  <c r="H77" i="14"/>
  <c r="I77" i="14"/>
  <c r="J77" i="14"/>
  <c r="K77" i="14"/>
  <c r="E78" i="14"/>
  <c r="F78" i="14"/>
  <c r="G78" i="14"/>
  <c r="H78" i="14"/>
  <c r="I78" i="14"/>
  <c r="J78" i="14"/>
  <c r="K78" i="14"/>
  <c r="E79" i="14"/>
  <c r="F79" i="14"/>
  <c r="G79" i="14"/>
  <c r="H79" i="14"/>
  <c r="I79" i="14"/>
  <c r="J79" i="14"/>
  <c r="K79" i="14"/>
  <c r="E80" i="14"/>
  <c r="F80" i="14"/>
  <c r="G80" i="14"/>
  <c r="H80" i="14"/>
  <c r="I80" i="14"/>
  <c r="J80" i="14"/>
  <c r="K80" i="14"/>
  <c r="E81" i="14"/>
  <c r="F81" i="14"/>
  <c r="G81" i="14"/>
  <c r="H81" i="14"/>
  <c r="I81" i="14"/>
  <c r="J81" i="14"/>
  <c r="K81" i="14"/>
  <c r="E82" i="14"/>
  <c r="F82" i="14"/>
  <c r="G82" i="14"/>
  <c r="H82" i="14"/>
  <c r="I82" i="14"/>
  <c r="J82" i="14"/>
  <c r="K82" i="14"/>
  <c r="E83" i="14"/>
  <c r="F83" i="14"/>
  <c r="G83" i="14"/>
  <c r="H83" i="14"/>
  <c r="I83" i="14"/>
  <c r="J83" i="14"/>
  <c r="K83" i="14"/>
  <c r="F84" i="14"/>
  <c r="K85" i="14"/>
  <c r="H85" i="14"/>
  <c r="H87" i="14"/>
  <c r="E52" i="14"/>
  <c r="E53" i="14"/>
  <c r="F53" i="14"/>
  <c r="G53" i="14"/>
  <c r="H53" i="14"/>
  <c r="I53" i="14"/>
  <c r="J53" i="14"/>
  <c r="K53" i="14"/>
  <c r="E54" i="14"/>
  <c r="F54" i="14"/>
  <c r="G54" i="14"/>
  <c r="H54" i="14"/>
  <c r="I54" i="14"/>
  <c r="J54" i="14"/>
  <c r="K54" i="14"/>
  <c r="E55" i="14"/>
  <c r="F55" i="14"/>
  <c r="G55" i="14"/>
  <c r="H55" i="14"/>
  <c r="I55" i="14"/>
  <c r="J55" i="14"/>
  <c r="K55" i="14"/>
  <c r="E56" i="14"/>
  <c r="F56" i="14"/>
  <c r="G56" i="14"/>
  <c r="H56" i="14"/>
  <c r="I56" i="14"/>
  <c r="J56" i="14"/>
  <c r="K56" i="14"/>
  <c r="E57" i="14"/>
  <c r="F57" i="14"/>
  <c r="G57" i="14"/>
  <c r="H57" i="14"/>
  <c r="I57" i="14"/>
  <c r="J57" i="14"/>
  <c r="K57" i="14"/>
  <c r="E58" i="14"/>
  <c r="F58" i="14"/>
  <c r="G58" i="14"/>
  <c r="H58" i="14"/>
  <c r="I58" i="14"/>
  <c r="J58" i="14"/>
  <c r="K58" i="14"/>
  <c r="E59" i="14"/>
  <c r="F59" i="14"/>
  <c r="G59" i="14"/>
  <c r="H59" i="14"/>
  <c r="I59" i="14"/>
  <c r="J59" i="14"/>
  <c r="K59" i="14"/>
  <c r="E60" i="14"/>
  <c r="F60" i="14"/>
  <c r="G60" i="14"/>
  <c r="H60" i="14"/>
  <c r="I60" i="14"/>
  <c r="J60" i="14"/>
  <c r="K60" i="14"/>
  <c r="E61" i="14"/>
  <c r="F61" i="14"/>
  <c r="G61" i="14"/>
  <c r="H61" i="14"/>
  <c r="I61" i="14"/>
  <c r="J61" i="14"/>
  <c r="K61" i="14"/>
  <c r="E62" i="14"/>
  <c r="F62" i="14"/>
  <c r="G62" i="14"/>
  <c r="H62" i="14"/>
  <c r="I62" i="14"/>
  <c r="J62" i="14"/>
  <c r="K62" i="14"/>
  <c r="I63" i="14"/>
  <c r="H64" i="14"/>
  <c r="H66" i="14" s="1"/>
  <c r="K66" i="14"/>
  <c r="E31" i="14"/>
  <c r="E32" i="14"/>
  <c r="F32" i="14"/>
  <c r="G32" i="14"/>
  <c r="H32" i="14"/>
  <c r="J32" i="14"/>
  <c r="K32" i="14"/>
  <c r="E33" i="14"/>
  <c r="F33" i="14"/>
  <c r="G33" i="14"/>
  <c r="H33" i="14"/>
  <c r="I33" i="14"/>
  <c r="J33" i="14"/>
  <c r="K33" i="14"/>
  <c r="E34" i="14"/>
  <c r="F34" i="14"/>
  <c r="G34" i="14"/>
  <c r="H34" i="14"/>
  <c r="I34" i="14"/>
  <c r="K34" i="14"/>
  <c r="E35" i="14"/>
  <c r="F35" i="14"/>
  <c r="G35" i="14"/>
  <c r="H35" i="14"/>
  <c r="I35" i="14"/>
  <c r="J35" i="14"/>
  <c r="K35" i="14"/>
  <c r="E36" i="14"/>
  <c r="F36" i="14"/>
  <c r="G36" i="14"/>
  <c r="H36" i="14"/>
  <c r="I36" i="14"/>
  <c r="J36" i="14"/>
  <c r="K36" i="14"/>
  <c r="E37" i="14"/>
  <c r="F37" i="14"/>
  <c r="G37" i="14"/>
  <c r="H37" i="14"/>
  <c r="I37" i="14"/>
  <c r="J37" i="14"/>
  <c r="K37" i="14"/>
  <c r="E38" i="14"/>
  <c r="F38" i="14"/>
  <c r="G38" i="14"/>
  <c r="H38" i="14"/>
  <c r="I38" i="14"/>
  <c r="J38" i="14"/>
  <c r="K38" i="14"/>
  <c r="E39" i="14"/>
  <c r="F39" i="14"/>
  <c r="G39" i="14"/>
  <c r="H39" i="14"/>
  <c r="I39" i="14"/>
  <c r="J39" i="14"/>
  <c r="K39" i="14"/>
  <c r="E40" i="14"/>
  <c r="F40" i="14"/>
  <c r="G40" i="14"/>
  <c r="H40" i="14"/>
  <c r="I40" i="14"/>
  <c r="J40" i="14"/>
  <c r="K40" i="14"/>
  <c r="E41" i="14"/>
  <c r="F41" i="14"/>
  <c r="G41" i="14"/>
  <c r="H41" i="14"/>
  <c r="I41" i="14"/>
  <c r="J41" i="14"/>
  <c r="K41" i="14"/>
  <c r="H43" i="14"/>
  <c r="H45" i="14" s="1"/>
  <c r="K43" i="14"/>
  <c r="K45" i="14" s="1"/>
  <c r="I11" i="14"/>
  <c r="J11" i="14" s="1"/>
  <c r="K11" i="14" s="1"/>
  <c r="I12" i="14"/>
  <c r="J12" i="14" s="1"/>
  <c r="K12" i="14" s="1"/>
  <c r="I13" i="14"/>
  <c r="J13" i="14" s="1"/>
  <c r="K13" i="14" s="1"/>
  <c r="I14" i="14"/>
  <c r="J14" i="14" s="1"/>
  <c r="K14" i="14" s="1"/>
  <c r="I15" i="14"/>
  <c r="J15" i="14" s="1"/>
  <c r="K15" i="14" s="1"/>
  <c r="I16" i="14"/>
  <c r="J16" i="14" s="1"/>
  <c r="K16" i="14" s="1"/>
  <c r="I17" i="14"/>
  <c r="J17" i="14" s="1"/>
  <c r="K17" i="14" s="1"/>
  <c r="I18" i="14"/>
  <c r="J18" i="14" s="1"/>
  <c r="K18" i="14" s="1"/>
  <c r="I19" i="14"/>
  <c r="J19" i="14" s="1"/>
  <c r="K19" i="14" s="1"/>
  <c r="I20" i="14"/>
  <c r="J20" i="14" s="1"/>
  <c r="K20" i="14" s="1"/>
  <c r="F20" i="14"/>
  <c r="G20" i="14"/>
  <c r="H20" i="14" s="1"/>
  <c r="F11" i="14"/>
  <c r="G11" i="14" s="1"/>
  <c r="H11" i="14" s="1"/>
  <c r="F12" i="14"/>
  <c r="G12" i="14" s="1"/>
  <c r="H12" i="14" s="1"/>
  <c r="F13" i="14"/>
  <c r="G13" i="14" s="1"/>
  <c r="H13" i="14" s="1"/>
  <c r="F14" i="14"/>
  <c r="G14" i="14" s="1"/>
  <c r="H14" i="14" s="1"/>
  <c r="F15" i="14"/>
  <c r="G15" i="14" s="1"/>
  <c r="H15" i="14" s="1"/>
  <c r="F16" i="14"/>
  <c r="G16" i="14" s="1"/>
  <c r="H16" i="14" s="1"/>
  <c r="F17" i="14"/>
  <c r="G17" i="14" s="1"/>
  <c r="H17" i="14" s="1"/>
  <c r="F18" i="14"/>
  <c r="G18" i="14" s="1"/>
  <c r="H18" i="14" s="1"/>
  <c r="F19" i="14"/>
  <c r="G19" i="14" s="1"/>
  <c r="H19" i="14" s="1"/>
  <c r="E11" i="14"/>
  <c r="E12" i="14"/>
  <c r="E13" i="14"/>
  <c r="E14" i="14"/>
  <c r="E15" i="14"/>
  <c r="E16" i="14"/>
  <c r="E17" i="14"/>
  <c r="E18" i="14"/>
  <c r="E19" i="14"/>
  <c r="E20" i="14"/>
  <c r="D36" i="9"/>
  <c r="AH28" i="9"/>
  <c r="AJ28" i="9"/>
  <c r="X28" i="9"/>
  <c r="Y28" i="9"/>
  <c r="Z28" i="9"/>
  <c r="AA28" i="9"/>
  <c r="AB28" i="9"/>
  <c r="N28" i="9"/>
  <c r="O28" i="9"/>
  <c r="P28" i="9"/>
  <c r="Q28" i="9"/>
  <c r="R28" i="9"/>
  <c r="AH29" i="9"/>
  <c r="AI29" i="9"/>
  <c r="AJ29" i="9"/>
  <c r="AK29" i="9"/>
  <c r="AH30" i="9"/>
  <c r="AI30" i="9"/>
  <c r="AJ30" i="9"/>
  <c r="AK30" i="9"/>
  <c r="AH31" i="9"/>
  <c r="AI31" i="9"/>
  <c r="AJ31" i="9"/>
  <c r="AK31" i="9"/>
  <c r="AH32" i="9"/>
  <c r="AI32" i="9"/>
  <c r="AJ32" i="9"/>
  <c r="AK32" i="9"/>
  <c r="AH33" i="9"/>
  <c r="AI33" i="9"/>
  <c r="AJ33" i="9"/>
  <c r="AK33" i="9"/>
  <c r="AH34" i="9"/>
  <c r="AI34" i="9"/>
  <c r="AJ34" i="9"/>
  <c r="AK34" i="9"/>
  <c r="AH35" i="9"/>
  <c r="AI35" i="9"/>
  <c r="AJ35" i="9"/>
  <c r="AK35" i="9"/>
  <c r="AH36" i="9"/>
  <c r="AI36" i="9"/>
  <c r="AJ36" i="9"/>
  <c r="AK36" i="9"/>
  <c r="AH37" i="9"/>
  <c r="AI37" i="9"/>
  <c r="AJ37" i="9"/>
  <c r="AK37" i="9"/>
  <c r="AH38" i="9"/>
  <c r="AI38" i="9"/>
  <c r="AJ38" i="9"/>
  <c r="AK38" i="9"/>
  <c r="AH39" i="9"/>
  <c r="AJ39" i="9"/>
  <c r="AK39" i="9"/>
  <c r="AG29" i="9"/>
  <c r="AG30" i="9"/>
  <c r="AG31" i="9"/>
  <c r="AG32" i="9"/>
  <c r="AG33" i="9"/>
  <c r="AG34" i="9"/>
  <c r="AG35" i="9"/>
  <c r="AG36" i="9"/>
  <c r="AG37" i="9"/>
  <c r="AG38" i="9"/>
  <c r="X29" i="9"/>
  <c r="Y29" i="9"/>
  <c r="Z29" i="9"/>
  <c r="AA29" i="9"/>
  <c r="AB29" i="9"/>
  <c r="X30" i="9"/>
  <c r="Y30" i="9"/>
  <c r="Z30" i="9"/>
  <c r="AA30" i="9"/>
  <c r="AB30" i="9"/>
  <c r="X31" i="9"/>
  <c r="Y31" i="9"/>
  <c r="Z31" i="9"/>
  <c r="AA31" i="9"/>
  <c r="AB31" i="9"/>
  <c r="X32" i="9"/>
  <c r="Y32" i="9"/>
  <c r="Z32" i="9"/>
  <c r="AA32" i="9"/>
  <c r="AB32" i="9"/>
  <c r="X33" i="9"/>
  <c r="Y33" i="9"/>
  <c r="Z33" i="9"/>
  <c r="AA33" i="9"/>
  <c r="AB33" i="9"/>
  <c r="X34" i="9"/>
  <c r="Y34" i="9"/>
  <c r="Z34" i="9"/>
  <c r="AA34" i="9"/>
  <c r="AB34" i="9"/>
  <c r="X35" i="9"/>
  <c r="Y35" i="9"/>
  <c r="Z35" i="9"/>
  <c r="AA35" i="9"/>
  <c r="AB35" i="9"/>
  <c r="X36" i="9"/>
  <c r="Y36" i="9"/>
  <c r="Z36" i="9"/>
  <c r="AA36" i="9"/>
  <c r="AB36" i="9"/>
  <c r="X37" i="9"/>
  <c r="Y37" i="9"/>
  <c r="Z37" i="9"/>
  <c r="AA37" i="9"/>
  <c r="AB37" i="9"/>
  <c r="X38" i="9"/>
  <c r="Y38" i="9"/>
  <c r="Z38" i="9"/>
  <c r="AA38" i="9"/>
  <c r="AB38" i="9"/>
  <c r="X39" i="9"/>
  <c r="Y39" i="9"/>
  <c r="Z39" i="9"/>
  <c r="AA39" i="9"/>
  <c r="AB39" i="9"/>
  <c r="W29" i="9"/>
  <c r="W30" i="9"/>
  <c r="W31" i="9"/>
  <c r="W32" i="9"/>
  <c r="W33" i="9"/>
  <c r="W34" i="9"/>
  <c r="W35" i="9"/>
  <c r="W36" i="9"/>
  <c r="W37" i="9"/>
  <c r="W38" i="9"/>
  <c r="W39" i="9"/>
  <c r="W28" i="9"/>
  <c r="N29" i="9"/>
  <c r="O29" i="9"/>
  <c r="P29" i="9"/>
  <c r="Q29" i="9"/>
  <c r="R29" i="9"/>
  <c r="N30" i="9"/>
  <c r="O30" i="9"/>
  <c r="P30" i="9"/>
  <c r="Q30" i="9"/>
  <c r="R30" i="9"/>
  <c r="N31" i="9"/>
  <c r="O31" i="9"/>
  <c r="P31" i="9"/>
  <c r="Q31" i="9"/>
  <c r="R31" i="9"/>
  <c r="N32" i="9"/>
  <c r="O32" i="9"/>
  <c r="P32" i="9"/>
  <c r="Q32" i="9"/>
  <c r="R32" i="9"/>
  <c r="N33" i="9"/>
  <c r="O33" i="9"/>
  <c r="P33" i="9"/>
  <c r="Q33" i="9"/>
  <c r="R33" i="9"/>
  <c r="N34" i="9"/>
  <c r="O34" i="9"/>
  <c r="P34" i="9"/>
  <c r="Q34" i="9"/>
  <c r="R34" i="9"/>
  <c r="N35" i="9"/>
  <c r="O35" i="9"/>
  <c r="P35" i="9"/>
  <c r="Q35" i="9"/>
  <c r="R35" i="9"/>
  <c r="N36" i="9"/>
  <c r="O36" i="9"/>
  <c r="P36" i="9"/>
  <c r="Q36" i="9"/>
  <c r="R36" i="9"/>
  <c r="N37" i="9"/>
  <c r="O37" i="9"/>
  <c r="P37" i="9"/>
  <c r="Q37" i="9"/>
  <c r="R37" i="9"/>
  <c r="N38" i="9"/>
  <c r="O38" i="9"/>
  <c r="P38" i="9"/>
  <c r="Q38" i="9"/>
  <c r="R38" i="9"/>
  <c r="N39" i="9"/>
  <c r="O39" i="9"/>
  <c r="P39" i="9"/>
  <c r="Q39" i="9"/>
  <c r="R39" i="9"/>
  <c r="M29" i="9"/>
  <c r="M30" i="9"/>
  <c r="M31" i="9"/>
  <c r="M32" i="9"/>
  <c r="M33" i="9"/>
  <c r="M34" i="9"/>
  <c r="M35" i="9"/>
  <c r="M36" i="9"/>
  <c r="M37" i="9"/>
  <c r="M38" i="9"/>
  <c r="M39" i="9"/>
  <c r="M28" i="9"/>
  <c r="C29" i="9"/>
  <c r="D29" i="9"/>
  <c r="E29" i="9"/>
  <c r="F29" i="9"/>
  <c r="G29" i="9"/>
  <c r="H29" i="9"/>
  <c r="C30" i="9"/>
  <c r="D30" i="9"/>
  <c r="E30" i="9"/>
  <c r="F30" i="9"/>
  <c r="G30" i="9"/>
  <c r="H30" i="9"/>
  <c r="C31" i="9"/>
  <c r="D31" i="9"/>
  <c r="E31" i="9"/>
  <c r="F31" i="9"/>
  <c r="G31" i="9"/>
  <c r="H31" i="9"/>
  <c r="C32" i="9"/>
  <c r="D32" i="9"/>
  <c r="E32" i="9"/>
  <c r="G32" i="9"/>
  <c r="H32" i="9"/>
  <c r="C33" i="9"/>
  <c r="D33" i="9"/>
  <c r="E33" i="9"/>
  <c r="F33" i="9"/>
  <c r="G33" i="9"/>
  <c r="H33" i="9"/>
  <c r="C34" i="9"/>
  <c r="D34" i="9"/>
  <c r="E34" i="9"/>
  <c r="F34" i="9"/>
  <c r="G34" i="9"/>
  <c r="H34" i="9"/>
  <c r="C35" i="9"/>
  <c r="D35" i="9"/>
  <c r="E35" i="9"/>
  <c r="F35" i="9"/>
  <c r="G35" i="9"/>
  <c r="H35" i="9"/>
  <c r="C36" i="9"/>
  <c r="E36" i="9"/>
  <c r="F36" i="9"/>
  <c r="G36" i="9"/>
  <c r="H36" i="9"/>
  <c r="C37" i="9"/>
  <c r="D37" i="9"/>
  <c r="E37" i="9"/>
  <c r="F37" i="9"/>
  <c r="G37" i="9"/>
  <c r="H37" i="9"/>
  <c r="C38" i="9"/>
  <c r="D38" i="9"/>
  <c r="E38" i="9"/>
  <c r="F38" i="9"/>
  <c r="G38" i="9"/>
  <c r="H38" i="9"/>
  <c r="D39" i="9"/>
  <c r="E39" i="9"/>
  <c r="F39" i="9"/>
  <c r="H39" i="9"/>
  <c r="D28" i="9"/>
  <c r="E28" i="9"/>
  <c r="F28" i="9"/>
  <c r="G28" i="9"/>
  <c r="C28" i="9"/>
  <c r="M121" i="10"/>
  <c r="M120" i="10"/>
  <c r="M229" i="10"/>
  <c r="E239" i="10" a="1"/>
  <c r="E239" i="10"/>
  <c r="C239" i="10" a="1"/>
  <c r="C239" i="10"/>
  <c r="C235" i="10" a="1"/>
  <c r="C235" i="10"/>
  <c r="E216" i="10" a="1"/>
  <c r="E216" i="10"/>
  <c r="M174" i="10"/>
  <c r="Q207" i="10" a="1"/>
  <c r="Q207" i="10"/>
  <c r="E235" i="10" a="1"/>
  <c r="E235" i="10"/>
  <c r="D231" i="10" a="1"/>
  <c r="D231" i="10"/>
  <c r="D230" i="10"/>
  <c r="M230" i="10" a="1"/>
  <c r="M230" i="10" s="1"/>
  <c r="E231" i="10" a="1"/>
  <c r="E231" i="10"/>
  <c r="F230" i="10"/>
  <c r="I231" i="10"/>
  <c r="I232" i="10"/>
  <c r="I233" i="10"/>
  <c r="I234" i="10"/>
  <c r="I235" i="10"/>
  <c r="I236" i="10"/>
  <c r="I237" i="10"/>
  <c r="I238" i="10"/>
  <c r="I239" i="10"/>
  <c r="I240" i="10"/>
  <c r="I241" i="10"/>
  <c r="I230" i="10"/>
  <c r="H231" i="10"/>
  <c r="H232" i="10"/>
  <c r="H233" i="10"/>
  <c r="H234" i="10"/>
  <c r="H235" i="10"/>
  <c r="H236" i="10"/>
  <c r="H237" i="10"/>
  <c r="H238" i="10"/>
  <c r="H239" i="10"/>
  <c r="H240" i="10"/>
  <c r="H241" i="10"/>
  <c r="H230" i="10"/>
  <c r="Q222" i="10" a="1"/>
  <c r="Q222" i="10"/>
  <c r="M225" i="10" a="1"/>
  <c r="M225" i="10"/>
  <c r="K225" i="10" a="1"/>
  <c r="K225" i="10"/>
  <c r="E224" i="10" a="1"/>
  <c r="E224" i="10"/>
  <c r="D224" i="10" a="1"/>
  <c r="D224" i="10"/>
  <c r="D223" i="10"/>
  <c r="K217" i="10" a="1"/>
  <c r="K217" i="10" s="1"/>
  <c r="E209" i="10" a="1"/>
  <c r="E209" i="10"/>
  <c r="D215" i="10"/>
  <c r="D208" i="10"/>
  <c r="K210" i="10" a="1"/>
  <c r="K210" i="10" s="1"/>
  <c r="H209" i="10"/>
  <c r="H210" i="10"/>
  <c r="H211" i="10"/>
  <c r="H208" i="10"/>
  <c r="D209" i="10" s="1" a="1"/>
  <c r="D209" i="10" s="1"/>
  <c r="M234" i="10"/>
  <c r="H226" i="10"/>
  <c r="H225" i="10"/>
  <c r="H224" i="10"/>
  <c r="F223" i="10"/>
  <c r="E223" i="10"/>
  <c r="H223" i="10"/>
  <c r="H218" i="10"/>
  <c r="H217" i="10"/>
  <c r="H216" i="10"/>
  <c r="H215" i="10"/>
  <c r="D216" i="10" s="1" a="1"/>
  <c r="D216" i="10" s="1"/>
  <c r="F215" i="10"/>
  <c r="E215" i="10"/>
  <c r="F208" i="10"/>
  <c r="E208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86" i="10"/>
  <c r="M176" i="10"/>
  <c r="H173" i="10"/>
  <c r="H174" i="10"/>
  <c r="H175" i="10"/>
  <c r="H176" i="10"/>
  <c r="H177" i="10"/>
  <c r="H178" i="10"/>
  <c r="H179" i="10"/>
  <c r="H180" i="10"/>
  <c r="H181" i="10"/>
  <c r="H182" i="10"/>
  <c r="H183" i="10"/>
  <c r="H172" i="10"/>
  <c r="D172" i="10"/>
  <c r="H165" i="10"/>
  <c r="H166" i="10"/>
  <c r="H167" i="10"/>
  <c r="H164" i="10"/>
  <c r="I165" i="10"/>
  <c r="I181" i="10" s="1"/>
  <c r="I166" i="10"/>
  <c r="I182" i="10" s="1"/>
  <c r="I167" i="10"/>
  <c r="I183" i="10" s="1"/>
  <c r="I164" i="10"/>
  <c r="D164" i="10"/>
  <c r="D152" i="10"/>
  <c r="I153" i="10"/>
  <c r="I173" i="10" s="1"/>
  <c r="I154" i="10"/>
  <c r="I174" i="10" s="1"/>
  <c r="I155" i="10"/>
  <c r="I175" i="10" s="1"/>
  <c r="I156" i="10"/>
  <c r="I176" i="10" s="1"/>
  <c r="I157" i="10"/>
  <c r="I177" i="10" s="1"/>
  <c r="I158" i="10"/>
  <c r="I178" i="10" s="1"/>
  <c r="I159" i="10"/>
  <c r="I179" i="10" s="1"/>
  <c r="I152" i="10"/>
  <c r="I172" i="10" s="1"/>
  <c r="M118" i="10"/>
  <c r="D114" i="10"/>
  <c r="E108" i="10" a="1"/>
  <c r="E108" i="10"/>
  <c r="K108" i="10" s="1" a="1"/>
  <c r="K108" i="10" s="1"/>
  <c r="H108" i="10"/>
  <c r="H109" i="10"/>
  <c r="H107" i="10"/>
  <c r="D108" i="10" s="1" a="1"/>
  <c r="D108" i="10" s="1"/>
  <c r="D107" i="10"/>
  <c r="M54" i="10"/>
  <c r="D50" i="10"/>
  <c r="E44" i="10" a="1"/>
  <c r="E44" i="10"/>
  <c r="K44" i="10" s="1" a="1"/>
  <c r="K44" i="10" s="1"/>
  <c r="D43" i="10"/>
  <c r="H43" i="10" a="1"/>
  <c r="H43" i="10"/>
  <c r="D44" i="10" s="1" a="1"/>
  <c r="D44" i="10" s="1"/>
  <c r="E33" i="10" a="1"/>
  <c r="E33" i="10"/>
  <c r="D32" i="10"/>
  <c r="D25" i="10"/>
  <c r="J145" i="12" a="1"/>
  <c r="J145" i="12"/>
  <c r="G145" i="12" a="1"/>
  <c r="G145" i="12"/>
  <c r="D145" i="12" a="1"/>
  <c r="D145" i="12"/>
  <c r="E155" i="12"/>
  <c r="E142" i="12"/>
  <c r="J132" i="12" a="1"/>
  <c r="J132" i="12"/>
  <c r="G132" i="12" a="1"/>
  <c r="G132" i="12"/>
  <c r="D132" i="12" a="1"/>
  <c r="D132" i="12"/>
  <c r="H155" i="12"/>
  <c r="H142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31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16" i="12"/>
  <c r="H110" i="12"/>
  <c r="H112" i="12"/>
  <c r="J102" i="12" a="1"/>
  <c r="J102" i="12"/>
  <c r="G102" i="12" a="1"/>
  <c r="G102" i="12"/>
  <c r="D102" i="12" a="1"/>
  <c r="D102" i="12"/>
  <c r="E112" i="12"/>
  <c r="E108" i="12"/>
  <c r="H108" i="12"/>
  <c r="K108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01" i="12"/>
  <c r="A88" i="12"/>
  <c r="A89" i="12"/>
  <c r="A90" i="12"/>
  <c r="A91" i="12"/>
  <c r="A92" i="12"/>
  <c r="A93" i="12"/>
  <c r="A94" i="12"/>
  <c r="A95" i="12"/>
  <c r="A96" i="12"/>
  <c r="A97" i="12"/>
  <c r="A98" i="12"/>
  <c r="A87" i="12"/>
  <c r="J73" i="12" a="1"/>
  <c r="J73" i="12"/>
  <c r="E83" i="12"/>
  <c r="H83" i="12" s="1"/>
  <c r="G73" i="12" a="1"/>
  <c r="D73" i="12" a="1"/>
  <c r="D73" i="12" s="1"/>
  <c r="E70" i="12"/>
  <c r="H70" i="12" s="1"/>
  <c r="J60" i="12" a="1"/>
  <c r="G60" i="12" a="1"/>
  <c r="D60" i="12" a="1"/>
  <c r="A60" i="12"/>
  <c r="A61" i="12"/>
  <c r="A62" i="12"/>
  <c r="A63" i="12"/>
  <c r="A64" i="12"/>
  <c r="A65" i="12"/>
  <c r="A66" i="12"/>
  <c r="A67" i="12"/>
  <c r="A68" i="12"/>
  <c r="A69" i="12"/>
  <c r="A70" i="12"/>
  <c r="A71" i="12"/>
  <c r="A59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44" i="12"/>
  <c r="E39" i="12"/>
  <c r="E41" i="12"/>
  <c r="H41" i="12" s="1"/>
  <c r="H39" i="12"/>
  <c r="K37" i="12"/>
  <c r="H37" i="12"/>
  <c r="E37" i="12"/>
  <c r="J31" i="12" a="1"/>
  <c r="J31" i="12"/>
  <c r="G31" i="12" a="1"/>
  <c r="G31" i="12"/>
  <c r="D31" i="12" a="1"/>
  <c r="D31" i="12"/>
  <c r="H28" i="12"/>
  <c r="H26" i="12"/>
  <c r="E28" i="12"/>
  <c r="E26" i="12"/>
  <c r="K24" i="12"/>
  <c r="H24" i="12"/>
  <c r="E24" i="12"/>
  <c r="G18" i="12" a="1"/>
  <c r="G18" i="12"/>
  <c r="J18" i="12" a="1"/>
  <c r="J18" i="12"/>
  <c r="D18" i="12" a="1"/>
  <c r="D18" i="12"/>
  <c r="E97" i="10" a="1"/>
  <c r="E97" i="10"/>
  <c r="K100" i="10" s="1" a="1"/>
  <c r="K100" i="10" s="1"/>
  <c r="D96" i="10"/>
  <c r="E90" i="10" a="1"/>
  <c r="E90" i="10"/>
  <c r="K90" i="10" s="1" a="1"/>
  <c r="K90" i="10" s="1"/>
  <c r="H114" i="10"/>
  <c r="I114" i="10"/>
  <c r="H115" i="10"/>
  <c r="I115" i="10"/>
  <c r="H116" i="10"/>
  <c r="I116" i="10"/>
  <c r="H117" i="10"/>
  <c r="I117" i="10"/>
  <c r="H118" i="10"/>
  <c r="I118" i="10"/>
  <c r="H119" i="10"/>
  <c r="I119" i="10"/>
  <c r="H120" i="10"/>
  <c r="I120" i="10"/>
  <c r="H121" i="10"/>
  <c r="I121" i="10"/>
  <c r="H122" i="10"/>
  <c r="I122" i="10"/>
  <c r="H123" i="10"/>
  <c r="I123" i="10"/>
  <c r="H124" i="10"/>
  <c r="I124" i="10"/>
  <c r="H125" i="10"/>
  <c r="I125" i="10"/>
  <c r="H96" i="10"/>
  <c r="H97" i="10"/>
  <c r="H98" i="10"/>
  <c r="H99" i="10"/>
  <c r="H100" i="10"/>
  <c r="H101" i="10"/>
  <c r="D89" i="10"/>
  <c r="H89" i="10"/>
  <c r="H90" i="10"/>
  <c r="H91" i="10"/>
  <c r="I51" i="10"/>
  <c r="I52" i="10"/>
  <c r="I53" i="10"/>
  <c r="I54" i="10"/>
  <c r="I55" i="10"/>
  <c r="I56" i="10"/>
  <c r="I57" i="10"/>
  <c r="I58" i="10"/>
  <c r="I59" i="10"/>
  <c r="I60" i="10"/>
  <c r="I61" i="10"/>
  <c r="I50" i="10"/>
  <c r="C55" i="10" s="1" a="1"/>
  <c r="C55" i="10" s="1"/>
  <c r="H51" i="10"/>
  <c r="H52" i="10"/>
  <c r="H53" i="10"/>
  <c r="H54" i="10"/>
  <c r="H55" i="10"/>
  <c r="H56" i="10"/>
  <c r="H57" i="10"/>
  <c r="H58" i="10"/>
  <c r="H59" i="10"/>
  <c r="H60" i="10"/>
  <c r="H61" i="10"/>
  <c r="H50" i="10"/>
  <c r="E55" i="10" s="1" a="1"/>
  <c r="E55" i="10" s="1"/>
  <c r="D51" i="10" s="1" a="1"/>
  <c r="D51" i="10" s="1"/>
  <c r="K36" i="10" a="1"/>
  <c r="K36" i="10" s="1"/>
  <c r="E26" i="10" a="1"/>
  <c r="E26" i="10"/>
  <c r="K26" i="10" s="1" a="1"/>
  <c r="K26" i="10" s="1"/>
  <c r="H33" i="10"/>
  <c r="H34" i="10"/>
  <c r="H35" i="10"/>
  <c r="H36" i="10"/>
  <c r="H37" i="10"/>
  <c r="H32" i="10"/>
  <c r="D33" i="10" s="1" a="1"/>
  <c r="D33" i="10" s="1"/>
  <c r="H26" i="10"/>
  <c r="H27" i="10"/>
  <c r="H25" i="10"/>
  <c r="D26" i="10" s="1" a="1"/>
  <c r="D26" i="10" s="1"/>
  <c r="C20" i="13" l="1" a="1"/>
  <c r="C20" i="13" s="1"/>
  <c r="C74" i="8"/>
  <c r="AL247" i="9"/>
  <c r="AL248" i="9" s="1"/>
  <c r="AI248" i="9" s="1"/>
  <c r="H199" i="9"/>
  <c r="H200" i="9" s="1"/>
  <c r="Q189" i="9"/>
  <c r="R189" i="9" s="1"/>
  <c r="R199" i="9" s="1"/>
  <c r="R200" i="9" s="1"/>
  <c r="O200" i="9" s="1"/>
  <c r="D234" i="13" a="1"/>
  <c r="E235" i="13" a="1"/>
  <c r="F236" i="13" a="1"/>
  <c r="G237" i="13" a="1"/>
  <c r="C233" i="13" a="1"/>
  <c r="C233" i="13" s="1"/>
  <c r="H238" i="13" a="1"/>
  <c r="I239" i="13" a="1"/>
  <c r="J240" i="13" a="1"/>
  <c r="E278" i="13"/>
  <c r="E277" i="13"/>
  <c r="E276" i="13"/>
  <c r="E275" i="13"/>
  <c r="E274" i="13"/>
  <c r="E273" i="13"/>
  <c r="E272" i="13"/>
  <c r="E271" i="13"/>
  <c r="E270" i="13"/>
  <c r="K233" i="13"/>
  <c r="D234" i="13"/>
  <c r="K234" i="13" s="1"/>
  <c r="E235" i="13"/>
  <c r="K235" i="13" s="1"/>
  <c r="F236" i="13"/>
  <c r="K236" i="13" s="1"/>
  <c r="K241" i="13"/>
  <c r="G237" i="13"/>
  <c r="K237" i="13" s="1"/>
  <c r="K242" i="13"/>
  <c r="H238" i="13"/>
  <c r="K238" i="13" s="1"/>
  <c r="K243" i="13"/>
  <c r="I239" i="13"/>
  <c r="K239" i="13" s="1"/>
  <c r="K244" i="13"/>
  <c r="J240" i="13"/>
  <c r="K240" i="13" s="1"/>
  <c r="C162" i="13" a="1"/>
  <c r="B195" i="13"/>
  <c r="D163" i="13" a="1"/>
  <c r="B196" i="13"/>
  <c r="E164" i="13" a="1"/>
  <c r="B197" i="13"/>
  <c r="F165" i="13" a="1"/>
  <c r="B198" i="13"/>
  <c r="G166" i="13" a="1"/>
  <c r="B199" i="13"/>
  <c r="H167" i="13" a="1"/>
  <c r="B200" i="13"/>
  <c r="I168" i="13" a="1"/>
  <c r="B201" i="13"/>
  <c r="J169" i="13" a="1"/>
  <c r="B202" i="13"/>
  <c r="E206" i="13"/>
  <c r="E205" i="13"/>
  <c r="E204" i="13"/>
  <c r="E203" i="13"/>
  <c r="E202" i="13"/>
  <c r="E201" i="13"/>
  <c r="E200" i="13"/>
  <c r="E199" i="13"/>
  <c r="E198" i="13"/>
  <c r="E197" i="13"/>
  <c r="C162" i="13"/>
  <c r="K162" i="13" s="1"/>
  <c r="D163" i="13"/>
  <c r="K163" i="13" s="1"/>
  <c r="E164" i="13"/>
  <c r="K164" i="13" s="1"/>
  <c r="F165" i="13"/>
  <c r="K165" i="13" s="1"/>
  <c r="K170" i="13"/>
  <c r="G166" i="13"/>
  <c r="K166" i="13" s="1"/>
  <c r="K171" i="13"/>
  <c r="H167" i="13"/>
  <c r="K167" i="13" s="1"/>
  <c r="K172" i="13"/>
  <c r="I168" i="13"/>
  <c r="K168" i="13" s="1"/>
  <c r="K173" i="13"/>
  <c r="J169" i="13"/>
  <c r="K169" i="13" s="1"/>
  <c r="C91" i="13" a="1"/>
  <c r="B124" i="13"/>
  <c r="D92" i="13" a="1"/>
  <c r="B125" i="13"/>
  <c r="E93" i="13" a="1"/>
  <c r="B126" i="13"/>
  <c r="F94" i="13" a="1"/>
  <c r="B127" i="13"/>
  <c r="G95" i="13" a="1"/>
  <c r="B128" i="13"/>
  <c r="H96" i="13" a="1"/>
  <c r="B129" i="13"/>
  <c r="I97" i="13" a="1"/>
  <c r="B130" i="13"/>
  <c r="J98" i="13" a="1"/>
  <c r="B131" i="13"/>
  <c r="E127" i="13"/>
  <c r="E126" i="13"/>
  <c r="E135" i="13"/>
  <c r="E134" i="13"/>
  <c r="E133" i="13"/>
  <c r="E132" i="13"/>
  <c r="E131" i="13"/>
  <c r="E130" i="13"/>
  <c r="E129" i="13"/>
  <c r="E128" i="13"/>
  <c r="C91" i="13"/>
  <c r="K91" i="13" s="1"/>
  <c r="D92" i="13"/>
  <c r="K92" i="13" s="1"/>
  <c r="E93" i="13"/>
  <c r="K93" i="13" s="1"/>
  <c r="F94" i="13"/>
  <c r="K94" i="13" s="1"/>
  <c r="K99" i="13"/>
  <c r="G95" i="13"/>
  <c r="K95" i="13" s="1"/>
  <c r="K100" i="13"/>
  <c r="H96" i="13"/>
  <c r="K96" i="13" s="1"/>
  <c r="K101" i="13"/>
  <c r="I97" i="13"/>
  <c r="K97" i="13" s="1"/>
  <c r="K102" i="13"/>
  <c r="J98" i="13"/>
  <c r="K98" i="13" s="1"/>
  <c r="E64" i="13"/>
  <c r="E63" i="13"/>
  <c r="E62" i="13"/>
  <c r="E61" i="13"/>
  <c r="E60" i="13"/>
  <c r="E59" i="13"/>
  <c r="E57" i="13"/>
  <c r="E56" i="13"/>
  <c r="E55" i="13"/>
  <c r="E54" i="13"/>
  <c r="K31" i="13"/>
  <c r="J27" i="13"/>
  <c r="K30" i="13"/>
  <c r="I26" i="13"/>
  <c r="K29" i="13"/>
  <c r="H25" i="13"/>
  <c r="K28" i="13"/>
  <c r="G24" i="13"/>
  <c r="K27" i="13"/>
  <c r="F23" i="13"/>
  <c r="B59" i="13"/>
  <c r="E22" i="13" a="1"/>
  <c r="B58" i="13"/>
  <c r="D21" i="13" a="1"/>
  <c r="B57" i="13"/>
  <c r="B64" i="13"/>
  <c r="B63" i="13"/>
  <c r="B62" i="13"/>
  <c r="B61" i="13"/>
  <c r="B60" i="13"/>
  <c r="K22" i="14"/>
  <c r="K24" i="14" s="1"/>
  <c r="H24" i="14"/>
  <c r="M217" i="10" a="1"/>
  <c r="M217" i="10" s="1"/>
  <c r="Q214" i="10" s="1" a="1"/>
  <c r="Q214" i="10" s="1"/>
  <c r="M231" i="10" s="1"/>
  <c r="M210" i="10" a="1"/>
  <c r="M210" i="10" s="1"/>
  <c r="I180" i="10"/>
  <c r="C177" i="10" s="1" a="1"/>
  <c r="C177" i="10" s="1"/>
  <c r="C181" i="10" s="1" a="1"/>
  <c r="C181" i="10" s="1"/>
  <c r="E165" i="10" a="1"/>
  <c r="E165" i="10" s="1"/>
  <c r="K166" i="10" s="1" a="1"/>
  <c r="K166" i="10" s="1"/>
  <c r="D165" i="10" a="1"/>
  <c r="E177" i="10" a="1"/>
  <c r="E177" i="10" s="1"/>
  <c r="D173" i="10" s="1" a="1"/>
  <c r="C119" i="10" a="1"/>
  <c r="C119" i="10" s="1"/>
  <c r="E119" i="10" a="1"/>
  <c r="E119" i="10" s="1"/>
  <c r="D115" i="10" s="1" a="1"/>
  <c r="D115" i="10" s="1"/>
  <c r="M49" i="10"/>
  <c r="M108" i="10" a="1"/>
  <c r="M108" i="10" s="1"/>
  <c r="Q106" i="10" s="1" a="1"/>
  <c r="Q106" i="10" s="1"/>
  <c r="M113" i="10"/>
  <c r="E153" i="10" a="1"/>
  <c r="E153" i="10" s="1"/>
  <c r="K158" i="10" s="1" a="1"/>
  <c r="K158" i="10" s="1"/>
  <c r="D153" i="10" a="1"/>
  <c r="C59" i="10" a="1"/>
  <c r="C59" i="10" s="1"/>
  <c r="E59" i="10" s="1" a="1"/>
  <c r="E59" i="10" s="1"/>
  <c r="E51" i="10" a="1"/>
  <c r="E51" i="10" s="1"/>
  <c r="M44" i="10" a="1"/>
  <c r="M44" i="10" s="1"/>
  <c r="M50" i="10" a="1"/>
  <c r="M50" i="10" s="1"/>
  <c r="E107" i="10"/>
  <c r="F107" i="10"/>
  <c r="D97" i="10" a="1"/>
  <c r="D97" i="10" s="1"/>
  <c r="M100" i="10" s="1" a="1"/>
  <c r="M100" i="10" s="1"/>
  <c r="Q95" i="10" s="1" a="1"/>
  <c r="Q95" i="10" s="1"/>
  <c r="E138" i="12"/>
  <c r="H138" i="12"/>
  <c r="E151" i="12" s="1"/>
  <c r="K138" i="12"/>
  <c r="H151" i="12"/>
  <c r="K151" i="12"/>
  <c r="E110" i="12"/>
  <c r="E66" i="12"/>
  <c r="D60" i="12"/>
  <c r="H66" i="12"/>
  <c r="E79" i="12" s="1"/>
  <c r="G60" i="12"/>
  <c r="K66" i="12"/>
  <c r="J60" i="12"/>
  <c r="H79" i="12"/>
  <c r="G73" i="12"/>
  <c r="K79" i="12"/>
  <c r="F25" i="10"/>
  <c r="E25" i="10"/>
  <c r="F32" i="10"/>
  <c r="E32" i="10"/>
  <c r="F43" i="10"/>
  <c r="E43" i="10"/>
  <c r="M26" i="10" a="1"/>
  <c r="M26" i="10" s="1"/>
  <c r="M36" i="10" a="1"/>
  <c r="M36" i="10" s="1"/>
  <c r="Q31" i="10" s="1" a="1"/>
  <c r="Q31" i="10" s="1"/>
  <c r="Q42" i="10" a="1"/>
  <c r="Q42" i="10" s="1"/>
  <c r="E50" i="10"/>
  <c r="F50" i="10"/>
  <c r="D90" i="10" a="1"/>
  <c r="C202" i="13" l="1"/>
  <c r="C206" i="13"/>
  <c r="C201" i="13"/>
  <c r="C205" i="13"/>
  <c r="C200" i="13"/>
  <c r="C204" i="13"/>
  <c r="C199" i="13"/>
  <c r="C203" i="13"/>
  <c r="C198" i="13"/>
  <c r="C197" i="13"/>
  <c r="C196" i="13"/>
  <c r="C195" i="13"/>
  <c r="C278" i="13"/>
  <c r="C275" i="13"/>
  <c r="C269" i="13"/>
  <c r="C268" i="13"/>
  <c r="C267" i="13"/>
  <c r="C131" i="13"/>
  <c r="C135" i="13"/>
  <c r="C130" i="13"/>
  <c r="C134" i="13"/>
  <c r="C129" i="13"/>
  <c r="C133" i="13"/>
  <c r="C128" i="13"/>
  <c r="C132" i="13"/>
  <c r="C127" i="13"/>
  <c r="C126" i="13"/>
  <c r="C125" i="13"/>
  <c r="C124" i="13"/>
  <c r="C274" i="13"/>
  <c r="C273" i="13"/>
  <c r="C277" i="13"/>
  <c r="C272" i="13"/>
  <c r="D275" i="13"/>
  <c r="F275" i="13" s="1"/>
  <c r="C276" i="13"/>
  <c r="D276" i="13" s="1"/>
  <c r="F276" i="13" s="1"/>
  <c r="C271" i="13"/>
  <c r="D269" i="13"/>
  <c r="F269" i="13" s="1"/>
  <c r="C270" i="13"/>
  <c r="D270" i="13" s="1"/>
  <c r="F270" i="13" s="1"/>
  <c r="D277" i="13"/>
  <c r="F277" i="13" s="1"/>
  <c r="D278" i="13"/>
  <c r="F278" i="13" s="1"/>
  <c r="D274" i="13"/>
  <c r="F274" i="13" s="1"/>
  <c r="D206" i="13"/>
  <c r="F206" i="13" s="1"/>
  <c r="D203" i="13"/>
  <c r="F203" i="13" s="1"/>
  <c r="D135" i="13"/>
  <c r="F135" i="13" s="1"/>
  <c r="D132" i="13"/>
  <c r="F132" i="13" s="1"/>
  <c r="K23" i="13"/>
  <c r="K24" i="13"/>
  <c r="K20" i="13"/>
  <c r="K25" i="13"/>
  <c r="D21" i="13"/>
  <c r="K21" i="13" s="1"/>
  <c r="K26" i="13"/>
  <c r="E22" i="13"/>
  <c r="K22" i="13" s="1"/>
  <c r="M232" i="10"/>
  <c r="M233" i="10"/>
  <c r="E230" i="10"/>
  <c r="D173" i="10"/>
  <c r="M171" i="10"/>
  <c r="D165" i="10"/>
  <c r="E164" i="10" s="1"/>
  <c r="F164" i="10"/>
  <c r="M166" i="10" a="1"/>
  <c r="M166" i="10" s="1"/>
  <c r="E181" i="10" a="1"/>
  <c r="E181" i="10" s="1"/>
  <c r="M172" i="10" s="1" a="1"/>
  <c r="M172" i="10" s="1"/>
  <c r="E173" i="10" a="1"/>
  <c r="E173" i="10" s="1"/>
  <c r="E172" i="10"/>
  <c r="F172" i="10"/>
  <c r="D153" i="10"/>
  <c r="E152" i="10" s="1"/>
  <c r="F152" i="10"/>
  <c r="M158" i="10" a="1"/>
  <c r="M158" i="10" s="1"/>
  <c r="E115" i="10" a="1"/>
  <c r="E115" i="10" s="1"/>
  <c r="C123" i="10" a="1"/>
  <c r="C123" i="10" s="1"/>
  <c r="E123" i="10" s="1" a="1"/>
  <c r="E123" i="10" s="1"/>
  <c r="M114" i="10" s="1" a="1"/>
  <c r="M114" i="10" s="1"/>
  <c r="E153" i="12"/>
  <c r="H153" i="12" s="1"/>
  <c r="E140" i="12"/>
  <c r="H140" i="12" s="1"/>
  <c r="E81" i="12"/>
  <c r="H81" i="12" s="1"/>
  <c r="E68" i="12"/>
  <c r="H68" i="12" s="1"/>
  <c r="Q24" i="10" a="1"/>
  <c r="Q24" i="10" s="1"/>
  <c r="M51" i="10" s="1"/>
  <c r="M52" i="10" s="1"/>
  <c r="E114" i="10"/>
  <c r="F114" i="10"/>
  <c r="F96" i="10"/>
  <c r="D90" i="10"/>
  <c r="M90" i="10" s="1" a="1"/>
  <c r="M90" i="10" s="1"/>
  <c r="Q88" i="10" s="1" a="1"/>
  <c r="Q88" i="10" s="1"/>
  <c r="M115" i="10" s="1"/>
  <c r="F89" i="10"/>
  <c r="D268" i="13" l="1"/>
  <c r="F268" i="13" s="1"/>
  <c r="D196" i="13"/>
  <c r="F196" i="13" s="1"/>
  <c r="D197" i="13"/>
  <c r="F197" i="13" s="1"/>
  <c r="D198" i="13"/>
  <c r="F198" i="13" s="1"/>
  <c r="D199" i="13"/>
  <c r="F199" i="13" s="1"/>
  <c r="D204" i="13"/>
  <c r="F204" i="13" s="1"/>
  <c r="D200" i="13"/>
  <c r="F200" i="13" s="1"/>
  <c r="D205" i="13"/>
  <c r="F205" i="13" s="1"/>
  <c r="D201" i="13"/>
  <c r="F201" i="13" s="1"/>
  <c r="D202" i="13"/>
  <c r="F202" i="13" s="1"/>
  <c r="D271" i="13"/>
  <c r="F271" i="13" s="1"/>
  <c r="D272" i="13"/>
  <c r="F272" i="13" s="1"/>
  <c r="D273" i="13"/>
  <c r="F273" i="13" s="1"/>
  <c r="D125" i="13"/>
  <c r="F125" i="13" s="1"/>
  <c r="D126" i="13"/>
  <c r="F126" i="13" s="1"/>
  <c r="D127" i="13"/>
  <c r="F127" i="13" s="1"/>
  <c r="D128" i="13"/>
  <c r="F128" i="13" s="1"/>
  <c r="D133" i="13"/>
  <c r="F133" i="13" s="1"/>
  <c r="D129" i="13"/>
  <c r="F129" i="13" s="1"/>
  <c r="D134" i="13"/>
  <c r="F134" i="13" s="1"/>
  <c r="D130" i="13"/>
  <c r="F130" i="13" s="1"/>
  <c r="D131" i="13"/>
  <c r="F131" i="13" s="1"/>
  <c r="M242" i="10"/>
  <c r="M243" i="10" s="1"/>
  <c r="M239" i="10"/>
  <c r="M240" i="10" s="1"/>
  <c r="M236" i="10"/>
  <c r="M237" i="10" s="1"/>
  <c r="Q151" i="10" a="1"/>
  <c r="Q151" i="10" s="1"/>
  <c r="Q163" i="10" a="1"/>
  <c r="Q163" i="10" s="1"/>
  <c r="M117" i="10"/>
  <c r="M116" i="10"/>
  <c r="M53" i="10"/>
  <c r="M62" i="10"/>
  <c r="M63" i="10" s="1"/>
  <c r="M59" i="10"/>
  <c r="M60" i="10" s="1"/>
  <c r="M56" i="10"/>
  <c r="M57" i="10" s="1"/>
  <c r="E89" i="10"/>
  <c r="E96" i="10"/>
  <c r="F207" i="13" l="1"/>
  <c r="B211" i="13" s="1"/>
  <c r="F136" i="13"/>
  <c r="B140" i="13" s="1"/>
  <c r="F279" i="13"/>
  <c r="J283" i="13"/>
  <c r="N283" i="13" s="1"/>
  <c r="J211" i="13"/>
  <c r="N211" i="13" s="1"/>
  <c r="C6" i="8"/>
  <c r="M173" i="10"/>
  <c r="M126" i="10"/>
  <c r="M127" i="10" s="1"/>
  <c r="M123" i="10"/>
  <c r="M124" i="10" s="1"/>
  <c r="J140" i="13" l="1"/>
  <c r="N140" i="13" s="1"/>
  <c r="E52" i="8"/>
  <c r="F52" i="8" s="1"/>
  <c r="C52" i="8"/>
  <c r="M175" i="10"/>
  <c r="F74" i="8" l="1"/>
  <c r="D74" i="8"/>
  <c r="D52" i="8"/>
  <c r="E53" i="8" s="1"/>
  <c r="F53" i="8" s="1"/>
  <c r="C53" i="8"/>
  <c r="E7" i="8"/>
  <c r="F7" i="8" s="1"/>
  <c r="C7" i="8"/>
  <c r="M181" i="10"/>
  <c r="M182" i="10" s="1"/>
  <c r="M178" i="10"/>
  <c r="M179" i="10" s="1"/>
  <c r="E75" i="8" l="1"/>
  <c r="F75" i="8" s="1"/>
  <c r="C75" i="8"/>
  <c r="D53" i="8"/>
  <c r="E54" i="8" s="1"/>
  <c r="F54" i="8" s="1"/>
  <c r="C54" i="8"/>
  <c r="D7" i="8"/>
  <c r="D75" i="8" l="1"/>
  <c r="E76" i="8" s="1"/>
  <c r="F76" i="8" s="1"/>
  <c r="C76" i="8"/>
  <c r="D54" i="8"/>
  <c r="E55" i="8" s="1"/>
  <c r="F55" i="8" s="1"/>
  <c r="C55" i="8"/>
  <c r="C8" i="8"/>
  <c r="E8" i="8"/>
  <c r="F8" i="8" s="1"/>
  <c r="D8" i="8"/>
  <c r="C9" i="8" s="1"/>
  <c r="D76" i="8" l="1"/>
  <c r="D55" i="8"/>
  <c r="E56" i="8" s="1"/>
  <c r="F56" i="8" s="1"/>
  <c r="C56" i="8"/>
  <c r="E29" i="8"/>
  <c r="F29" i="8" s="1"/>
  <c r="E9" i="8"/>
  <c r="F9" i="8" s="1"/>
  <c r="D9" i="8"/>
  <c r="C77" i="8" l="1"/>
  <c r="E77" i="8"/>
  <c r="F77" i="8" s="1"/>
  <c r="D56" i="8"/>
  <c r="C10" i="8"/>
  <c r="E10" i="8"/>
  <c r="F10" i="8" s="1"/>
  <c r="D10" i="8"/>
  <c r="C11" i="8" s="1"/>
  <c r="D77" i="8" l="1"/>
  <c r="E57" i="8"/>
  <c r="F57" i="8" s="1"/>
  <c r="C57" i="8"/>
  <c r="E11" i="8"/>
  <c r="F11" i="8" s="1"/>
  <c r="D11" i="8"/>
  <c r="C78" i="8" l="1"/>
  <c r="E78" i="8"/>
  <c r="F78" i="8" s="1"/>
  <c r="D57" i="8"/>
  <c r="C12" i="8"/>
  <c r="E12" i="8"/>
  <c r="F12" i="8" s="1"/>
  <c r="D12" i="8"/>
  <c r="C13" i="8" s="1"/>
  <c r="D78" i="8" l="1"/>
  <c r="E58" i="8"/>
  <c r="F58" i="8" s="1"/>
  <c r="C58" i="8"/>
  <c r="E13" i="8"/>
  <c r="F13" i="8" s="1"/>
  <c r="D13" i="8"/>
  <c r="C79" i="8" l="1"/>
  <c r="E79" i="8"/>
  <c r="F79" i="8" s="1"/>
  <c r="D58" i="8"/>
  <c r="C14" i="8"/>
  <c r="E14" i="8"/>
  <c r="F14" i="8" s="1"/>
  <c r="D14" i="8"/>
  <c r="C15" i="8" s="1"/>
  <c r="D79" i="8" l="1"/>
  <c r="E59" i="8"/>
  <c r="F59" i="8" s="1"/>
  <c r="C59" i="8"/>
  <c r="E15" i="8"/>
  <c r="F15" i="8" s="1"/>
  <c r="D15" i="8"/>
  <c r="C80" i="8" l="1"/>
  <c r="E80" i="8"/>
  <c r="F80" i="8" s="1"/>
  <c r="D59" i="8"/>
  <c r="C16" i="8"/>
  <c r="E16" i="8"/>
  <c r="F16" i="8" s="1"/>
  <c r="D16" i="8"/>
  <c r="D80" i="8" l="1"/>
  <c r="J7" i="8"/>
  <c r="E60" i="8"/>
  <c r="F60" i="8" s="1"/>
  <c r="C60" i="8"/>
  <c r="C81" i="8" l="1"/>
  <c r="E81" i="8"/>
  <c r="F81" i="8" s="1"/>
  <c r="D60" i="8"/>
  <c r="D81" i="8" l="1"/>
  <c r="E61" i="8"/>
  <c r="F61" i="8" s="1"/>
  <c r="C61" i="8"/>
  <c r="C82" i="8" l="1"/>
  <c r="E82" i="8"/>
  <c r="F82" i="8" s="1"/>
  <c r="D61" i="8"/>
  <c r="D82" i="8" l="1"/>
  <c r="E62" i="8"/>
  <c r="F62" i="8" s="1"/>
  <c r="J51" i="8" s="1"/>
  <c r="J52" i="8" s="1"/>
  <c r="C62" i="8"/>
  <c r="C83" i="8" l="1"/>
  <c r="E83" i="8"/>
  <c r="F83" i="8" s="1"/>
  <c r="D62" i="8"/>
  <c r="E63" i="8" s="1"/>
  <c r="J53" i="8"/>
  <c r="D83" i="8" l="1"/>
  <c r="C84" i="8" l="1"/>
  <c r="E84" i="8"/>
  <c r="F84" i="8" s="1"/>
  <c r="J73" i="8" s="1"/>
  <c r="J74" i="8" s="1"/>
  <c r="D84" i="8" l="1"/>
  <c r="J75" i="8" s="1"/>
  <c r="C53" i="13" l="1"/>
  <c r="C60" i="13"/>
  <c r="C54" i="13"/>
  <c r="D54" i="13" s="1"/>
  <c r="F54" i="13" s="1"/>
  <c r="C63" i="13"/>
  <c r="C59" i="13"/>
  <c r="D60" i="13" s="1"/>
  <c r="F60" i="13" s="1"/>
  <c r="C58" i="13"/>
  <c r="D59" i="13" s="1"/>
  <c r="F59" i="13" s="1"/>
  <c r="C62" i="13"/>
  <c r="C61" i="13"/>
  <c r="D62" i="13" s="1"/>
  <c r="F62" i="13" s="1"/>
  <c r="D61" i="13"/>
  <c r="F61" i="13"/>
  <c r="C57" i="13"/>
  <c r="C56" i="13"/>
  <c r="C55" i="13"/>
  <c r="D56" i="13" s="1"/>
  <c r="F56" i="13" s="1"/>
  <c r="D55" i="13"/>
  <c r="F55" i="13"/>
  <c r="D58" i="13" l="1"/>
  <c r="F58" i="13" s="1"/>
  <c r="D57" i="13"/>
  <c r="F57" i="13" s="1"/>
  <c r="D63" i="13"/>
  <c r="F63" i="13" s="1"/>
  <c r="C64" i="13"/>
  <c r="D64" i="13"/>
  <c r="F64" i="13"/>
  <c r="B35" i="13"/>
  <c r="F65" i="13" l="1"/>
  <c r="B69" i="13" s="1"/>
  <c r="B106" i="13"/>
  <c r="B178" i="13"/>
  <c r="B249" i="13"/>
  <c r="C29" i="8"/>
  <c r="J69" i="13" l="1"/>
  <c r="N69" i="13" s="1"/>
  <c r="D29" i="8"/>
  <c r="E30" i="8" l="1"/>
  <c r="F30" i="8" s="1"/>
  <c r="C30" i="8"/>
  <c r="D30" i="8" l="1"/>
  <c r="C31" i="8" s="1"/>
  <c r="E31" i="8"/>
  <c r="F31" i="8" s="1"/>
  <c r="D31" i="8" l="1"/>
  <c r="E32" i="8"/>
  <c r="F32" i="8" s="1"/>
  <c r="C32" i="8"/>
  <c r="D32" i="8" l="1"/>
  <c r="E33" i="8"/>
  <c r="F33" i="8" s="1"/>
  <c r="C33" i="8"/>
  <c r="D33" i="8" s="1"/>
  <c r="E34" i="8" l="1"/>
  <c r="F34" i="8" s="1"/>
  <c r="C34" i="8"/>
  <c r="D34" i="8" l="1"/>
  <c r="E35" i="8"/>
  <c r="F35" i="8" s="1"/>
  <c r="C35" i="8"/>
  <c r="D35" i="8" l="1"/>
  <c r="E36" i="8"/>
  <c r="F36" i="8" s="1"/>
  <c r="C36" i="8"/>
  <c r="D36" i="8" l="1"/>
  <c r="E37" i="8"/>
  <c r="F37" i="8" s="1"/>
  <c r="C37" i="8"/>
  <c r="D37" i="8" l="1"/>
  <c r="C38" i="8"/>
  <c r="E38" i="8"/>
  <c r="F38" i="8" s="1"/>
  <c r="D38" i="8" l="1"/>
  <c r="E39" i="8"/>
  <c r="F39" i="8" s="1"/>
  <c r="J28" i="8" s="1"/>
  <c r="J29" i="8" s="1"/>
  <c r="C39" i="8"/>
  <c r="D39" i="8" l="1"/>
  <c r="J30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<sst xmlns="http://schemas.openxmlformats.org/spreadsheetml/2006/main" count="2954" uniqueCount="270">
  <si>
    <t>POZNAŃ</t>
  </si>
  <si>
    <t>Rok</t>
  </si>
  <si>
    <t>Cena za m² (zł)</t>
  </si>
  <si>
    <t>Liczba mieszkań (szt.)</t>
  </si>
  <si>
    <t>Przeciętne wynagrodzenie brutto (zł)</t>
  </si>
  <si>
    <t>L. ludności na 1km²</t>
  </si>
  <si>
    <t>Wskaźnik cen
przy podstawie
rok poprzedni = 100</t>
  </si>
  <si>
    <t>Zagregowana cena materiałów budowlanych (zł)</t>
  </si>
  <si>
    <t xml:space="preserve"> </t>
  </si>
  <si>
    <t>WARSZAWA</t>
  </si>
  <si>
    <t>GDAŃSK</t>
  </si>
  <si>
    <t>ŁÓDŹ</t>
  </si>
  <si>
    <t>DANE</t>
  </si>
  <si>
    <t>Wynagrodzenie brutto (zł)</t>
  </si>
  <si>
    <t>Y</t>
  </si>
  <si>
    <r>
      <t>X</t>
    </r>
    <r>
      <rPr>
        <b/>
        <i/>
        <vertAlign val="subscript"/>
        <sz val="12"/>
        <color theme="1"/>
        <rFont val="Calibri"/>
        <family val="2"/>
        <charset val="1"/>
      </rPr>
      <t>1</t>
    </r>
  </si>
  <si>
    <r>
      <t>X</t>
    </r>
    <r>
      <rPr>
        <b/>
        <i/>
        <vertAlign val="subscript"/>
        <sz val="12"/>
        <color rgb="FF000000"/>
        <rFont val="Calibri"/>
        <family val="2"/>
        <charset val="1"/>
      </rPr>
      <t>2</t>
    </r>
  </si>
  <si>
    <r>
      <t>X</t>
    </r>
    <r>
      <rPr>
        <b/>
        <i/>
        <vertAlign val="subscript"/>
        <sz val="12"/>
        <color rgb="FF000000"/>
        <rFont val="Calibri"/>
        <family val="2"/>
        <charset val="1"/>
      </rPr>
      <t>3</t>
    </r>
  </si>
  <si>
    <r>
      <t>X</t>
    </r>
    <r>
      <rPr>
        <b/>
        <i/>
        <vertAlign val="subscript"/>
        <sz val="12"/>
        <color rgb="FF000000"/>
        <rFont val="Calibri"/>
        <family val="2"/>
        <charset val="1"/>
      </rPr>
      <t>4</t>
    </r>
  </si>
  <si>
    <r>
      <t>X</t>
    </r>
    <r>
      <rPr>
        <b/>
        <i/>
        <vertAlign val="subscript"/>
        <sz val="12"/>
        <color rgb="FF000000"/>
        <rFont val="Calibri"/>
        <family val="2"/>
        <charset val="1"/>
      </rPr>
      <t>5</t>
    </r>
  </si>
  <si>
    <t>Wartość rzeczywista</t>
  </si>
  <si>
    <t>MODEL POTĘGOWY</t>
  </si>
  <si>
    <r>
      <rPr>
        <b/>
        <i/>
        <sz val="12"/>
        <color rgb="FF000000"/>
        <rFont val="Calibri"/>
        <family val="2"/>
        <charset val="238"/>
        <scheme val="minor"/>
      </rPr>
      <t xml:space="preserve">W </t>
    </r>
    <r>
      <rPr>
        <b/>
        <sz val="12"/>
        <color rgb="FF000000"/>
        <rFont val="Calibri"/>
        <family val="2"/>
        <charset val="238"/>
        <scheme val="minor"/>
      </rPr>
      <t>= ln(</t>
    </r>
    <r>
      <rPr>
        <b/>
        <i/>
        <sz val="12"/>
        <color rgb="FF000000"/>
        <rFont val="Calibri"/>
        <family val="2"/>
        <charset val="238"/>
        <scheme val="minor"/>
      </rPr>
      <t>Y</t>
    </r>
    <r>
      <rPr>
        <b/>
        <sz val="12"/>
        <color rgb="FF000000"/>
        <rFont val="Calibri"/>
        <family val="2"/>
        <charset val="238"/>
        <scheme val="minor"/>
      </rPr>
      <t>)</t>
    </r>
  </si>
  <si>
    <r>
      <rPr>
        <b/>
        <i/>
        <sz val="12"/>
        <color rgb="FF000000"/>
        <rFont val="Calibri"/>
        <family val="2"/>
        <charset val="238"/>
      </rPr>
      <t>Z</t>
    </r>
    <r>
      <rPr>
        <b/>
        <i/>
        <vertAlign val="subscript"/>
        <sz val="12"/>
        <color rgb="FF000000"/>
        <rFont val="Calibri"/>
        <family val="2"/>
        <charset val="238"/>
      </rPr>
      <t xml:space="preserve">1 </t>
    </r>
    <r>
      <rPr>
        <b/>
        <sz val="12"/>
        <color rgb="FF000000"/>
        <rFont val="Calibri"/>
        <family val="2"/>
        <charset val="238"/>
      </rPr>
      <t>= ln(</t>
    </r>
    <r>
      <rPr>
        <b/>
        <i/>
        <sz val="12"/>
        <color rgb="FF000000"/>
        <rFont val="Calibri"/>
        <family val="2"/>
        <charset val="238"/>
      </rPr>
      <t>X</t>
    </r>
    <r>
      <rPr>
        <b/>
        <i/>
        <vertAlign val="subscript"/>
        <sz val="12"/>
        <color rgb="FF000000"/>
        <rFont val="Calibri"/>
        <family val="2"/>
        <charset val="238"/>
      </rPr>
      <t>1</t>
    </r>
    <r>
      <rPr>
        <b/>
        <sz val="12"/>
        <color rgb="FF000000"/>
        <rFont val="Calibri"/>
        <family val="2"/>
        <charset val="238"/>
      </rPr>
      <t>)</t>
    </r>
  </si>
  <si>
    <r>
      <rPr>
        <b/>
        <i/>
        <sz val="12"/>
        <color rgb="FF000000"/>
        <rFont val="Calibri"/>
        <family val="2"/>
        <charset val="238"/>
      </rPr>
      <t>Z</t>
    </r>
    <r>
      <rPr>
        <b/>
        <i/>
        <vertAlign val="subscript"/>
        <sz val="12"/>
        <color rgb="FF000000"/>
        <rFont val="Calibri"/>
        <family val="2"/>
        <charset val="238"/>
      </rPr>
      <t xml:space="preserve">2 </t>
    </r>
    <r>
      <rPr>
        <b/>
        <sz val="12"/>
        <color rgb="FF000000"/>
        <rFont val="Calibri"/>
        <family val="2"/>
        <charset val="238"/>
      </rPr>
      <t>= ln(</t>
    </r>
    <r>
      <rPr>
        <b/>
        <i/>
        <sz val="12"/>
        <color rgb="FF000000"/>
        <rFont val="Calibri"/>
        <family val="2"/>
        <charset val="238"/>
      </rPr>
      <t>X</t>
    </r>
    <r>
      <rPr>
        <b/>
        <i/>
        <vertAlign val="subscript"/>
        <sz val="12"/>
        <color rgb="FF000000"/>
        <rFont val="Calibri"/>
        <family val="2"/>
        <charset val="238"/>
      </rPr>
      <t>2</t>
    </r>
    <r>
      <rPr>
        <b/>
        <sz val="12"/>
        <color rgb="FF000000"/>
        <rFont val="Calibri"/>
        <family val="2"/>
        <charset val="238"/>
      </rPr>
      <t>)</t>
    </r>
  </si>
  <si>
    <r>
      <rPr>
        <b/>
        <i/>
        <sz val="12"/>
        <color rgb="FF000000"/>
        <rFont val="Calibri"/>
        <family val="2"/>
        <charset val="238"/>
      </rPr>
      <t>Z</t>
    </r>
    <r>
      <rPr>
        <b/>
        <i/>
        <vertAlign val="subscript"/>
        <sz val="12"/>
        <color rgb="FF000000"/>
        <rFont val="Calibri"/>
        <family val="2"/>
        <charset val="238"/>
      </rPr>
      <t>3</t>
    </r>
    <r>
      <rPr>
        <b/>
        <sz val="12"/>
        <color rgb="FF000000"/>
        <rFont val="Calibri"/>
        <family val="2"/>
        <charset val="238"/>
      </rPr>
      <t xml:space="preserve"> = ln(</t>
    </r>
    <r>
      <rPr>
        <b/>
        <i/>
        <sz val="12"/>
        <color rgb="FF000000"/>
        <rFont val="Calibri"/>
        <family val="2"/>
        <charset val="238"/>
      </rPr>
      <t>X</t>
    </r>
    <r>
      <rPr>
        <b/>
        <i/>
        <vertAlign val="subscript"/>
        <sz val="12"/>
        <color rgb="FF000000"/>
        <rFont val="Calibri"/>
        <family val="2"/>
        <charset val="238"/>
      </rPr>
      <t>3</t>
    </r>
    <r>
      <rPr>
        <b/>
        <sz val="12"/>
        <color rgb="FF000000"/>
        <rFont val="Calibri"/>
        <family val="2"/>
        <charset val="238"/>
      </rPr>
      <t>)</t>
    </r>
  </si>
  <si>
    <r>
      <rPr>
        <b/>
        <i/>
        <sz val="12"/>
        <color rgb="FF000000"/>
        <rFont val="Calibri"/>
        <family val="2"/>
        <charset val="238"/>
      </rPr>
      <t>Z</t>
    </r>
    <r>
      <rPr>
        <b/>
        <i/>
        <vertAlign val="subscript"/>
        <sz val="12"/>
        <color rgb="FF000000"/>
        <rFont val="Calibri"/>
        <family val="2"/>
        <charset val="238"/>
      </rPr>
      <t>4</t>
    </r>
    <r>
      <rPr>
        <b/>
        <sz val="12"/>
        <color rgb="FF000000"/>
        <rFont val="Calibri"/>
        <family val="2"/>
        <charset val="238"/>
      </rPr>
      <t xml:space="preserve"> = ln(</t>
    </r>
    <r>
      <rPr>
        <b/>
        <i/>
        <sz val="12"/>
        <color rgb="FF000000"/>
        <rFont val="Calibri"/>
        <family val="2"/>
        <charset val="238"/>
      </rPr>
      <t>X</t>
    </r>
    <r>
      <rPr>
        <b/>
        <i/>
        <vertAlign val="subscript"/>
        <sz val="12"/>
        <color rgb="FF000000"/>
        <rFont val="Calibri"/>
        <family val="2"/>
        <charset val="238"/>
      </rPr>
      <t>4</t>
    </r>
    <r>
      <rPr>
        <b/>
        <sz val="12"/>
        <color rgb="FF000000"/>
        <rFont val="Calibri"/>
        <family val="2"/>
        <charset val="238"/>
      </rPr>
      <t>)</t>
    </r>
  </si>
  <si>
    <r>
      <rPr>
        <b/>
        <i/>
        <sz val="12"/>
        <color rgb="FF000000"/>
        <rFont val="Calibri"/>
        <family val="2"/>
        <charset val="238"/>
      </rPr>
      <t>Z</t>
    </r>
    <r>
      <rPr>
        <b/>
        <i/>
        <vertAlign val="subscript"/>
        <sz val="12"/>
        <color rgb="FF000000"/>
        <rFont val="Calibri"/>
        <family val="2"/>
        <charset val="238"/>
      </rPr>
      <t xml:space="preserve">5 </t>
    </r>
    <r>
      <rPr>
        <b/>
        <sz val="12"/>
        <color rgb="FF000000"/>
        <rFont val="Calibri"/>
        <family val="2"/>
        <charset val="238"/>
      </rPr>
      <t>= ln(</t>
    </r>
    <r>
      <rPr>
        <b/>
        <i/>
        <sz val="12"/>
        <color rgb="FF000000"/>
        <rFont val="Calibri"/>
        <family val="2"/>
        <charset val="238"/>
      </rPr>
      <t>X</t>
    </r>
    <r>
      <rPr>
        <b/>
        <i/>
        <vertAlign val="subscript"/>
        <sz val="12"/>
        <color rgb="FF000000"/>
        <rFont val="Calibri"/>
        <family val="2"/>
        <charset val="238"/>
      </rPr>
      <t>5</t>
    </r>
    <r>
      <rPr>
        <b/>
        <sz val="12"/>
        <color rgb="FF000000"/>
        <rFont val="Calibri"/>
        <family val="2"/>
        <charset val="238"/>
      </rPr>
      <t>)</t>
    </r>
  </si>
  <si>
    <t>PODSUMOWANIE - WYJŚCIE</t>
  </si>
  <si>
    <t> </t>
  </si>
  <si>
    <t>Statystyki regresji</t>
  </si>
  <si>
    <t>Wielokrotność R</t>
  </si>
  <si>
    <t>R kwadrat</t>
  </si>
  <si>
    <t>Dopasowany R kwadrat</t>
  </si>
  <si>
    <t>Błąd standardowy</t>
  </si>
  <si>
    <t>Obserwacje</t>
  </si>
  <si>
    <t>ANALIZA WARIANCJI</t>
  </si>
  <si>
    <t>df</t>
  </si>
  <si>
    <t>SS</t>
  </si>
  <si>
    <t>MS</t>
  </si>
  <si>
    <t>F</t>
  </si>
  <si>
    <t>Istotność F</t>
  </si>
  <si>
    <t>Regresja</t>
  </si>
  <si>
    <t>Resztkowy</t>
  </si>
  <si>
    <t>Razem</t>
  </si>
  <si>
    <t>Współczynniki</t>
  </si>
  <si>
    <t>t Stat</t>
  </si>
  <si>
    <t>Wartość-p</t>
  </si>
  <si>
    <t>Dolne 95%</t>
  </si>
  <si>
    <t>Górne 95%</t>
  </si>
  <si>
    <t>Dolne 95,0%</t>
  </si>
  <si>
    <t>Górne 95,0%</t>
  </si>
  <si>
    <t>Przecięcie</t>
  </si>
  <si>
    <t>Wskaźnik cen</t>
  </si>
  <si>
    <t>Usuwamy zmienną "Liczba mieszkań" z modelu</t>
  </si>
  <si>
    <t>Usuwamy zmienną "Wynagrodzenie brutto" z modelu</t>
  </si>
  <si>
    <t>Usuwamy zmienną "Zagregowana cena materiałów budowlanych" z modelu</t>
  </si>
  <si>
    <t>Usuwamy zmienną "Wskaźnik cen" z modelu</t>
  </si>
  <si>
    <t xml:space="preserve">Wskaźnik cen
</t>
  </si>
  <si>
    <t>Usuwamy zmienną "Liczba ludności na 1km²" z modelu</t>
  </si>
  <si>
    <t>Vy:</t>
  </si>
  <si>
    <t>Wskaźnik  cen</t>
  </si>
  <si>
    <t>A =</t>
  </si>
  <si>
    <t>Model po oszacowaniu:</t>
  </si>
  <si>
    <r>
      <rPr>
        <b/>
        <sz val="18"/>
        <color rgb="FF000000"/>
        <rFont val="Calibri"/>
        <family val="2"/>
        <charset val="238"/>
      </rPr>
      <t>Ŷ</t>
    </r>
    <r>
      <rPr>
        <b/>
        <sz val="18"/>
        <color rgb="FF000000"/>
        <rFont val="Arial CE"/>
      </rPr>
      <t xml:space="preserve"> = 6,26 * X</t>
    </r>
    <r>
      <rPr>
        <b/>
        <vertAlign val="subscript"/>
        <sz val="18"/>
        <color rgb="FF000000"/>
        <rFont val="Arial CE"/>
      </rPr>
      <t>1</t>
    </r>
    <r>
      <rPr>
        <b/>
        <vertAlign val="superscript"/>
        <sz val="18"/>
        <color rgb="FF000000"/>
        <rFont val="Arial CE"/>
      </rPr>
      <t>0,8</t>
    </r>
  </si>
  <si>
    <r>
      <rPr>
        <b/>
        <sz val="18"/>
        <color rgb="FF000000"/>
        <rFont val="Calibri"/>
        <family val="2"/>
        <charset val="238"/>
      </rPr>
      <t>Ŷ</t>
    </r>
    <r>
      <rPr>
        <b/>
        <sz val="18"/>
        <color rgb="FF000000"/>
        <rFont val="Arial CE"/>
      </rPr>
      <t xml:space="preserve"> = </t>
    </r>
    <r>
      <rPr>
        <b/>
        <sz val="18"/>
        <color rgb="FF000000"/>
        <rFont val="Calibri"/>
        <family val="2"/>
        <charset val="238"/>
      </rPr>
      <t xml:space="preserve">3,84E-12 </t>
    </r>
    <r>
      <rPr>
        <b/>
        <sz val="18"/>
        <color rgb="FF000000"/>
        <rFont val="Arial CE"/>
      </rPr>
      <t>* X</t>
    </r>
    <r>
      <rPr>
        <b/>
        <vertAlign val="subscript"/>
        <sz val="18"/>
        <color rgb="FF000000"/>
        <rFont val="Arial CE"/>
      </rPr>
      <t>1</t>
    </r>
    <r>
      <rPr>
        <b/>
        <vertAlign val="superscript"/>
        <sz val="18"/>
        <color rgb="FF000000"/>
        <rFont val="Arial CE"/>
      </rPr>
      <t xml:space="preserve">2,63 </t>
    </r>
    <r>
      <rPr>
        <b/>
        <sz val="18"/>
        <color rgb="FF000000"/>
        <rFont val="Arial CE"/>
      </rPr>
      <t>* X</t>
    </r>
    <r>
      <rPr>
        <b/>
        <vertAlign val="subscript"/>
        <sz val="18"/>
        <color rgb="FF000000"/>
        <rFont val="Arial CE"/>
      </rPr>
      <t>2</t>
    </r>
    <r>
      <rPr>
        <b/>
        <vertAlign val="superscript"/>
        <sz val="18"/>
        <color rgb="FF000000"/>
        <rFont val="Arial CE"/>
      </rPr>
      <t>2,99</t>
    </r>
  </si>
  <si>
    <r>
      <rPr>
        <b/>
        <sz val="18"/>
        <color rgb="FF000000"/>
        <rFont val="Calibri"/>
        <family val="2"/>
        <charset val="238"/>
      </rPr>
      <t>Ŷ</t>
    </r>
    <r>
      <rPr>
        <b/>
        <sz val="18"/>
        <color rgb="FF000000"/>
        <rFont val="Arial CE"/>
      </rPr>
      <t xml:space="preserve"> = </t>
    </r>
    <r>
      <rPr>
        <b/>
        <sz val="18"/>
        <color rgb="FF000000"/>
        <rFont val="Calibri"/>
        <family val="2"/>
        <charset val="238"/>
      </rPr>
      <t>1,77362E-05</t>
    </r>
    <r>
      <rPr>
        <b/>
        <sz val="18"/>
        <color rgb="FF000000"/>
        <rFont val="Arial CE"/>
      </rPr>
      <t xml:space="preserve"> * X</t>
    </r>
    <r>
      <rPr>
        <b/>
        <vertAlign val="subscript"/>
        <sz val="18"/>
        <color rgb="FF000000"/>
        <rFont val="Arial CE"/>
      </rPr>
      <t>1</t>
    </r>
    <r>
      <rPr>
        <b/>
        <vertAlign val="superscript"/>
        <sz val="18"/>
        <color rgb="FF000000"/>
        <rFont val="Arial CE"/>
      </rPr>
      <t xml:space="preserve">0,07 </t>
    </r>
    <r>
      <rPr>
        <b/>
        <sz val="18"/>
        <color rgb="FF000000"/>
        <rFont val="Arial CE"/>
      </rPr>
      <t>* X</t>
    </r>
    <r>
      <rPr>
        <b/>
        <vertAlign val="subscript"/>
        <sz val="18"/>
        <color rgb="FF000000"/>
        <rFont val="Arial CE"/>
      </rPr>
      <t>2</t>
    </r>
    <r>
      <rPr>
        <b/>
        <vertAlign val="superscript"/>
        <sz val="18"/>
        <color rgb="FF000000"/>
        <rFont val="Arial CE"/>
      </rPr>
      <t xml:space="preserve">1,13 </t>
    </r>
    <r>
      <rPr>
        <b/>
        <sz val="18"/>
        <color rgb="FF000000"/>
        <rFont val="Arial CE"/>
      </rPr>
      <t>* X</t>
    </r>
    <r>
      <rPr>
        <b/>
        <vertAlign val="subscript"/>
        <sz val="18"/>
        <color rgb="FF000000"/>
        <rFont val="Arial CE"/>
      </rPr>
      <t>3</t>
    </r>
    <r>
      <rPr>
        <b/>
        <vertAlign val="superscript"/>
        <sz val="18"/>
        <color rgb="FF000000"/>
        <rFont val="Arial CE"/>
      </rPr>
      <t>2</t>
    </r>
  </si>
  <si>
    <r>
      <rPr>
        <b/>
        <sz val="18"/>
        <color rgb="FF000000"/>
        <rFont val="Calibri"/>
        <family val="2"/>
        <charset val="238"/>
      </rPr>
      <t>Ŷ</t>
    </r>
    <r>
      <rPr>
        <b/>
        <sz val="18"/>
        <color rgb="FF000000"/>
        <rFont val="Arial CE"/>
      </rPr>
      <t xml:space="preserve"> = </t>
    </r>
    <r>
      <rPr>
        <b/>
        <sz val="18"/>
        <color rgb="FF000000"/>
        <rFont val="Calibri"/>
        <family val="2"/>
        <charset val="238"/>
      </rPr>
      <t xml:space="preserve">6,08249E-93 </t>
    </r>
    <r>
      <rPr>
        <b/>
        <sz val="18"/>
        <color rgb="FF000000"/>
        <rFont val="Arial CE"/>
      </rPr>
      <t>* X</t>
    </r>
    <r>
      <rPr>
        <b/>
        <vertAlign val="subscript"/>
        <sz val="18"/>
        <color rgb="FF000000"/>
        <rFont val="Arial CE"/>
      </rPr>
      <t>1</t>
    </r>
    <r>
      <rPr>
        <b/>
        <vertAlign val="superscript"/>
        <sz val="18"/>
        <color rgb="FF000000"/>
        <rFont val="Arial CE"/>
      </rPr>
      <t xml:space="preserve">4,23 </t>
    </r>
    <r>
      <rPr>
        <b/>
        <sz val="18"/>
        <color rgb="FF000000"/>
        <rFont val="Arial CE"/>
      </rPr>
      <t>* X</t>
    </r>
    <r>
      <rPr>
        <b/>
        <vertAlign val="subscript"/>
        <sz val="18"/>
        <color rgb="FF000000"/>
        <rFont val="Arial CE"/>
      </rPr>
      <t>2</t>
    </r>
    <r>
      <rPr>
        <b/>
        <vertAlign val="superscript"/>
        <sz val="18"/>
        <color rgb="FF000000"/>
        <rFont val="Arial CE"/>
      </rPr>
      <t>23,82</t>
    </r>
  </si>
  <si>
    <t>Interpretacja: b1 = 0,8: Wraz ze wzrostem wynagrodzenia o 1%, cena za m² rośnie średnio o 0,8%, ceteris paribus</t>
  </si>
  <si>
    <t>Interpretacja: b1 = 2,63: Wraz ze wzrostem liczby ludności na 1km² o 1%, cena za m² rośnie średnio o 2,63%, ceteris paribus</t>
  </si>
  <si>
    <t>Interpretacja: b1 = 0,07: Wraz ze wzrostem liczby mieszkań o 1%, cena za m² rośnie średnio o 0,07%, ceteris paribus</t>
  </si>
  <si>
    <t>Interpretacja: b1 = 4,23: Wraz ze wzrostem wynagrodzenia o 1%, cena za m² rośnie średnio o 4,23%, ceteris paribus</t>
  </si>
  <si>
    <t>Interpretacja: b2 = 1,13: Wraz ze wzrostem wynagrodzenia o 1%, cena za m² rośnie średnio o 1,13%, ceteris paribus</t>
  </si>
  <si>
    <t>Interpretacja: b2 = 23,82: Wraz ze wzrostem liczby ludności na 1km² o 1%, cena za m² rośnie średnio o 23,82%, ceteris paribus</t>
  </si>
  <si>
    <t>Interpretacja: b2 = 2,99: Wraz ze wzrostem wskaźnika cen o 1%, cena za m² rośnie średnio prawie o 3%, ceteris paribus</t>
  </si>
  <si>
    <t>Interpretacja: b3 = 2,00: Wraz ze wzrostem wskaźnika cen o 1%, cena za m² rośnie średnio o 2,00%, ceteris paribus</t>
  </si>
  <si>
    <t xml:space="preserve">x1* = </t>
  </si>
  <si>
    <t>(prognoza wyznaczona w oparciu o metodę naiwną - poniżej).</t>
  </si>
  <si>
    <t xml:space="preserve">x2* = </t>
  </si>
  <si>
    <t>(prognoza wyznaczona w oparciu o trend - poniżej).</t>
  </si>
  <si>
    <t xml:space="preserve">x3* = </t>
  </si>
  <si>
    <t>PROGNOZA 2022</t>
  </si>
  <si>
    <t>t</t>
  </si>
  <si>
    <t>const</t>
  </si>
  <si>
    <t>t*2022</t>
  </si>
  <si>
    <t>y*2022</t>
  </si>
  <si>
    <t>Oszacowanie błędu ex ante:</t>
  </si>
  <si>
    <t>zt*</t>
  </si>
  <si>
    <t>(ZtZ)-1</t>
  </si>
  <si>
    <t xml:space="preserve">mpt = </t>
  </si>
  <si>
    <t>Const*2022</t>
  </si>
  <si>
    <t xml:space="preserve">Kt = </t>
  </si>
  <si>
    <t>Interpretacja: w 2022 roku spodziewamy się że cena metra kwadratowego mieszkania w Poznaniu wyniesie 7782,27zł z możliwymi odchyleniami w górę lub w dół o 261,35zł.</t>
  </si>
  <si>
    <t>Interpretacja: w 2022 roku spodziewamy się że cena metra kwadratowego mieszkania w Warszawie wyniesie 11298,33zł z możliwymi odchyleniami w górę lub w dół o 491,66zł.</t>
  </si>
  <si>
    <t>Interpretacja: w 2022 roku spodziewamy się że cena metra kwadratowego mieszkania w Gdańsku wyniesie 10429,81zł z możliwymi odchyleniami w górę lub w dół o 239,62zł.</t>
  </si>
  <si>
    <t>Interpretacja: w 2022 roku spodziewamy się że cena metra kwadratowego mieszkania w Łodzi wyniesie 5499,30zł z możliwymi odchyleniami w górę lub w dół o 256,88zł.</t>
  </si>
  <si>
    <t xml:space="preserve">mt = mpt/Kt = </t>
  </si>
  <si>
    <t>mt=</t>
  </si>
  <si>
    <t>Dopuszczalność:</t>
  </si>
  <si>
    <t>&lt;10%, prognozę uznajemy za dopuszczalną</t>
  </si>
  <si>
    <t>WYZNACZENIE PROGNOZ ZMIENNYCH OBJAŚNIAJĄCYCH</t>
  </si>
  <si>
    <r>
      <t xml:space="preserve">PROGNOZA </t>
    </r>
    <r>
      <rPr>
        <b/>
        <i/>
        <sz val="18"/>
        <color theme="1"/>
        <rFont val="Calibri"/>
        <family val="2"/>
        <charset val="238"/>
        <scheme val="minor"/>
      </rPr>
      <t>X1</t>
    </r>
  </si>
  <si>
    <t>Dane</t>
  </si>
  <si>
    <t>Wariant II</t>
  </si>
  <si>
    <t>t^2</t>
  </si>
  <si>
    <t>Y*(I)</t>
  </si>
  <si>
    <t>Y*(II)</t>
  </si>
  <si>
    <t>Y-Y*</t>
  </si>
  <si>
    <r>
      <t>(Y-Y*)</t>
    </r>
    <r>
      <rPr>
        <b/>
        <vertAlign val="superscript"/>
        <sz val="12"/>
        <rFont val="Calibri"/>
        <family val="2"/>
        <charset val="238"/>
        <scheme val="minor"/>
      </rPr>
      <t>2</t>
    </r>
  </si>
  <si>
    <t>MSE</t>
  </si>
  <si>
    <t>Zmienna t okazała się nieistotna w modelu.</t>
  </si>
  <si>
    <t xml:space="preserve">Dopuszczalność prognozy: </t>
  </si>
  <si>
    <t>RMSE</t>
  </si>
  <si>
    <r>
      <t>Parabola o postaci Ŷ = b</t>
    </r>
    <r>
      <rPr>
        <b/>
        <vertAlign val="subscript"/>
        <sz val="14"/>
        <color rgb="FF000000"/>
        <rFont val="Calibri"/>
        <family val="2"/>
        <charset val="238"/>
      </rPr>
      <t xml:space="preserve">0 </t>
    </r>
    <r>
      <rPr>
        <b/>
        <sz val="14"/>
        <color rgb="FF000000"/>
        <rFont val="Calibri"/>
        <family val="2"/>
        <charset val="238"/>
      </rPr>
      <t>+ b</t>
    </r>
    <r>
      <rPr>
        <b/>
        <vertAlign val="subscript"/>
        <sz val="14"/>
        <color rgb="FF000000"/>
        <rFont val="Calibri"/>
        <family val="2"/>
        <charset val="238"/>
      </rPr>
      <t>2</t>
    </r>
    <r>
      <rPr>
        <b/>
        <sz val="14"/>
        <color rgb="FF000000"/>
        <rFont val="Calibri"/>
        <family val="2"/>
        <charset val="238"/>
      </rPr>
      <t>t</t>
    </r>
    <r>
      <rPr>
        <b/>
        <vertAlign val="superscript"/>
        <sz val="14"/>
        <color rgb="FF000000"/>
        <rFont val="Calibri"/>
        <family val="2"/>
        <charset val="238"/>
      </rPr>
      <t>2</t>
    </r>
  </si>
  <si>
    <r>
      <t xml:space="preserve">PROGNOZA </t>
    </r>
    <r>
      <rPr>
        <b/>
        <i/>
        <sz val="18"/>
        <color theme="1"/>
        <rFont val="Calibri"/>
        <family val="2"/>
        <charset val="238"/>
        <scheme val="minor"/>
      </rPr>
      <t>X2</t>
    </r>
  </si>
  <si>
    <r>
      <rPr>
        <b/>
        <sz val="14"/>
        <color rgb="FF000000"/>
        <rFont val="Calibri"/>
        <family val="2"/>
        <charset val="238"/>
        <scheme val="minor"/>
      </rPr>
      <t>Parabola o postaci Ŷ = b</t>
    </r>
    <r>
      <rPr>
        <b/>
        <vertAlign val="subscript"/>
        <sz val="14"/>
        <color rgb="FF000000"/>
        <rFont val="Calibri"/>
        <family val="2"/>
        <charset val="238"/>
        <scheme val="minor"/>
      </rPr>
      <t xml:space="preserve">0 </t>
    </r>
    <r>
      <rPr>
        <b/>
        <sz val="14"/>
        <color rgb="FF000000"/>
        <rFont val="Calibri"/>
        <family val="2"/>
        <charset val="238"/>
        <scheme val="minor"/>
      </rPr>
      <t>+ b1t+ b</t>
    </r>
    <r>
      <rPr>
        <b/>
        <vertAlign val="subscript"/>
        <sz val="14"/>
        <color rgb="FF000000"/>
        <rFont val="Calibri"/>
        <family val="2"/>
        <charset val="238"/>
        <scheme val="minor"/>
      </rPr>
      <t>2</t>
    </r>
    <r>
      <rPr>
        <b/>
        <sz val="14"/>
        <color rgb="FF000000"/>
        <rFont val="Calibri"/>
        <family val="2"/>
        <charset val="238"/>
        <scheme val="minor"/>
      </rPr>
      <t>t</t>
    </r>
    <r>
      <rPr>
        <b/>
        <vertAlign val="superscript"/>
        <sz val="14"/>
        <color rgb="FF000000"/>
        <rFont val="Calibri"/>
        <family val="2"/>
        <charset val="238"/>
        <scheme val="minor"/>
      </rPr>
      <t>2</t>
    </r>
  </si>
  <si>
    <r>
      <rPr>
        <b/>
        <sz val="14"/>
        <color rgb="FF000000"/>
        <rFont val="Calibri"/>
        <family val="2"/>
        <charset val="238"/>
        <scheme val="minor"/>
      </rPr>
      <t>Parabola o postaci Ŷ = b</t>
    </r>
    <r>
      <rPr>
        <b/>
        <vertAlign val="subscript"/>
        <sz val="14"/>
        <color rgb="FF000000"/>
        <rFont val="Calibri"/>
        <family val="2"/>
        <charset val="238"/>
        <scheme val="minor"/>
      </rPr>
      <t xml:space="preserve">0 </t>
    </r>
    <r>
      <rPr>
        <b/>
        <sz val="14"/>
        <color rgb="FF000000"/>
        <rFont val="Calibri"/>
        <family val="2"/>
        <charset val="238"/>
        <scheme val="minor"/>
      </rPr>
      <t>+ b</t>
    </r>
    <r>
      <rPr>
        <b/>
        <vertAlign val="subscript"/>
        <sz val="14"/>
        <color rgb="FF000000"/>
        <rFont val="Calibri"/>
        <family val="2"/>
        <charset val="238"/>
        <scheme val="minor"/>
      </rPr>
      <t>2</t>
    </r>
    <r>
      <rPr>
        <b/>
        <sz val="14"/>
        <color rgb="FF000000"/>
        <rFont val="Calibri"/>
        <family val="2"/>
        <charset val="238"/>
        <scheme val="minor"/>
      </rPr>
      <t>t</t>
    </r>
    <r>
      <rPr>
        <b/>
        <vertAlign val="superscript"/>
        <sz val="14"/>
        <color rgb="FF000000"/>
        <rFont val="Calibri"/>
        <family val="2"/>
        <charset val="238"/>
        <scheme val="minor"/>
      </rPr>
      <t>2</t>
    </r>
  </si>
  <si>
    <t>t*2022= 13</t>
  </si>
  <si>
    <r>
      <rPr>
        <sz val="10"/>
        <color rgb="FF000000"/>
        <rFont val="Arial CE"/>
      </rPr>
      <t>Wynagrodzenie brutto w Łodzi w 2022* = x</t>
    </r>
    <r>
      <rPr>
        <vertAlign val="subscript"/>
        <sz val="10"/>
        <color rgb="FF000000"/>
        <rFont val="Arial CE"/>
      </rPr>
      <t>1</t>
    </r>
    <r>
      <rPr>
        <sz val="10"/>
        <color rgb="FF000000"/>
        <rFont val="Arial CE"/>
      </rPr>
      <t xml:space="preserve">* </t>
    </r>
  </si>
  <si>
    <r>
      <t>t</t>
    </r>
    <r>
      <rPr>
        <vertAlign val="superscript"/>
        <sz val="10"/>
        <color rgb="FF000000"/>
        <rFont val="Arial CE"/>
      </rPr>
      <t>2</t>
    </r>
    <r>
      <rPr>
        <sz val="10"/>
        <color rgb="FF000000"/>
        <rFont val="Arial CE"/>
      </rPr>
      <t>* = 169</t>
    </r>
  </si>
  <si>
    <t>mt=mpt</t>
  </si>
  <si>
    <t>Const</t>
  </si>
  <si>
    <t>&lt;10%, prognoza dopuszczalna</t>
  </si>
  <si>
    <r>
      <rPr>
        <b/>
        <sz val="18"/>
        <color rgb="FF000000"/>
        <rFont val="Calibri"/>
        <family val="2"/>
        <charset val="238"/>
        <scheme val="minor"/>
      </rPr>
      <t xml:space="preserve">PROGNOZA </t>
    </r>
    <r>
      <rPr>
        <b/>
        <i/>
        <sz val="18"/>
        <color rgb="FF000000"/>
        <rFont val="Calibri"/>
        <family val="2"/>
        <charset val="238"/>
        <scheme val="minor"/>
      </rPr>
      <t>X2</t>
    </r>
  </si>
  <si>
    <r>
      <t>(Y-Y*)^</t>
    </r>
    <r>
      <rPr>
        <b/>
        <vertAlign val="superscript"/>
        <sz val="12"/>
        <rFont val="Calibri"/>
        <family val="2"/>
        <charset val="238"/>
        <scheme val="minor"/>
      </rPr>
      <t>2</t>
    </r>
  </si>
  <si>
    <r>
      <rPr>
        <sz val="10"/>
        <color rgb="FF000000"/>
        <rFont val="Arial CE"/>
      </rPr>
      <t>Wynagrodzenie brutto w Gdańsku w 2022* = x</t>
    </r>
    <r>
      <rPr>
        <vertAlign val="subscript"/>
        <sz val="10"/>
        <color rgb="FF000000"/>
        <rFont val="Arial CE"/>
      </rPr>
      <t>2</t>
    </r>
    <r>
      <rPr>
        <sz val="10"/>
        <color rgb="FF000000"/>
        <rFont val="Arial CE"/>
      </rPr>
      <t xml:space="preserve">* </t>
    </r>
  </si>
  <si>
    <r>
      <t>Wskaźnik cen w Polsce w 2022* = x</t>
    </r>
    <r>
      <rPr>
        <vertAlign val="subscript"/>
        <sz val="10"/>
        <color rgb="FF000000"/>
        <rFont val="Arial CE"/>
      </rPr>
      <t>2</t>
    </r>
    <r>
      <rPr>
        <sz val="10"/>
        <color rgb="FF000000"/>
        <rFont val="Arial CE"/>
      </rPr>
      <t xml:space="preserve">* </t>
    </r>
  </si>
  <si>
    <t>PROGNOZA X3</t>
  </si>
  <si>
    <r>
      <rPr>
        <sz val="10"/>
        <color rgb="FF000000"/>
        <rFont val="Arial CE"/>
      </rPr>
      <t>Wskaźnik cen w Polsce w 2022* = x</t>
    </r>
    <r>
      <rPr>
        <vertAlign val="subscript"/>
        <sz val="10"/>
        <color rgb="FF000000"/>
        <rFont val="Arial CE"/>
      </rPr>
      <t>3</t>
    </r>
    <r>
      <rPr>
        <sz val="10"/>
        <color rgb="FF000000"/>
        <rFont val="Arial CE"/>
      </rPr>
      <t xml:space="preserve">* </t>
    </r>
  </si>
  <si>
    <t>Wariant II metody naiwnej</t>
  </si>
  <si>
    <t>Y - Cena za m² (zł)</t>
  </si>
  <si>
    <t>Poznań</t>
  </si>
  <si>
    <t>Wariant IIa</t>
  </si>
  <si>
    <t>Wariant IIb</t>
  </si>
  <si>
    <t>Y*(IIa)</t>
  </si>
  <si>
    <t>Y*(IIb)</t>
  </si>
  <si>
    <r>
      <t>(Y-Y*)^</t>
    </r>
    <r>
      <rPr>
        <b/>
        <vertAlign val="superscript"/>
        <sz val="12"/>
        <color theme="1"/>
        <rFont val="Calibri"/>
        <family val="2"/>
        <charset val="238"/>
        <scheme val="minor"/>
      </rPr>
      <t>2</t>
    </r>
  </si>
  <si>
    <t>wartość rzeczywista</t>
  </si>
  <si>
    <t xml:space="preserve">Dopuszczalność prognoz: </t>
  </si>
  <si>
    <t>Warszawa</t>
  </si>
  <si>
    <t>Gdańsk</t>
  </si>
  <si>
    <t>Łódź</t>
  </si>
  <si>
    <t>MODEL  HOLTA</t>
  </si>
  <si>
    <t>S</t>
  </si>
  <si>
    <t>Y*</t>
  </si>
  <si>
    <t>q^2</t>
  </si>
  <si>
    <t>MSE =</t>
  </si>
  <si>
    <t>RMSE =</t>
  </si>
  <si>
    <t>Dopuszczalność prognozy</t>
  </si>
  <si>
    <t>Współczynnik alfa</t>
  </si>
  <si>
    <t>Współczynnik beta</t>
  </si>
  <si>
    <t>`</t>
  </si>
  <si>
    <t>Alfa</t>
  </si>
  <si>
    <t>Beta</t>
  </si>
  <si>
    <t>model trendu</t>
  </si>
  <si>
    <t>model przyczynowo skutkowy</t>
  </si>
  <si>
    <t>REGLINPa</t>
  </si>
  <si>
    <t>REGLINPb</t>
  </si>
  <si>
    <t>REGLINPo</t>
  </si>
  <si>
    <t>SKRa</t>
  </si>
  <si>
    <t>SKRb</t>
  </si>
  <si>
    <t>SKRo</t>
  </si>
  <si>
    <t>SKRs</t>
  </si>
  <si>
    <t>I</t>
  </si>
  <si>
    <t>v</t>
  </si>
  <si>
    <t>Fkryt</t>
  </si>
  <si>
    <t>REGLINPc</t>
  </si>
  <si>
    <t>SKRc</t>
  </si>
  <si>
    <t>3 podzbiory</t>
  </si>
  <si>
    <t>La = {1, 2, 3}</t>
  </si>
  <si>
    <t>Lb = {4, 5, 6, 7, 8, 9}</t>
  </si>
  <si>
    <t>Lc = {10, 11, 12}</t>
  </si>
  <si>
    <t>Segment 1</t>
  </si>
  <si>
    <t>CROSS</t>
  </si>
  <si>
    <t>X=t</t>
  </si>
  <si>
    <t>X</t>
  </si>
  <si>
    <r>
      <t>SKR</t>
    </r>
    <r>
      <rPr>
        <b/>
        <vertAlign val="subscript"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  <charset val="238"/>
      </rPr>
      <t>=</t>
    </r>
  </si>
  <si>
    <r>
      <t>(X</t>
    </r>
    <r>
      <rPr>
        <b/>
        <vertAlign val="subscript"/>
        <sz val="9"/>
        <rFont val="Arial CE"/>
        <charset val="238"/>
      </rPr>
      <t>a</t>
    </r>
    <r>
      <rPr>
        <b/>
        <sz val="9"/>
        <rFont val="Arial CE"/>
        <family val="2"/>
        <charset val="238"/>
      </rPr>
      <t>'X</t>
    </r>
    <r>
      <rPr>
        <b/>
        <vertAlign val="subscript"/>
        <sz val="9"/>
        <rFont val="Arial CE"/>
        <charset val="238"/>
      </rPr>
      <t>a</t>
    </r>
    <r>
      <rPr>
        <b/>
        <sz val="9"/>
        <rFont val="Arial CE"/>
        <family val="2"/>
        <charset val="238"/>
      </rPr>
      <t>)</t>
    </r>
    <r>
      <rPr>
        <b/>
        <vertAlign val="superscript"/>
        <sz val="9"/>
        <rFont val="Arial CE"/>
        <family val="2"/>
        <charset val="238"/>
      </rPr>
      <t>-1</t>
    </r>
  </si>
  <si>
    <r>
      <t>b</t>
    </r>
    <r>
      <rPr>
        <b/>
        <vertAlign val="subscript"/>
        <sz val="11"/>
        <color rgb="FF000000"/>
        <rFont val="Calibri"/>
        <family val="2"/>
      </rPr>
      <t>a</t>
    </r>
  </si>
  <si>
    <r>
      <rPr>
        <sz val="11"/>
        <color rgb="FF000000"/>
        <rFont val="Calibri"/>
        <family val="2"/>
        <charset val="238"/>
      </rPr>
      <t>F</t>
    </r>
    <r>
      <rPr>
        <vertAlign val="subscript"/>
        <sz val="11"/>
        <color rgb="FF000000"/>
        <rFont val="Calibri"/>
        <family val="2"/>
        <charset val="238"/>
      </rPr>
      <t xml:space="preserve">a </t>
    </r>
    <r>
      <rPr>
        <sz val="11"/>
        <color rgb="FF000000"/>
        <rFont val="Calibri"/>
        <family val="2"/>
        <charset val="238"/>
      </rPr>
      <t>= -239t + 6618</t>
    </r>
  </si>
  <si>
    <t>Segment 2</t>
  </si>
  <si>
    <r>
      <t>SKR</t>
    </r>
    <r>
      <rPr>
        <b/>
        <vertAlign val="subscript"/>
        <sz val="11"/>
        <color rgb="FF000000"/>
        <rFont val="Calibri"/>
        <family val="2"/>
      </rPr>
      <t>b</t>
    </r>
    <r>
      <rPr>
        <b/>
        <sz val="11"/>
        <color rgb="FF000000"/>
        <rFont val="Calibri"/>
        <family val="2"/>
        <charset val="238"/>
      </rPr>
      <t>=</t>
    </r>
  </si>
  <si>
    <r>
      <rPr>
        <sz val="11"/>
        <color rgb="FF000000"/>
        <rFont val="Calibri"/>
        <family val="2"/>
        <charset val="238"/>
      </rPr>
      <t>F</t>
    </r>
    <r>
      <rPr>
        <vertAlign val="subscript"/>
        <sz val="11"/>
        <color rgb="FF000000"/>
        <rFont val="Calibri"/>
        <family val="2"/>
        <charset val="238"/>
      </rPr>
      <t xml:space="preserve">b </t>
    </r>
    <r>
      <rPr>
        <sz val="11"/>
        <color rgb="FF000000"/>
        <rFont val="Calibri"/>
        <family val="2"/>
        <charset val="238"/>
      </rPr>
      <t>= 82,8t + 5615,133</t>
    </r>
  </si>
  <si>
    <t>Segment 3</t>
  </si>
  <si>
    <r>
      <t>SKR</t>
    </r>
    <r>
      <rPr>
        <b/>
        <vertAlign val="subscript"/>
        <sz val="11"/>
        <color rgb="FF000000"/>
        <rFont val="Calibri"/>
        <family val="2"/>
      </rPr>
      <t>c</t>
    </r>
    <r>
      <rPr>
        <b/>
        <sz val="11"/>
        <color rgb="FF000000"/>
        <rFont val="Calibri"/>
        <family val="2"/>
        <charset val="238"/>
      </rPr>
      <t>=</t>
    </r>
  </si>
  <si>
    <r>
      <rPr>
        <sz val="11"/>
        <color rgb="FF000000"/>
        <rFont val="Calibri"/>
        <family val="2"/>
        <charset val="238"/>
      </rPr>
      <t>F</t>
    </r>
    <r>
      <rPr>
        <sz val="9"/>
        <color rgb="FF000000"/>
        <rFont val="Calibri"/>
        <family val="2"/>
        <charset val="238"/>
      </rPr>
      <t>c</t>
    </r>
    <r>
      <rPr>
        <sz val="10"/>
        <color rgb="FF000000"/>
        <rFont val="Calibri"/>
        <family val="2"/>
        <charset val="238"/>
      </rPr>
      <t xml:space="preserve"> = 604,5t + 414,833</t>
    </r>
  </si>
  <si>
    <t>Cały model</t>
  </si>
  <si>
    <t>OSK</t>
  </si>
  <si>
    <r>
      <t>SKR</t>
    </r>
    <r>
      <rPr>
        <b/>
        <vertAlign val="subscript"/>
        <sz val="11"/>
        <color rgb="FF000000"/>
        <rFont val="Calibri"/>
        <family val="2"/>
      </rPr>
      <t>o</t>
    </r>
  </si>
  <si>
    <r>
      <t>SKR</t>
    </r>
    <r>
      <rPr>
        <b/>
        <vertAlign val="subscript"/>
        <sz val="11"/>
        <color rgb="FF000000"/>
        <rFont val="Calibri"/>
        <family val="2"/>
      </rPr>
      <t>s</t>
    </r>
  </si>
  <si>
    <t xml:space="preserve">Postać modelu </t>
  </si>
  <si>
    <r>
      <t>R</t>
    </r>
    <r>
      <rPr>
        <b/>
        <vertAlign val="superscript"/>
        <sz val="11"/>
        <color rgb="FF000000"/>
        <rFont val="Calibri"/>
        <family val="2"/>
      </rPr>
      <t>2</t>
    </r>
    <r>
      <rPr>
        <b/>
        <vertAlign val="subscript"/>
        <sz val="11"/>
        <color rgb="FF000000"/>
        <rFont val="Calibri"/>
        <family val="2"/>
      </rPr>
      <t>s</t>
    </r>
  </si>
  <si>
    <t>s</t>
  </si>
  <si>
    <t>X'X</t>
  </si>
  <si>
    <t>X'y</t>
  </si>
  <si>
    <r>
      <t>t</t>
    </r>
    <r>
      <rPr>
        <b/>
        <vertAlign val="subscript"/>
        <sz val="11"/>
        <color rgb="FF000000"/>
        <rFont val="Calibri"/>
        <family val="2"/>
      </rPr>
      <t>kryt</t>
    </r>
  </si>
  <si>
    <t>-239t + 6618</t>
  </si>
  <si>
    <t>{1, 2, 3}</t>
  </si>
  <si>
    <t xml:space="preserve">Y= </t>
  </si>
  <si>
    <t>82,8t + 5615,133</t>
  </si>
  <si>
    <t>{4, 5, 6, 7, 8, 9}</t>
  </si>
  <si>
    <r>
      <t>d</t>
    </r>
    <r>
      <rPr>
        <b/>
        <vertAlign val="subscript"/>
        <sz val="11"/>
        <color rgb="FF000000"/>
        <rFont val="Calibri"/>
        <family val="2"/>
      </rPr>
      <t>a</t>
    </r>
  </si>
  <si>
    <t>604,5t + 414,833</t>
  </si>
  <si>
    <t>{10, 11, 12}</t>
  </si>
  <si>
    <r>
      <t>t</t>
    </r>
    <r>
      <rPr>
        <b/>
        <vertAlign val="subscript"/>
        <sz val="11"/>
        <color rgb="FF000000"/>
        <rFont val="Calibri"/>
        <family val="2"/>
      </rPr>
      <t>a</t>
    </r>
  </si>
  <si>
    <r>
      <t>(X'X)</t>
    </r>
    <r>
      <rPr>
        <b/>
        <vertAlign val="superscript"/>
        <sz val="9"/>
        <rFont val="Arial CE"/>
        <charset val="238"/>
      </rPr>
      <t>-1</t>
    </r>
  </si>
  <si>
    <t>b</t>
  </si>
  <si>
    <r>
      <t>d</t>
    </r>
    <r>
      <rPr>
        <b/>
        <vertAlign val="subscript"/>
        <sz val="11"/>
        <color rgb="FF000000"/>
        <rFont val="Calibri"/>
        <family val="2"/>
      </rPr>
      <t>b</t>
    </r>
  </si>
  <si>
    <r>
      <t>t</t>
    </r>
    <r>
      <rPr>
        <b/>
        <vertAlign val="subscript"/>
        <sz val="11"/>
        <color rgb="FF000000"/>
        <rFont val="Calibri"/>
        <family val="2"/>
      </rPr>
      <t>b</t>
    </r>
  </si>
  <si>
    <r>
      <t>d</t>
    </r>
    <r>
      <rPr>
        <b/>
        <vertAlign val="subscript"/>
        <sz val="11"/>
        <color rgb="FF000000"/>
        <rFont val="Calibri"/>
        <family val="2"/>
      </rPr>
      <t>c</t>
    </r>
  </si>
  <si>
    <r>
      <t>t</t>
    </r>
    <r>
      <rPr>
        <b/>
        <vertAlign val="subscript"/>
        <sz val="11"/>
        <color rgb="FF000000"/>
        <rFont val="Calibri"/>
        <family val="2"/>
      </rPr>
      <t>c</t>
    </r>
  </si>
  <si>
    <r>
      <rPr>
        <sz val="11"/>
        <color rgb="FF000000"/>
        <rFont val="Calibri"/>
        <family val="2"/>
        <charset val="238"/>
      </rPr>
      <t>F</t>
    </r>
    <r>
      <rPr>
        <vertAlign val="subscript"/>
        <sz val="11"/>
        <color rgb="FF000000"/>
        <rFont val="Calibri"/>
        <family val="2"/>
        <charset val="238"/>
      </rPr>
      <t xml:space="preserve">a </t>
    </r>
    <r>
      <rPr>
        <sz val="11"/>
        <color rgb="FF000000"/>
        <rFont val="Calibri"/>
        <family val="2"/>
        <charset val="238"/>
      </rPr>
      <t>= -199,5t + 8628,333</t>
    </r>
  </si>
  <si>
    <r>
      <rPr>
        <sz val="11"/>
        <color rgb="FF000000"/>
        <rFont val="Calibri"/>
        <family val="2"/>
        <charset val="238"/>
      </rPr>
      <t>F</t>
    </r>
    <r>
      <rPr>
        <vertAlign val="subscript"/>
        <sz val="11"/>
        <color rgb="FF000000"/>
        <rFont val="Calibri"/>
        <family val="2"/>
        <charset val="238"/>
      </rPr>
      <t xml:space="preserve">b </t>
    </r>
    <r>
      <rPr>
        <sz val="11"/>
        <color rgb="FF000000"/>
        <rFont val="Calibri"/>
        <family val="2"/>
        <charset val="238"/>
      </rPr>
      <t>= 240,1143t + 6359,59</t>
    </r>
  </si>
  <si>
    <r>
      <rPr>
        <sz val="11"/>
        <color rgb="FF000000"/>
        <rFont val="Calibri"/>
        <family val="2"/>
        <charset val="238"/>
      </rPr>
      <t>F</t>
    </r>
    <r>
      <rPr>
        <sz val="9"/>
        <color rgb="FF000000"/>
        <rFont val="Calibri"/>
        <family val="2"/>
        <charset val="238"/>
      </rPr>
      <t>c</t>
    </r>
    <r>
      <rPr>
        <sz val="10"/>
        <color rgb="FF000000"/>
        <rFont val="Calibri"/>
        <family val="2"/>
        <charset val="238"/>
      </rPr>
      <t xml:space="preserve"> = 1002t - 1005</t>
    </r>
  </si>
  <si>
    <t>-199,5t + 8628,333</t>
  </si>
  <si>
    <t>240,1143t + 6359,59</t>
  </si>
  <si>
    <t>1002t - 1005</t>
  </si>
  <si>
    <t>2 podzbiory</t>
  </si>
  <si>
    <t>La = {1, ..., 8}</t>
  </si>
  <si>
    <t>Lb = {9, 10, 11, 12}</t>
  </si>
  <si>
    <r>
      <rPr>
        <sz val="11"/>
        <color rgb="FF000000"/>
        <rFont val="Calibri"/>
        <family val="2"/>
        <charset val="238"/>
      </rPr>
      <t>F</t>
    </r>
    <r>
      <rPr>
        <vertAlign val="subscript"/>
        <sz val="11"/>
        <color rgb="FF000000"/>
        <rFont val="Calibri"/>
        <family val="2"/>
        <charset val="238"/>
      </rPr>
      <t xml:space="preserve">a </t>
    </r>
    <r>
      <rPr>
        <sz val="11"/>
        <color rgb="FF000000"/>
        <rFont val="Calibri"/>
        <family val="2"/>
        <charset val="238"/>
      </rPr>
      <t>= 218,143t + 4383,607</t>
    </r>
  </si>
  <si>
    <r>
      <rPr>
        <sz val="11"/>
        <color rgb="FF000000"/>
        <rFont val="Calibri"/>
        <family val="2"/>
        <charset val="238"/>
      </rPr>
      <t>F</t>
    </r>
    <r>
      <rPr>
        <vertAlign val="subscript"/>
        <sz val="11"/>
        <color rgb="FF000000"/>
        <rFont val="Calibri"/>
        <family val="2"/>
        <charset val="238"/>
      </rPr>
      <t xml:space="preserve">b </t>
    </r>
    <r>
      <rPr>
        <sz val="11"/>
        <color rgb="FF000000"/>
        <rFont val="Calibri"/>
        <family val="2"/>
        <charset val="238"/>
      </rPr>
      <t>= 853,5t - 946,5</t>
    </r>
  </si>
  <si>
    <t>-218,143t + 4383,607</t>
  </si>
  <si>
    <t>{1, ..., 8}</t>
  </si>
  <si>
    <t>853,5t - 946,5</t>
  </si>
  <si>
    <t>{9, 10, 11, 12}</t>
  </si>
  <si>
    <t>La = {1, 2, 3, 4}</t>
  </si>
  <si>
    <t>Lb = {5, 6, 7, 8}</t>
  </si>
  <si>
    <t>Lc = {9, 10, 11, 12}</t>
  </si>
  <si>
    <r>
      <rPr>
        <sz val="11"/>
        <color rgb="FF000000"/>
        <rFont val="Calibri"/>
        <family val="2"/>
        <charset val="238"/>
      </rPr>
      <t>F</t>
    </r>
    <r>
      <rPr>
        <vertAlign val="subscript"/>
        <sz val="11"/>
        <color rgb="FF000000"/>
        <rFont val="Calibri"/>
        <family val="2"/>
        <charset val="238"/>
      </rPr>
      <t xml:space="preserve">a </t>
    </r>
    <r>
      <rPr>
        <sz val="11"/>
        <color rgb="FF000000"/>
        <rFont val="Calibri"/>
        <family val="2"/>
        <charset val="238"/>
      </rPr>
      <t>= -167,5t + 4235</t>
    </r>
  </si>
  <si>
    <r>
      <rPr>
        <sz val="11"/>
        <color rgb="FF000000"/>
        <rFont val="Calibri"/>
        <family val="2"/>
        <charset val="238"/>
      </rPr>
      <t>F</t>
    </r>
    <r>
      <rPr>
        <vertAlign val="subscript"/>
        <sz val="11"/>
        <color rgb="FF000000"/>
        <rFont val="Calibri"/>
        <family val="2"/>
        <charset val="238"/>
      </rPr>
      <t xml:space="preserve">b </t>
    </r>
    <r>
      <rPr>
        <sz val="11"/>
        <color rgb="FF000000"/>
        <rFont val="Calibri"/>
        <family val="2"/>
        <charset val="238"/>
      </rPr>
      <t>= 42,5t + 3299</t>
    </r>
  </si>
  <si>
    <r>
      <rPr>
        <sz val="11"/>
        <color rgb="FF000000"/>
        <rFont val="Calibri"/>
        <family val="2"/>
        <charset val="238"/>
      </rPr>
      <t>F</t>
    </r>
    <r>
      <rPr>
        <sz val="9"/>
        <color rgb="FF000000"/>
        <rFont val="Calibri"/>
        <family val="2"/>
        <charset val="238"/>
      </rPr>
      <t>c</t>
    </r>
    <r>
      <rPr>
        <sz val="10"/>
        <color rgb="FF000000"/>
        <rFont val="Calibri"/>
        <family val="2"/>
        <charset val="238"/>
      </rPr>
      <t xml:space="preserve"> = 428,7t + 22,4</t>
    </r>
  </si>
  <si>
    <t>-167,5t + 4235</t>
  </si>
  <si>
    <t>{1, 2, 3, 4}</t>
  </si>
  <si>
    <t>42,5t + 3299</t>
  </si>
  <si>
    <t>{4, 5, 6, 7, 8}</t>
  </si>
  <si>
    <t>428,7t + 22,4</t>
  </si>
  <si>
    <t>Poznań, k = 5</t>
  </si>
  <si>
    <t>Wartości wygładzone</t>
  </si>
  <si>
    <t>y^1t</t>
  </si>
  <si>
    <t>y^2t</t>
  </si>
  <si>
    <t>y^3t</t>
  </si>
  <si>
    <t>y^4t</t>
  </si>
  <si>
    <t>y^5t</t>
  </si>
  <si>
    <t>y^6t</t>
  </si>
  <si>
    <t>y^7t</t>
  </si>
  <si>
    <t>y^8t</t>
  </si>
  <si>
    <t>Dopasowanie modelu</t>
  </si>
  <si>
    <t>Zależność bardzo silna</t>
  </si>
  <si>
    <t>Konstrukcja prognozy:</t>
  </si>
  <si>
    <r>
      <t>w</t>
    </r>
    <r>
      <rPr>
        <b/>
        <vertAlign val="subscript"/>
        <sz val="11"/>
        <rFont val="Arial CE"/>
        <charset val="238"/>
      </rPr>
      <t>t</t>
    </r>
  </si>
  <si>
    <r>
      <t>C</t>
    </r>
    <r>
      <rPr>
        <b/>
        <vertAlign val="subscript"/>
        <sz val="11"/>
        <rFont val="Arial CE"/>
        <charset val="238"/>
      </rPr>
      <t>t</t>
    </r>
  </si>
  <si>
    <r>
      <t>w</t>
    </r>
    <r>
      <rPr>
        <b/>
        <vertAlign val="subscript"/>
        <sz val="11"/>
        <rFont val="Arial CE"/>
        <charset val="238"/>
      </rPr>
      <t>t</t>
    </r>
    <r>
      <rPr>
        <b/>
        <sz val="11"/>
        <rFont val="Arial CE"/>
        <charset val="238"/>
      </rPr>
      <t>C</t>
    </r>
    <r>
      <rPr>
        <b/>
        <vertAlign val="subscript"/>
        <sz val="11"/>
        <rFont val="Arial CE"/>
        <charset val="238"/>
      </rPr>
      <t>t</t>
    </r>
  </si>
  <si>
    <t>1/(T-1)</t>
  </si>
  <si>
    <r>
      <t>w</t>
    </r>
    <r>
      <rPr>
        <b/>
        <vertAlign val="subscript"/>
        <sz val="11"/>
        <rFont val="Arial CE"/>
        <charset val="238"/>
      </rPr>
      <t>śr</t>
    </r>
  </si>
  <si>
    <t>Prognoza na 2022 rok</t>
  </si>
  <si>
    <t>Bąd bezwzględny</t>
  </si>
  <si>
    <t>Błąd względny</t>
  </si>
  <si>
    <t>Dopuszczalność</t>
  </si>
  <si>
    <t>Warszawa, k = 7</t>
  </si>
  <si>
    <t>Błąd bezwzględny</t>
  </si>
  <si>
    <t>Gdańsk, k = 7</t>
  </si>
  <si>
    <t>Łódź, k = 7</t>
  </si>
  <si>
    <t>Najmniejsze odchylenie</t>
  </si>
  <si>
    <t>Metoda naiwna wariant IIa</t>
  </si>
  <si>
    <r>
      <t>|Δ|</t>
    </r>
    <r>
      <rPr>
        <sz val="11"/>
        <rFont val="Calibri Light"/>
        <family val="2"/>
        <charset val="238"/>
      </rPr>
      <t> </t>
    </r>
  </si>
  <si>
    <t>Metoda naiwna wariant IIb</t>
  </si>
  <si>
    <t>Wygładzanie wykładnicze</t>
  </si>
  <si>
    <t>Model ekonometryczny</t>
  </si>
  <si>
    <t>Trend pełzający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</si>
</sst>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"/>
    <numFmt numFmtId="165" formatCode="#,##0.0000"/>
    <numFmt numFmtId="166" formatCode="0.0"/>
    <numFmt numFmtId="167" formatCode="0.000000000"/>
    <numFmt numFmtId="168" formatCode="#,##0.00\ &quot;zł&quot;"/>
  </numFmts>
  <fonts count="83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vertAlign val="subscript"/>
      <sz val="9"/>
      <name val="Arial CE"/>
      <charset val="238"/>
    </font>
    <font>
      <b/>
      <sz val="9"/>
      <name val="Arial CE"/>
      <family val="2"/>
      <charset val="238"/>
    </font>
    <font>
      <b/>
      <vertAlign val="superscript"/>
      <sz val="9"/>
      <name val="Arial CE"/>
      <family val="2"/>
      <charset val="238"/>
    </font>
    <font>
      <b/>
      <sz val="9"/>
      <name val="Arial CE"/>
    </font>
    <font>
      <b/>
      <vertAlign val="subscript"/>
      <sz val="11"/>
      <color rgb="FF000000"/>
      <name val="Calibri"/>
      <family val="2"/>
    </font>
    <font>
      <vertAlign val="subscript"/>
      <sz val="11"/>
      <color rgb="FF000000"/>
      <name val="Calibri"/>
      <family val="2"/>
      <charset val="238"/>
    </font>
    <font>
      <sz val="11"/>
      <color theme="0"/>
      <name val="Calibri"/>
      <family val="2"/>
      <charset val="238"/>
      <scheme val="minor"/>
    </font>
    <font>
      <sz val="10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b/>
      <vertAlign val="superscript"/>
      <sz val="9"/>
      <name val="Arial CE"/>
      <charset val="238"/>
    </font>
    <font>
      <b/>
      <vertAlign val="superscript"/>
      <sz val="11"/>
      <color rgb="FF000000"/>
      <name val="Calibri"/>
      <family val="2"/>
    </font>
    <font>
      <i/>
      <sz val="11"/>
      <color rgb="FF000000"/>
      <name val="Calibri"/>
      <family val="2"/>
      <charset val="238"/>
    </font>
    <font>
      <b/>
      <sz val="11"/>
      <color theme="7"/>
      <name val="Calibri"/>
      <family val="2"/>
      <charset val="238"/>
      <scheme val="minor"/>
    </font>
    <font>
      <b/>
      <sz val="11"/>
      <color theme="9" tint="0.3999755851924192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theme="1"/>
      <name val="Calibri Light"/>
      <family val="2"/>
      <charset val="238"/>
      <scheme val="major"/>
    </font>
    <font>
      <b/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vertAlign val="superscript"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vertAlign val="superscript"/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</font>
    <font>
      <b/>
      <sz val="11"/>
      <color rgb="FFC000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</font>
    <font>
      <b/>
      <sz val="11"/>
      <color rgb="FFFF000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1"/>
      <name val="Arial CE"/>
      <charset val="238"/>
    </font>
    <font>
      <b/>
      <vertAlign val="subscript"/>
      <sz val="11"/>
      <name val="Arial CE"/>
      <charset val="238"/>
    </font>
    <font>
      <b/>
      <sz val="11"/>
      <name val="Calibri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0"/>
      <name val="Arial CE"/>
      <charset val="238"/>
    </font>
    <font>
      <sz val="10"/>
      <color rgb="FF000000"/>
      <name val="Arial CE"/>
    </font>
    <font>
      <vertAlign val="subscript"/>
      <sz val="10"/>
      <color rgb="FF000000"/>
      <name val="Arial CE"/>
    </font>
    <font>
      <vertAlign val="superscript"/>
      <sz val="10"/>
      <color rgb="FF000000"/>
      <name val="Arial CE"/>
    </font>
    <font>
      <sz val="10"/>
      <color rgb="FF000000"/>
      <name val="Arial CE"/>
      <charset val="238"/>
    </font>
    <font>
      <b/>
      <sz val="16"/>
      <color rgb="FF000000"/>
      <name val="Arial CE"/>
    </font>
    <font>
      <b/>
      <sz val="12"/>
      <color rgb="FF000000"/>
      <name val="Calibri"/>
      <family val="2"/>
      <charset val="238"/>
    </font>
    <font>
      <b/>
      <sz val="14"/>
      <color theme="1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vertAlign val="subscript"/>
      <sz val="14"/>
      <color rgb="FF000000"/>
      <name val="Calibri"/>
      <family val="2"/>
      <charset val="238"/>
      <scheme val="minor"/>
    </font>
    <font>
      <b/>
      <vertAlign val="superscript"/>
      <sz val="14"/>
      <color rgb="FF000000"/>
      <name val="Calibri"/>
      <family val="2"/>
      <charset val="238"/>
      <scheme val="minor"/>
    </font>
    <font>
      <b/>
      <sz val="18"/>
      <color rgb="FF000000"/>
      <name val="Calibri"/>
      <family val="2"/>
      <charset val="238"/>
      <scheme val="minor"/>
    </font>
    <font>
      <b/>
      <sz val="16"/>
      <color rgb="FF000000"/>
      <name val="Arial CE"/>
      <family val="2"/>
      <charset val="1"/>
    </font>
    <font>
      <b/>
      <sz val="10"/>
      <color rgb="FF000000"/>
      <name val="Arial CE"/>
      <charset val="238"/>
    </font>
    <font>
      <b/>
      <i/>
      <sz val="11"/>
      <color rgb="FF000000"/>
      <name val="Calibri"/>
      <family val="2"/>
      <charset val="1"/>
    </font>
    <font>
      <b/>
      <i/>
      <sz val="12"/>
      <color rgb="FF000000"/>
      <name val="Calibri"/>
      <family val="2"/>
      <charset val="238"/>
      <scheme val="minor"/>
    </font>
    <font>
      <b/>
      <i/>
      <sz val="12"/>
      <color rgb="FF000000"/>
      <name val="Calibri"/>
      <family val="2"/>
      <charset val="238"/>
    </font>
    <font>
      <b/>
      <i/>
      <vertAlign val="subscript"/>
      <sz val="12"/>
      <color rgb="FF000000"/>
      <name val="Calibri"/>
      <family val="2"/>
      <charset val="238"/>
    </font>
    <font>
      <b/>
      <i/>
      <sz val="12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1"/>
    </font>
    <font>
      <b/>
      <i/>
      <vertAlign val="subscript"/>
      <sz val="12"/>
      <color theme="1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b/>
      <i/>
      <vertAlign val="subscript"/>
      <sz val="12"/>
      <color rgb="FF000000"/>
      <name val="Calibri"/>
      <family val="2"/>
      <charset val="1"/>
    </font>
    <font>
      <b/>
      <sz val="16"/>
      <name val="Arial CE"/>
      <charset val="238"/>
    </font>
    <font>
      <b/>
      <sz val="18"/>
      <color rgb="FF000000"/>
      <name val="Calibri"/>
      <family val="2"/>
      <charset val="1"/>
    </font>
    <font>
      <b/>
      <sz val="18"/>
      <color rgb="FF000000"/>
      <name val="Arial CE"/>
    </font>
    <font>
      <b/>
      <vertAlign val="subscript"/>
      <sz val="18"/>
      <color rgb="FF000000"/>
      <name val="Arial CE"/>
    </font>
    <font>
      <b/>
      <vertAlign val="superscript"/>
      <sz val="18"/>
      <color rgb="FF000000"/>
      <name val="Arial CE"/>
    </font>
    <font>
      <b/>
      <i/>
      <sz val="18"/>
      <color theme="1"/>
      <name val="Calibri"/>
      <family val="2"/>
      <charset val="238"/>
      <scheme val="minor"/>
    </font>
    <font>
      <sz val="10"/>
      <name val="Arial CE"/>
    </font>
    <font>
      <b/>
      <sz val="10"/>
      <name val="Arial CE"/>
    </font>
    <font>
      <sz val="11"/>
      <color theme="1"/>
      <name val="Calibri"/>
      <family val="2"/>
      <charset val="238"/>
    </font>
    <font>
      <sz val="11"/>
      <name val="Calibri Light"/>
      <family val="2"/>
      <charset val="238"/>
    </font>
    <font>
      <b/>
      <sz val="11"/>
      <name val="Calibri Light"/>
      <family val="2"/>
      <charset val="238"/>
    </font>
    <font>
      <b/>
      <i/>
      <sz val="18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b/>
      <vertAlign val="subscript"/>
      <sz val="14"/>
      <color rgb="FF000000"/>
      <name val="Calibri"/>
      <family val="2"/>
      <charset val="238"/>
    </font>
    <font>
      <b/>
      <vertAlign val="superscript"/>
      <sz val="14"/>
      <color rgb="FF000000"/>
      <name val="Calibri"/>
      <family val="2"/>
      <charset val="238"/>
    </font>
    <font>
      <b/>
      <sz val="18"/>
      <color rgb="FF000000"/>
      <name val="Calibri"/>
      <family val="2"/>
      <charset val="238"/>
    </font>
  </fonts>
  <fills count="23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1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rgb="FF000000"/>
      </bottom>
      <diagonal/>
    </border>
    <border>
      <left/>
      <right/>
      <top style="thin">
        <color theme="1" tint="0.34998626667073579"/>
      </top>
      <bottom style="thin">
        <color rgb="FF000000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rgb="FF000000"/>
      </right>
      <top style="medium">
        <color rgb="FF000000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rgb="FF000000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rgb="FF000000"/>
      </bottom>
      <diagonal/>
    </border>
    <border>
      <left style="thin">
        <color theme="1" tint="0.34998626667073579"/>
      </left>
      <right style="medium">
        <color rgb="FF000000"/>
      </right>
      <top style="thin">
        <color theme="1" tint="0.34998626667073579"/>
      </top>
      <bottom style="medium">
        <color rgb="FF000000"/>
      </bottom>
      <diagonal/>
    </border>
    <border>
      <left style="medium">
        <color rgb="FF000000"/>
      </left>
      <right style="thin">
        <color theme="1" tint="0.34998626667073579"/>
      </right>
      <top style="medium">
        <color rgb="FF000000"/>
      </top>
      <bottom style="thin">
        <color theme="1" tint="0.34998626667073579"/>
      </bottom>
      <diagonal/>
    </border>
    <border>
      <left style="medium">
        <color rgb="FF000000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rgb="FF000000"/>
      </left>
      <right style="thin">
        <color theme="1" tint="0.34998626667073579"/>
      </right>
      <top style="thin">
        <color theme="1" tint="0.34998626667073579"/>
      </top>
      <bottom style="medium">
        <color rgb="FF000000"/>
      </bottom>
      <diagonal/>
    </border>
    <border>
      <left style="thin">
        <color theme="1" tint="0.34998626667073579"/>
      </left>
      <right style="medium">
        <color rgb="FF000000"/>
      </right>
      <top/>
      <bottom style="thin">
        <color theme="1" tint="0.34998626667073579"/>
      </bottom>
      <diagonal/>
    </border>
    <border>
      <left style="medium">
        <color rgb="FF000000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theme="1" tint="0.34998626667073579"/>
      </right>
      <top style="medium">
        <color rgb="FF000000"/>
      </top>
      <bottom style="thin">
        <color theme="1" tint="0.34998626667073579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ck">
        <color rgb="FF000000"/>
      </left>
      <right/>
      <top/>
      <bottom style="medium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/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1" fillId="2" borderId="1">
      <alignment horizontal="left" vertical="center" wrapText="1"/>
    </xf>
    <xf numFmtId="0" fontId="20" fillId="0" borderId="0" applyNumberFormat="0" applyFill="0" applyBorder="0" applyAlignment="0" applyProtection="0"/>
  </cellStyleXfs>
  <cellXfs count="793">
    <xf numFmtId="0" fontId="0" fillId="0" borderId="0" xfId="0"/>
    <xf numFmtId="3" fontId="0" fillId="0" borderId="0" xfId="0" applyNumberFormat="1"/>
    <xf numFmtId="0" fontId="3" fillId="0" borderId="0" xfId="0" applyFont="1"/>
    <xf numFmtId="0" fontId="1" fillId="0" borderId="9" xfId="0" applyFont="1" applyBorder="1"/>
    <xf numFmtId="3" fontId="2" fillId="0" borderId="10" xfId="0" applyNumberFormat="1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8" xfId="0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/>
    <xf numFmtId="0" fontId="8" fillId="5" borderId="15" xfId="0" applyFont="1" applyFill="1" applyBorder="1"/>
    <xf numFmtId="0" fontId="8" fillId="5" borderId="16" xfId="0" applyFont="1" applyFill="1" applyBorder="1"/>
    <xf numFmtId="0" fontId="0" fillId="0" borderId="4" xfId="0" applyBorder="1"/>
    <xf numFmtId="0" fontId="3" fillId="0" borderId="2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3" fontId="0" fillId="0" borderId="1" xfId="0" applyNumberFormat="1" applyBorder="1"/>
    <xf numFmtId="0" fontId="1" fillId="0" borderId="0" xfId="0" applyFont="1"/>
    <xf numFmtId="0" fontId="1" fillId="0" borderId="10" xfId="0" applyFont="1" applyBorder="1"/>
    <xf numFmtId="0" fontId="1" fillId="3" borderId="9" xfId="0" applyFont="1" applyFill="1" applyBorder="1"/>
    <xf numFmtId="0" fontId="1" fillId="3" borderId="10" xfId="0" applyFont="1" applyFill="1" applyBorder="1"/>
    <xf numFmtId="3" fontId="2" fillId="0" borderId="5" xfId="0" applyNumberFormat="1" applyFont="1" applyBorder="1"/>
    <xf numFmtId="0" fontId="1" fillId="6" borderId="22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quotePrefix="1" applyFont="1" applyFill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6" borderId="0" xfId="0" quotePrefix="1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3" fontId="2" fillId="0" borderId="6" xfId="0" applyNumberFormat="1" applyFont="1" applyBorder="1"/>
    <xf numFmtId="0" fontId="0" fillId="12" borderId="0" xfId="0" applyFill="1"/>
    <xf numFmtId="3" fontId="2" fillId="12" borderId="5" xfId="0" applyNumberFormat="1" applyFont="1" applyFill="1" applyBorder="1"/>
    <xf numFmtId="0" fontId="0" fillId="13" borderId="0" xfId="0" applyFill="1"/>
    <xf numFmtId="3" fontId="2" fillId="13" borderId="5" xfId="0" applyNumberFormat="1" applyFont="1" applyFill="1" applyBorder="1"/>
    <xf numFmtId="0" fontId="0" fillId="9" borderId="0" xfId="0" applyFill="1"/>
    <xf numFmtId="3" fontId="2" fillId="9" borderId="5" xfId="0" applyNumberFormat="1" applyFont="1" applyFill="1" applyBorder="1"/>
    <xf numFmtId="3" fontId="2" fillId="9" borderId="6" xfId="0" applyNumberFormat="1" applyFont="1" applyFill="1" applyBorder="1"/>
    <xf numFmtId="3" fontId="2" fillId="0" borderId="0" xfId="0" applyNumberFormat="1" applyFont="1"/>
    <xf numFmtId="0" fontId="1" fillId="0" borderId="26" xfId="0" applyFont="1" applyBorder="1"/>
    <xf numFmtId="3" fontId="2" fillId="0" borderId="27" xfId="0" applyNumberFormat="1" applyFont="1" applyBorder="1"/>
    <xf numFmtId="0" fontId="1" fillId="0" borderId="1" xfId="0" applyFont="1" applyBorder="1"/>
    <xf numFmtId="3" fontId="2" fillId="0" borderId="1" xfId="0" applyNumberFormat="1" applyFont="1" applyBorder="1"/>
    <xf numFmtId="3" fontId="3" fillId="0" borderId="0" xfId="0" applyNumberFormat="1" applyFont="1" applyAlignment="1">
      <alignment horizontal="center"/>
    </xf>
    <xf numFmtId="3" fontId="0" fillId="0" borderId="2" xfId="0" applyNumberFormat="1" applyBorder="1"/>
    <xf numFmtId="0" fontId="0" fillId="0" borderId="13" xfId="0" applyBorder="1"/>
    <xf numFmtId="0" fontId="0" fillId="0" borderId="2" xfId="0" applyBorder="1"/>
    <xf numFmtId="0" fontId="1" fillId="0" borderId="7" xfId="0" applyFont="1" applyBorder="1"/>
    <xf numFmtId="0" fontId="1" fillId="0" borderId="11" xfId="0" applyFont="1" applyBorder="1"/>
    <xf numFmtId="0" fontId="8" fillId="5" borderId="7" xfId="0" applyFont="1" applyFill="1" applyBorder="1"/>
    <xf numFmtId="0" fontId="8" fillId="5" borderId="11" xfId="0" applyFont="1" applyFill="1" applyBorder="1"/>
    <xf numFmtId="0" fontId="1" fillId="3" borderId="0" xfId="0" applyFont="1" applyFill="1"/>
    <xf numFmtId="3" fontId="3" fillId="0" borderId="3" xfId="0" applyNumberFormat="1" applyFont="1" applyBorder="1" applyAlignment="1">
      <alignment horizontal="center"/>
    </xf>
    <xf numFmtId="3" fontId="3" fillId="0" borderId="28" xfId="0" applyNumberFormat="1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0" borderId="28" xfId="0" applyBorder="1"/>
    <xf numFmtId="3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6" fillId="3" borderId="0" xfId="0" applyFont="1" applyFill="1"/>
    <xf numFmtId="0" fontId="0" fillId="4" borderId="45" xfId="0" applyFill="1" applyBorder="1"/>
    <xf numFmtId="0" fontId="0" fillId="4" borderId="46" xfId="0" applyFill="1" applyBorder="1"/>
    <xf numFmtId="165" fontId="2" fillId="0" borderId="1" xfId="0" applyNumberFormat="1" applyFont="1" applyBorder="1" applyAlignment="1">
      <alignment horizontal="center" vertical="center"/>
    </xf>
    <xf numFmtId="165" fontId="2" fillId="0" borderId="33" xfId="0" applyNumberFormat="1" applyFont="1" applyBorder="1" applyAlignment="1">
      <alignment horizontal="center" vertical="center"/>
    </xf>
    <xf numFmtId="165" fontId="2" fillId="0" borderId="35" xfId="0" applyNumberFormat="1" applyFont="1" applyBorder="1" applyAlignment="1">
      <alignment horizontal="center" vertical="center"/>
    </xf>
    <xf numFmtId="165" fontId="2" fillId="0" borderId="36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165" fontId="2" fillId="0" borderId="33" xfId="0" applyNumberFormat="1" applyFont="1" applyBorder="1" applyAlignment="1">
      <alignment horizontal="center"/>
    </xf>
    <xf numFmtId="165" fontId="2" fillId="0" borderId="35" xfId="0" applyNumberFormat="1" applyFont="1" applyBorder="1" applyAlignment="1">
      <alignment horizontal="center"/>
    </xf>
    <xf numFmtId="165" fontId="2" fillId="0" borderId="36" xfId="0" applyNumberFormat="1" applyFont="1" applyBorder="1" applyAlignment="1">
      <alignment horizontal="center"/>
    </xf>
    <xf numFmtId="0" fontId="20" fillId="0" borderId="0" xfId="2"/>
    <xf numFmtId="3" fontId="2" fillId="0" borderId="33" xfId="0" applyNumberFormat="1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/>
    <xf numFmtId="3" fontId="2" fillId="0" borderId="33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33" xfId="0" applyNumberFormat="1" applyFont="1" applyBorder="1" applyAlignment="1">
      <alignment horizontal="center"/>
    </xf>
    <xf numFmtId="3" fontId="2" fillId="0" borderId="35" xfId="0" applyNumberFormat="1" applyFont="1" applyBorder="1" applyAlignment="1">
      <alignment horizontal="center" vertical="center"/>
    </xf>
    <xf numFmtId="3" fontId="2" fillId="0" borderId="36" xfId="0" applyNumberFormat="1" applyFont="1" applyBorder="1" applyAlignment="1">
      <alignment horizontal="center" vertical="center"/>
    </xf>
    <xf numFmtId="0" fontId="21" fillId="0" borderId="0" xfId="0" applyFont="1"/>
    <xf numFmtId="0" fontId="22" fillId="0" borderId="0" xfId="0" applyFont="1"/>
    <xf numFmtId="3" fontId="21" fillId="0" borderId="0" xfId="0" applyNumberFormat="1" applyFont="1"/>
    <xf numFmtId="0" fontId="27" fillId="0" borderId="0" xfId="0" applyFont="1"/>
    <xf numFmtId="0" fontId="0" fillId="0" borderId="0" xfId="0" applyAlignment="1">
      <alignment horizontal="center" vertical="center"/>
    </xf>
    <xf numFmtId="1" fontId="3" fillId="0" borderId="0" xfId="0" applyNumberFormat="1" applyFont="1"/>
    <xf numFmtId="1" fontId="0" fillId="0" borderId="0" xfId="0" applyNumberFormat="1"/>
    <xf numFmtId="2" fontId="24" fillId="3" borderId="1" xfId="0" applyNumberFormat="1" applyFont="1" applyFill="1" applyBorder="1" applyAlignment="1">
      <alignment horizontal="center" vertical="center"/>
    </xf>
    <xf numFmtId="3" fontId="1" fillId="0" borderId="35" xfId="0" applyNumberFormat="1" applyFont="1" applyBorder="1" applyAlignment="1">
      <alignment horizontal="center" vertical="center"/>
    </xf>
    <xf numFmtId="2" fontId="24" fillId="3" borderId="35" xfId="0" applyNumberFormat="1" applyFont="1" applyFill="1" applyBorder="1" applyAlignment="1">
      <alignment horizontal="center" vertical="center"/>
    </xf>
    <xf numFmtId="3" fontId="2" fillId="0" borderId="35" xfId="0" applyNumberFormat="1" applyFont="1" applyBorder="1" applyAlignment="1">
      <alignment horizontal="center"/>
    </xf>
    <xf numFmtId="1" fontId="2" fillId="0" borderId="35" xfId="0" applyNumberFormat="1" applyFont="1" applyBorder="1" applyAlignment="1">
      <alignment horizontal="center"/>
    </xf>
    <xf numFmtId="1" fontId="2" fillId="0" borderId="36" xfId="0" applyNumberFormat="1" applyFont="1" applyBorder="1" applyAlignment="1">
      <alignment horizontal="center"/>
    </xf>
    <xf numFmtId="3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/>
    </xf>
    <xf numFmtId="0" fontId="0" fillId="15" borderId="54" xfId="0" applyFill="1" applyBorder="1" applyAlignment="1">
      <alignment horizontal="center"/>
    </xf>
    <xf numFmtId="3" fontId="2" fillId="0" borderId="36" xfId="0" applyNumberFormat="1" applyFont="1" applyBorder="1" applyAlignment="1">
      <alignment horizontal="center"/>
    </xf>
    <xf numFmtId="1" fontId="17" fillId="0" borderId="0" xfId="0" applyNumberFormat="1" applyFont="1"/>
    <xf numFmtId="0" fontId="3" fillId="0" borderId="0" xfId="0" applyFont="1" applyAlignment="1">
      <alignment horizontal="left" vertical="center"/>
    </xf>
    <xf numFmtId="1" fontId="0" fillId="0" borderId="0" xfId="0" applyNumberFormat="1" applyAlignment="1">
      <alignment horizontal="right"/>
    </xf>
    <xf numFmtId="10" fontId="0" fillId="0" borderId="0" xfId="0" applyNumberFormat="1"/>
    <xf numFmtId="1" fontId="0" fillId="0" borderId="1" xfId="0" applyNumberFormat="1" applyBorder="1"/>
    <xf numFmtId="1" fontId="0" fillId="0" borderId="1" xfId="0" applyNumberFormat="1" applyBorder="1" applyAlignment="1">
      <alignment horizontal="right"/>
    </xf>
    <xf numFmtId="10" fontId="34" fillId="0" borderId="0" xfId="0" applyNumberFormat="1" applyFont="1"/>
    <xf numFmtId="1" fontId="18" fillId="0" borderId="0" xfId="0" applyNumberFormat="1" applyFont="1"/>
    <xf numFmtId="0" fontId="28" fillId="18" borderId="1" xfId="0" applyFont="1" applyFill="1" applyBorder="1" applyAlignment="1">
      <alignment horizontal="center" vertical="center" wrapText="1"/>
    </xf>
    <xf numFmtId="0" fontId="29" fillId="17" borderId="1" xfId="0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horizontal="center" vertical="center"/>
    </xf>
    <xf numFmtId="0" fontId="33" fillId="17" borderId="1" xfId="0" applyFont="1" applyFill="1" applyBorder="1" applyAlignment="1">
      <alignment horizontal="center" vertical="center"/>
    </xf>
    <xf numFmtId="0" fontId="31" fillId="17" borderId="1" xfId="0" applyFont="1" applyFill="1" applyBorder="1" applyAlignment="1">
      <alignment horizontal="center" vertical="center"/>
    </xf>
    <xf numFmtId="0" fontId="33" fillId="7" borderId="1" xfId="0" applyFont="1" applyFill="1" applyBorder="1" applyAlignment="1">
      <alignment horizontal="center" vertical="center"/>
    </xf>
    <xf numFmtId="0" fontId="35" fillId="0" borderId="0" xfId="0" applyFont="1"/>
    <xf numFmtId="0" fontId="36" fillId="0" borderId="0" xfId="0" applyFont="1"/>
    <xf numFmtId="1" fontId="37" fillId="0" borderId="0" xfId="0" applyNumberFormat="1" applyFont="1"/>
    <xf numFmtId="0" fontId="36" fillId="0" borderId="0" xfId="0" applyFont="1" applyAlignment="1">
      <alignment horizontal="right"/>
    </xf>
    <xf numFmtId="165" fontId="2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8" fillId="0" borderId="0" xfId="0" applyFont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72" xfId="0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68" xfId="0" applyFont="1" applyBorder="1" applyAlignment="1">
      <alignment horizontal="center"/>
    </xf>
    <xf numFmtId="0" fontId="3" fillId="0" borderId="69" xfId="0" applyFont="1" applyBorder="1" applyAlignment="1">
      <alignment horizontal="center"/>
    </xf>
    <xf numFmtId="0" fontId="3" fillId="0" borderId="70" xfId="0" applyFont="1" applyBorder="1" applyAlignment="1">
      <alignment horizontal="center"/>
    </xf>
    <xf numFmtId="0" fontId="3" fillId="0" borderId="70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62" xfId="0" applyFont="1" applyBorder="1" applyAlignment="1">
      <alignment horizontal="center"/>
    </xf>
    <xf numFmtId="0" fontId="39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0" fillId="11" borderId="52" xfId="0" applyFill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13" borderId="60" xfId="0" applyFont="1" applyFill="1" applyBorder="1" applyAlignment="1">
      <alignment horizontal="center" wrapText="1"/>
    </xf>
    <xf numFmtId="0" fontId="0" fillId="8" borderId="52" xfId="0" applyFill="1" applyBorder="1" applyAlignment="1">
      <alignment horizontal="center"/>
    </xf>
    <xf numFmtId="0" fontId="3" fillId="8" borderId="53" xfId="0" applyFont="1" applyFill="1" applyBorder="1" applyAlignment="1">
      <alignment horizontal="center"/>
    </xf>
    <xf numFmtId="0" fontId="3" fillId="11" borderId="53" xfId="0" applyFont="1" applyFill="1" applyBorder="1" applyAlignment="1">
      <alignment horizontal="center"/>
    </xf>
    <xf numFmtId="0" fontId="39" fillId="0" borderId="0" xfId="0" applyFont="1" applyAlignment="1">
      <alignment horizontal="left"/>
    </xf>
    <xf numFmtId="0" fontId="0" fillId="9" borderId="52" xfId="0" applyFill="1" applyBorder="1" applyAlignment="1">
      <alignment horizontal="center"/>
    </xf>
    <xf numFmtId="0" fontId="3" fillId="9" borderId="53" xfId="0" applyFont="1" applyFill="1" applyBorder="1" applyAlignment="1">
      <alignment horizontal="center"/>
    </xf>
    <xf numFmtId="0" fontId="0" fillId="19" borderId="52" xfId="0" applyFill="1" applyBorder="1" applyAlignment="1">
      <alignment horizontal="center"/>
    </xf>
    <xf numFmtId="0" fontId="3" fillId="19" borderId="53" xfId="0" applyFont="1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38" fillId="0" borderId="64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38" fillId="0" borderId="45" xfId="0" applyFont="1" applyBorder="1" applyAlignment="1">
      <alignment horizontal="center"/>
    </xf>
    <xf numFmtId="165" fontId="2" fillId="3" borderId="0" xfId="0" applyNumberFormat="1" applyFont="1" applyFill="1" applyAlignment="1">
      <alignment horizontal="center"/>
    </xf>
    <xf numFmtId="3" fontId="41" fillId="11" borderId="53" xfId="0" applyNumberFormat="1" applyFont="1" applyFill="1" applyBorder="1" applyAlignment="1">
      <alignment horizontal="center" vertical="center"/>
    </xf>
    <xf numFmtId="3" fontId="3" fillId="11" borderId="53" xfId="0" applyNumberFormat="1" applyFont="1" applyFill="1" applyBorder="1" applyAlignment="1">
      <alignment horizontal="center"/>
    </xf>
    <xf numFmtId="10" fontId="3" fillId="11" borderId="53" xfId="0" applyNumberFormat="1" applyFont="1" applyFill="1" applyBorder="1" applyAlignment="1">
      <alignment horizontal="center"/>
    </xf>
    <xf numFmtId="3" fontId="3" fillId="8" borderId="53" xfId="0" applyNumberFormat="1" applyFont="1" applyFill="1" applyBorder="1" applyAlignment="1">
      <alignment horizontal="center"/>
    </xf>
    <xf numFmtId="10" fontId="3" fillId="8" borderId="53" xfId="0" applyNumberFormat="1" applyFont="1" applyFill="1" applyBorder="1" applyAlignment="1">
      <alignment horizontal="center"/>
    </xf>
    <xf numFmtId="0" fontId="3" fillId="8" borderId="54" xfId="0" applyFont="1" applyFill="1" applyBorder="1" applyAlignment="1">
      <alignment horizontal="center"/>
    </xf>
    <xf numFmtId="0" fontId="3" fillId="9" borderId="54" xfId="0" applyFont="1" applyFill="1" applyBorder="1" applyAlignment="1">
      <alignment horizontal="center"/>
    </xf>
    <xf numFmtId="0" fontId="3" fillId="19" borderId="54" xfId="0" applyFont="1" applyFill="1" applyBorder="1" applyAlignment="1">
      <alignment horizontal="center"/>
    </xf>
    <xf numFmtId="0" fontId="3" fillId="3" borderId="0" xfId="0" applyFont="1" applyFill="1"/>
    <xf numFmtId="0" fontId="42" fillId="3" borderId="0" xfId="0" applyFont="1" applyFill="1" applyAlignment="1">
      <alignment horizontal="center" vertical="center"/>
    </xf>
    <xf numFmtId="0" fontId="43" fillId="3" borderId="0" xfId="0" applyFont="1" applyFill="1"/>
    <xf numFmtId="0" fontId="16" fillId="3" borderId="59" xfId="0" applyFont="1" applyFill="1" applyBorder="1"/>
    <xf numFmtId="0" fontId="44" fillId="3" borderId="12" xfId="0" applyFont="1" applyFill="1" applyBorder="1" applyAlignment="1">
      <alignment horizontal="center" vertical="center"/>
    </xf>
    <xf numFmtId="0" fontId="43" fillId="3" borderId="0" xfId="0" applyFont="1" applyFill="1" applyAlignment="1">
      <alignment horizontal="center" vertical="center"/>
    </xf>
    <xf numFmtId="0" fontId="43" fillId="3" borderId="0" xfId="0" applyFont="1" applyFill="1" applyAlignment="1">
      <alignment horizontal="right"/>
    </xf>
    <xf numFmtId="0" fontId="1" fillId="0" borderId="32" xfId="0" applyFont="1" applyBorder="1" applyAlignment="1">
      <alignment horizontal="center" vertical="center"/>
    </xf>
    <xf numFmtId="0" fontId="44" fillId="3" borderId="0" xfId="0" applyFont="1" applyFill="1" applyAlignment="1">
      <alignment horizontal="center" vertical="center"/>
    </xf>
    <xf numFmtId="0" fontId="44" fillId="3" borderId="0" xfId="0" applyFont="1" applyFill="1"/>
    <xf numFmtId="0" fontId="43" fillId="3" borderId="0" xfId="0" applyFont="1" applyFill="1" applyAlignment="1">
      <alignment horizontal="center"/>
    </xf>
    <xf numFmtId="0" fontId="44" fillId="3" borderId="2" xfId="0" applyFont="1" applyFill="1" applyBorder="1" applyAlignment="1">
      <alignment horizontal="center"/>
    </xf>
    <xf numFmtId="0" fontId="44" fillId="3" borderId="28" xfId="0" applyFont="1" applyFill="1" applyBorder="1" applyAlignment="1">
      <alignment horizontal="center"/>
    </xf>
    <xf numFmtId="0" fontId="43" fillId="3" borderId="2" xfId="0" applyFont="1" applyFill="1" applyBorder="1" applyAlignment="1">
      <alignment horizontal="center"/>
    </xf>
    <xf numFmtId="0" fontId="43" fillId="3" borderId="28" xfId="0" applyFont="1" applyFill="1" applyBorder="1" applyAlignment="1">
      <alignment horizontal="center"/>
    </xf>
    <xf numFmtId="0" fontId="43" fillId="3" borderId="17" xfId="0" applyFont="1" applyFill="1" applyBorder="1" applyAlignment="1">
      <alignment horizontal="center" wrapText="1"/>
    </xf>
    <xf numFmtId="0" fontId="43" fillId="3" borderId="9" xfId="0" applyFont="1" applyFill="1" applyBorder="1" applyAlignment="1">
      <alignment horizontal="center"/>
    </xf>
    <xf numFmtId="0" fontId="43" fillId="3" borderId="89" xfId="0" applyFont="1" applyFill="1" applyBorder="1" applyAlignment="1">
      <alignment horizontal="center"/>
    </xf>
    <xf numFmtId="0" fontId="43" fillId="3" borderId="90" xfId="0" applyFont="1" applyFill="1" applyBorder="1" applyAlignment="1">
      <alignment horizontal="center"/>
    </xf>
    <xf numFmtId="0" fontId="43" fillId="3" borderId="92" xfId="0" applyFont="1" applyFill="1" applyBorder="1" applyAlignment="1">
      <alignment horizontal="center"/>
    </xf>
    <xf numFmtId="0" fontId="43" fillId="3" borderId="10" xfId="0" applyFont="1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86" xfId="0" applyFill="1" applyBorder="1" applyAlignment="1">
      <alignment horizontal="center" vertical="center"/>
    </xf>
    <xf numFmtId="0" fontId="0" fillId="3" borderId="87" xfId="0" applyFill="1" applyBorder="1" applyAlignment="1">
      <alignment horizontal="center" vertical="center"/>
    </xf>
    <xf numFmtId="0" fontId="0" fillId="3" borderId="8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84" xfId="0" applyFill="1" applyBorder="1" applyAlignment="1">
      <alignment horizontal="center" vertical="center"/>
    </xf>
    <xf numFmtId="10" fontId="43" fillId="3" borderId="0" xfId="0" applyNumberFormat="1" applyFont="1" applyFill="1" applyAlignment="1">
      <alignment horizontal="center"/>
    </xf>
    <xf numFmtId="0" fontId="24" fillId="0" borderId="0" xfId="0" applyFont="1" applyAlignment="1">
      <alignment horizontal="center"/>
    </xf>
    <xf numFmtId="3" fontId="25" fillId="0" borderId="0" xfId="0" applyNumberFormat="1" applyFont="1" applyAlignment="1">
      <alignment horizontal="center"/>
    </xf>
    <xf numFmtId="3" fontId="25" fillId="0" borderId="74" xfId="0" applyNumberFormat="1" applyFont="1" applyBorder="1" applyAlignment="1">
      <alignment horizontal="right"/>
    </xf>
    <xf numFmtId="3" fontId="25" fillId="0" borderId="75" xfId="0" applyNumberFormat="1" applyFont="1" applyBorder="1" applyAlignment="1">
      <alignment horizontal="right"/>
    </xf>
    <xf numFmtId="3" fontId="25" fillId="0" borderId="77" xfId="0" applyNumberFormat="1" applyFont="1" applyBorder="1" applyAlignment="1">
      <alignment horizontal="right"/>
    </xf>
    <xf numFmtId="0" fontId="23" fillId="11" borderId="39" xfId="0" applyFont="1" applyFill="1" applyBorder="1" applyAlignment="1">
      <alignment horizontal="center" vertical="center" wrapText="1"/>
    </xf>
    <xf numFmtId="0" fontId="3" fillId="0" borderId="93" xfId="0" applyFont="1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3" fontId="0" fillId="0" borderId="74" xfId="0" applyNumberFormat="1" applyBorder="1" applyAlignment="1">
      <alignment horizontal="right"/>
    </xf>
    <xf numFmtId="3" fontId="0" fillId="0" borderId="75" xfId="0" applyNumberFormat="1" applyBorder="1" applyAlignment="1">
      <alignment horizontal="right"/>
    </xf>
    <xf numFmtId="3" fontId="0" fillId="0" borderId="77" xfId="0" applyNumberFormat="1" applyBorder="1" applyAlignment="1">
      <alignment horizontal="right"/>
    </xf>
    <xf numFmtId="0" fontId="0" fillId="0" borderId="60" xfId="0" applyBorder="1" applyAlignment="1">
      <alignment horizontal="center"/>
    </xf>
    <xf numFmtId="0" fontId="3" fillId="0" borderId="94" xfId="0" applyFont="1" applyBorder="1" applyAlignment="1">
      <alignment horizontal="center"/>
    </xf>
    <xf numFmtId="0" fontId="0" fillId="0" borderId="47" xfId="0" applyBorder="1" applyAlignment="1">
      <alignment horizontal="center"/>
    </xf>
    <xf numFmtId="3" fontId="0" fillId="0" borderId="81" xfId="0" applyNumberFormat="1" applyBorder="1" applyAlignment="1">
      <alignment horizontal="right"/>
    </xf>
    <xf numFmtId="0" fontId="3" fillId="9" borderId="60" xfId="0" applyFont="1" applyFill="1" applyBorder="1" applyAlignment="1">
      <alignment horizontal="center" vertical="center"/>
    </xf>
    <xf numFmtId="0" fontId="3" fillId="8" borderId="60" xfId="0" applyFont="1" applyFill="1" applyBorder="1" applyAlignment="1">
      <alignment horizontal="center" vertical="center"/>
    </xf>
    <xf numFmtId="0" fontId="23" fillId="11" borderId="43" xfId="0" applyFont="1" applyFill="1" applyBorder="1" applyAlignment="1">
      <alignment horizontal="center" vertical="center" wrapText="1"/>
    </xf>
    <xf numFmtId="0" fontId="24" fillId="0" borderId="96" xfId="0" applyFont="1" applyBorder="1"/>
    <xf numFmtId="0" fontId="24" fillId="0" borderId="73" xfId="0" applyFont="1" applyBorder="1"/>
    <xf numFmtId="0" fontId="24" fillId="0" borderId="76" xfId="0" applyFont="1" applyBorder="1"/>
    <xf numFmtId="0" fontId="3" fillId="14" borderId="47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3" fillId="0" borderId="97" xfId="0" applyFont="1" applyBorder="1" applyAlignment="1">
      <alignment horizontal="center"/>
    </xf>
    <xf numFmtId="0" fontId="1" fillId="0" borderId="34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35" xfId="0" applyNumberFormat="1" applyBorder="1" applyAlignment="1">
      <alignment horizontal="center" vertical="center"/>
    </xf>
    <xf numFmtId="3" fontId="2" fillId="3" borderId="0" xfId="0" applyNumberFormat="1" applyFont="1" applyFill="1" applyAlignment="1">
      <alignment horizontal="center"/>
    </xf>
    <xf numFmtId="0" fontId="16" fillId="6" borderId="59" xfId="0" applyFont="1" applyFill="1" applyBorder="1"/>
    <xf numFmtId="0" fontId="16" fillId="6" borderId="0" xfId="0" applyFont="1" applyFill="1"/>
    <xf numFmtId="0" fontId="4" fillId="6" borderId="0" xfId="0" applyFont="1" applyFill="1"/>
    <xf numFmtId="10" fontId="43" fillId="3" borderId="12" xfId="0" applyNumberFormat="1" applyFont="1" applyFill="1" applyBorder="1" applyAlignment="1">
      <alignment horizontal="center" vertical="center"/>
    </xf>
    <xf numFmtId="0" fontId="50" fillId="6" borderId="0" xfId="0" applyFont="1" applyFill="1"/>
    <xf numFmtId="10" fontId="43" fillId="3" borderId="0" xfId="0" applyNumberFormat="1" applyFont="1" applyFill="1"/>
    <xf numFmtId="0" fontId="48" fillId="3" borderId="0" xfId="0" applyFont="1" applyFill="1"/>
    <xf numFmtId="0" fontId="45" fillId="3" borderId="0" xfId="0" applyFont="1" applyFill="1" applyAlignment="1">
      <alignment horizontal="center" vertical="center" wrapText="1"/>
    </xf>
    <xf numFmtId="0" fontId="45" fillId="3" borderId="0" xfId="0" applyFont="1" applyFill="1"/>
    <xf numFmtId="0" fontId="43" fillId="3" borderId="0" xfId="0" applyFont="1" applyFill="1" applyAlignment="1">
      <alignment wrapText="1"/>
    </xf>
    <xf numFmtId="0" fontId="43" fillId="6" borderId="0" xfId="0" applyFont="1" applyFill="1"/>
    <xf numFmtId="0" fontId="45" fillId="6" borderId="0" xfId="0" applyFont="1" applyFill="1"/>
    <xf numFmtId="0" fontId="45" fillId="6" borderId="0" xfId="0" applyFont="1" applyFill="1" applyAlignment="1">
      <alignment wrapText="1"/>
    </xf>
    <xf numFmtId="0" fontId="44" fillId="6" borderId="0" xfId="0" applyFont="1" applyFill="1"/>
    <xf numFmtId="3" fontId="0" fillId="0" borderId="28" xfId="0" applyNumberFormat="1" applyBorder="1"/>
    <xf numFmtId="0" fontId="11" fillId="3" borderId="101" xfId="0" applyFont="1" applyFill="1" applyBorder="1" applyAlignment="1">
      <alignment horizontal="center" vertical="center"/>
    </xf>
    <xf numFmtId="0" fontId="42" fillId="3" borderId="101" xfId="0" applyFont="1" applyFill="1" applyBorder="1" applyAlignment="1">
      <alignment horizontal="center" vertical="center"/>
    </xf>
    <xf numFmtId="0" fontId="0" fillId="3" borderId="101" xfId="0" applyFill="1" applyBorder="1"/>
    <xf numFmtId="0" fontId="43" fillId="3" borderId="101" xfId="0" applyFont="1" applyFill="1" applyBorder="1"/>
    <xf numFmtId="0" fontId="0" fillId="3" borderId="85" xfId="0" applyFill="1" applyBorder="1" applyAlignment="1">
      <alignment horizontal="center" vertical="center"/>
    </xf>
    <xf numFmtId="0" fontId="0" fillId="3" borderId="88" xfId="0" applyFill="1" applyBorder="1" applyAlignment="1">
      <alignment horizontal="center" vertical="center"/>
    </xf>
    <xf numFmtId="0" fontId="16" fillId="3" borderId="101" xfId="0" applyFont="1" applyFill="1" applyBorder="1"/>
    <xf numFmtId="0" fontId="3" fillId="3" borderId="101" xfId="0" applyFont="1" applyFill="1" applyBorder="1"/>
    <xf numFmtId="0" fontId="0" fillId="15" borderId="51" xfId="0" applyFill="1" applyBorder="1" applyAlignment="1">
      <alignment horizontal="center" vertical="center"/>
    </xf>
    <xf numFmtId="0" fontId="4" fillId="3" borderId="101" xfId="0" applyFont="1" applyFill="1" applyBorder="1" applyAlignment="1">
      <alignment vertical="center"/>
    </xf>
    <xf numFmtId="0" fontId="4" fillId="3" borderId="101" xfId="0" applyFont="1" applyFill="1" applyBorder="1" applyAlignment="1">
      <alignment horizontal="center" vertical="center" wrapText="1"/>
    </xf>
    <xf numFmtId="0" fontId="41" fillId="3" borderId="101" xfId="0" applyFont="1" applyFill="1" applyBorder="1" applyAlignment="1">
      <alignment horizontal="center" vertical="center"/>
    </xf>
    <xf numFmtId="164" fontId="0" fillId="3" borderId="101" xfId="0" applyNumberFormat="1" applyFill="1" applyBorder="1"/>
    <xf numFmtId="0" fontId="2" fillId="3" borderId="101" xfId="0" applyFont="1" applyFill="1" applyBorder="1"/>
    <xf numFmtId="0" fontId="4" fillId="0" borderId="1" xfId="0" applyFont="1" applyBorder="1" applyAlignment="1">
      <alignment horizontal="center" vertical="center"/>
    </xf>
    <xf numFmtId="0" fontId="44" fillId="3" borderId="102" xfId="0" applyFont="1" applyFill="1" applyBorder="1" applyAlignment="1">
      <alignment horizontal="center" wrapText="1"/>
    </xf>
    <xf numFmtId="0" fontId="44" fillId="3" borderId="0" xfId="0" applyFont="1" applyFill="1" applyAlignment="1">
      <alignment horizontal="center" wrapText="1"/>
    </xf>
    <xf numFmtId="0" fontId="44" fillId="3" borderId="101" xfId="0" applyFont="1" applyFill="1" applyBorder="1" applyAlignment="1">
      <alignment horizontal="center" wrapText="1"/>
    </xf>
    <xf numFmtId="0" fontId="43" fillId="6" borderId="0" xfId="0" applyFont="1" applyFill="1" applyAlignment="1">
      <alignment horizontal="right"/>
    </xf>
    <xf numFmtId="0" fontId="43" fillId="6" borderId="0" xfId="0" applyFont="1" applyFill="1" applyAlignment="1">
      <alignment horizontal="center"/>
    </xf>
    <xf numFmtId="0" fontId="43" fillId="6" borderId="0" xfId="0" applyFont="1" applyFill="1" applyAlignment="1">
      <alignment horizontal="center" vertical="center"/>
    </xf>
    <xf numFmtId="11" fontId="43" fillId="6" borderId="89" xfId="0" applyNumberFormat="1" applyFont="1" applyFill="1" applyBorder="1" applyAlignment="1">
      <alignment horizontal="center" vertical="center"/>
    </xf>
    <xf numFmtId="0" fontId="43" fillId="6" borderId="90" xfId="0" applyFont="1" applyFill="1" applyBorder="1" applyAlignment="1">
      <alignment horizontal="center" vertical="center"/>
    </xf>
    <xf numFmtId="0" fontId="43" fillId="6" borderId="92" xfId="0" applyFont="1" applyFill="1" applyBorder="1" applyAlignment="1">
      <alignment horizontal="center" vertical="center"/>
    </xf>
    <xf numFmtId="0" fontId="43" fillId="6" borderId="10" xfId="0" applyFont="1" applyFill="1" applyBorder="1" applyAlignment="1">
      <alignment horizontal="center" vertical="center"/>
    </xf>
    <xf numFmtId="0" fontId="43" fillId="6" borderId="17" xfId="0" applyFont="1" applyFill="1" applyBorder="1" applyAlignment="1">
      <alignment horizontal="center" wrapText="1"/>
    </xf>
    <xf numFmtId="0" fontId="43" fillId="6" borderId="9" xfId="0" applyFont="1" applyFill="1" applyBorder="1" applyAlignment="1">
      <alignment horizontal="center"/>
    </xf>
    <xf numFmtId="0" fontId="43" fillId="6" borderId="0" xfId="0" applyFont="1" applyFill="1" applyAlignment="1">
      <alignment horizontal="left"/>
    </xf>
    <xf numFmtId="11" fontId="43" fillId="6" borderId="0" xfId="0" applyNumberFormat="1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00" xfId="0" applyFill="1" applyBorder="1" applyAlignment="1">
      <alignment horizontal="center"/>
    </xf>
    <xf numFmtId="0" fontId="43" fillId="6" borderId="28" xfId="0" applyFont="1" applyFill="1" applyBorder="1" applyAlignment="1">
      <alignment horizontal="center" vertical="center"/>
    </xf>
    <xf numFmtId="0" fontId="43" fillId="3" borderId="12" xfId="0" applyFont="1" applyFill="1" applyBorder="1" applyAlignment="1">
      <alignment horizontal="center"/>
    </xf>
    <xf numFmtId="0" fontId="49" fillId="3" borderId="0" xfId="0" applyFont="1" applyFill="1"/>
    <xf numFmtId="0" fontId="28" fillId="8" borderId="1" xfId="0" applyFont="1" applyFill="1" applyBorder="1" applyAlignment="1">
      <alignment horizontal="center" vertical="center" wrapText="1"/>
    </xf>
    <xf numFmtId="10" fontId="43" fillId="6" borderId="0" xfId="0" applyNumberFormat="1" applyFont="1" applyFill="1" applyAlignment="1">
      <alignment horizontal="center"/>
    </xf>
    <xf numFmtId="0" fontId="44" fillId="6" borderId="0" xfId="0" applyFont="1" applyFill="1" applyAlignment="1">
      <alignment horizontal="center" vertical="center"/>
    </xf>
    <xf numFmtId="0" fontId="43" fillId="6" borderId="0" xfId="0" applyFont="1" applyFill="1" applyAlignment="1">
      <alignment horizontal="center" wrapText="1"/>
    </xf>
    <xf numFmtId="10" fontId="43" fillId="6" borderId="0" xfId="0" applyNumberFormat="1" applyFont="1" applyFill="1"/>
    <xf numFmtId="1" fontId="3" fillId="3" borderId="0" xfId="0" applyNumberFormat="1" applyFont="1" applyFill="1"/>
    <xf numFmtId="0" fontId="36" fillId="3" borderId="0" xfId="0" applyFont="1" applyFill="1"/>
    <xf numFmtId="1" fontId="0" fillId="3" borderId="0" xfId="0" applyNumberFormat="1" applyFill="1"/>
    <xf numFmtId="1" fontId="18" fillId="3" borderId="0" xfId="0" applyNumberFormat="1" applyFont="1" applyFill="1"/>
    <xf numFmtId="1" fontId="17" fillId="3" borderId="0" xfId="0" applyNumberFormat="1" applyFont="1" applyFill="1"/>
    <xf numFmtId="10" fontId="34" fillId="3" borderId="0" xfId="0" applyNumberFormat="1" applyFont="1" applyFill="1"/>
    <xf numFmtId="1" fontId="44" fillId="3" borderId="1" xfId="0" applyNumberFormat="1" applyFont="1" applyFill="1" applyBorder="1" applyAlignment="1">
      <alignment horizontal="center" vertical="center"/>
    </xf>
    <xf numFmtId="1" fontId="44" fillId="3" borderId="2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wrapText="1"/>
    </xf>
    <xf numFmtId="0" fontId="4" fillId="9" borderId="38" xfId="0" applyFont="1" applyFill="1" applyBorder="1" applyAlignment="1">
      <alignment horizontal="center" vertical="center"/>
    </xf>
    <xf numFmtId="0" fontId="4" fillId="9" borderId="45" xfId="0" applyFont="1" applyFill="1" applyBorder="1" applyAlignment="1">
      <alignment horizontal="center" vertical="center"/>
    </xf>
    <xf numFmtId="0" fontId="4" fillId="9" borderId="105" xfId="0" applyFont="1" applyFill="1" applyBorder="1" applyAlignment="1">
      <alignment horizontal="center" vertical="center"/>
    </xf>
    <xf numFmtId="0" fontId="56" fillId="0" borderId="0" xfId="0" applyFont="1" applyAlignment="1">
      <alignment horizontal="left" vertical="center"/>
    </xf>
    <xf numFmtId="0" fontId="0" fillId="3" borderId="0" xfId="0" applyFill="1" applyAlignment="1">
      <alignment horizontal="right"/>
    </xf>
    <xf numFmtId="0" fontId="50" fillId="6" borderId="0" xfId="0" applyFont="1" applyFill="1" applyAlignment="1">
      <alignment horizontal="left"/>
    </xf>
    <xf numFmtId="0" fontId="48" fillId="0" borderId="0" xfId="0" applyFont="1"/>
    <xf numFmtId="0" fontId="48" fillId="3" borderId="0" xfId="0" applyFont="1" applyFill="1" applyAlignment="1">
      <alignment horizontal="center" vertical="center"/>
    </xf>
    <xf numFmtId="3" fontId="62" fillId="3" borderId="0" xfId="0" applyNumberFormat="1" applyFont="1" applyFill="1" applyAlignment="1">
      <alignment horizontal="center" vertical="center"/>
    </xf>
    <xf numFmtId="0" fontId="63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5" fillId="20" borderId="0" xfId="0" applyFont="1" applyFill="1" applyAlignment="1">
      <alignment horizontal="center"/>
    </xf>
    <xf numFmtId="0" fontId="50" fillId="3" borderId="0" xfId="0" applyFont="1" applyFill="1"/>
    <xf numFmtId="0" fontId="58" fillId="3" borderId="0" xfId="0" applyFont="1" applyFill="1"/>
    <xf numFmtId="0" fontId="68" fillId="0" borderId="0" xfId="0" applyFont="1"/>
    <xf numFmtId="0" fontId="68" fillId="3" borderId="0" xfId="0" applyFont="1" applyFill="1"/>
    <xf numFmtId="0" fontId="0" fillId="3" borderId="46" xfId="0" applyFill="1" applyBorder="1"/>
    <xf numFmtId="0" fontId="52" fillId="3" borderId="0" xfId="0" applyFont="1" applyFill="1" applyAlignment="1">
      <alignment horizontal="center"/>
    </xf>
    <xf numFmtId="0" fontId="43" fillId="6" borderId="15" xfId="0" applyFont="1" applyFill="1" applyBorder="1" applyAlignment="1">
      <alignment horizontal="center" vertical="center"/>
    </xf>
    <xf numFmtId="0" fontId="0" fillId="3" borderId="90" xfId="0" applyFill="1" applyBorder="1"/>
    <xf numFmtId="0" fontId="43" fillId="6" borderId="91" xfId="0" applyFont="1" applyFill="1" applyBorder="1" applyAlignment="1">
      <alignment horizontal="center" vertical="center"/>
    </xf>
    <xf numFmtId="0" fontId="0" fillId="3" borderId="27" xfId="0" applyFill="1" applyBorder="1"/>
    <xf numFmtId="0" fontId="43" fillId="6" borderId="108" xfId="0" applyFont="1" applyFill="1" applyBorder="1" applyAlignment="1">
      <alignment horizontal="center" vertical="center"/>
    </xf>
    <xf numFmtId="0" fontId="0" fillId="3" borderId="10" xfId="0" applyFill="1" applyBorder="1"/>
    <xf numFmtId="0" fontId="0" fillId="3" borderId="111" xfId="0" applyFill="1" applyBorder="1"/>
    <xf numFmtId="0" fontId="0" fillId="3" borderId="112" xfId="0" applyFill="1" applyBorder="1"/>
    <xf numFmtId="1" fontId="0" fillId="0" borderId="1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wrapText="1"/>
    </xf>
    <xf numFmtId="3" fontId="2" fillId="0" borderId="2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0" fontId="50" fillId="3" borderId="0" xfId="0" applyFont="1" applyFill="1" applyAlignment="1">
      <alignment horizontal="center" vertical="center"/>
    </xf>
    <xf numFmtId="0" fontId="4" fillId="10" borderId="113" xfId="0" applyFont="1" applyFill="1" applyBorder="1" applyAlignment="1">
      <alignment horizontal="center" vertical="center" wrapText="1"/>
    </xf>
    <xf numFmtId="0" fontId="4" fillId="10" borderId="115" xfId="0" applyFont="1" applyFill="1" applyBorder="1" applyAlignment="1">
      <alignment horizontal="center" vertical="center"/>
    </xf>
    <xf numFmtId="0" fontId="4" fillId="10" borderId="109" xfId="0" applyFont="1" applyFill="1" applyBorder="1" applyAlignment="1">
      <alignment horizontal="center" vertical="center"/>
    </xf>
    <xf numFmtId="0" fontId="4" fillId="10" borderId="116" xfId="0" applyFont="1" applyFill="1" applyBorder="1" applyAlignment="1">
      <alignment horizontal="center" vertical="center"/>
    </xf>
    <xf numFmtId="3" fontId="2" fillId="0" borderId="120" xfId="0" applyNumberFormat="1" applyFont="1" applyBorder="1" applyAlignment="1">
      <alignment horizontal="center" vertical="center"/>
    </xf>
    <xf numFmtId="0" fontId="0" fillId="4" borderId="109" xfId="0" applyFill="1" applyBorder="1"/>
    <xf numFmtId="0" fontId="0" fillId="4" borderId="18" xfId="0" applyFill="1" applyBorder="1"/>
    <xf numFmtId="0" fontId="28" fillId="18" borderId="117" xfId="0" applyFont="1" applyFill="1" applyBorder="1" applyAlignment="1">
      <alignment horizontal="center" vertical="center" wrapText="1"/>
    </xf>
    <xf numFmtId="0" fontId="31" fillId="17" borderId="127" xfId="0" applyFont="1" applyFill="1" applyBorder="1" applyAlignment="1">
      <alignment horizontal="center" vertical="center"/>
    </xf>
    <xf numFmtId="0" fontId="3" fillId="0" borderId="117" xfId="0" applyFont="1" applyBorder="1" applyAlignment="1">
      <alignment horizontal="center" vertical="center"/>
    </xf>
    <xf numFmtId="1" fontId="0" fillId="0" borderId="127" xfId="0" applyNumberFormat="1" applyBorder="1" applyAlignment="1">
      <alignment horizontal="center" vertical="center"/>
    </xf>
    <xf numFmtId="0" fontId="3" fillId="0" borderId="128" xfId="0" applyFont="1" applyBorder="1" applyAlignment="1">
      <alignment horizontal="center" vertical="center"/>
    </xf>
    <xf numFmtId="1" fontId="0" fillId="0" borderId="120" xfId="0" applyNumberFormat="1" applyBorder="1" applyAlignment="1">
      <alignment horizontal="center" vertical="center"/>
    </xf>
    <xf numFmtId="1" fontId="0" fillId="0" borderId="129" xfId="0" applyNumberFormat="1" applyBorder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10" fontId="34" fillId="3" borderId="0" xfId="0" applyNumberFormat="1" applyFont="1" applyFill="1" applyAlignment="1">
      <alignment horizontal="center" vertical="center"/>
    </xf>
    <xf numFmtId="0" fontId="28" fillId="8" borderId="117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16" fillId="6" borderId="110" xfId="0" applyFont="1" applyFill="1" applyBorder="1"/>
    <xf numFmtId="0" fontId="0" fillId="3" borderId="131" xfId="0" applyFill="1" applyBorder="1"/>
    <xf numFmtId="2" fontId="44" fillId="3" borderId="1" xfId="0" applyNumberFormat="1" applyFont="1" applyFill="1" applyBorder="1" applyAlignment="1">
      <alignment horizontal="center" vertical="center"/>
    </xf>
    <xf numFmtId="0" fontId="23" fillId="11" borderId="50" xfId="0" applyFont="1" applyFill="1" applyBorder="1" applyAlignment="1">
      <alignment horizontal="center" vertical="center" wrapText="1"/>
    </xf>
    <xf numFmtId="0" fontId="4" fillId="8" borderId="50" xfId="0" applyFont="1" applyFill="1" applyBorder="1" applyAlignment="1">
      <alignment horizontal="center" vertical="center" wrapText="1"/>
    </xf>
    <xf numFmtId="3" fontId="4" fillId="8" borderId="50" xfId="0" applyNumberFormat="1" applyFont="1" applyFill="1" applyBorder="1" applyAlignment="1">
      <alignment horizontal="center" vertical="center" wrapText="1"/>
    </xf>
    <xf numFmtId="0" fontId="4" fillId="9" borderId="50" xfId="0" applyFont="1" applyFill="1" applyBorder="1" applyAlignment="1">
      <alignment horizontal="center" vertical="center" wrapText="1"/>
    </xf>
    <xf numFmtId="3" fontId="4" fillId="9" borderId="50" xfId="0" applyNumberFormat="1" applyFont="1" applyFill="1" applyBorder="1" applyAlignment="1">
      <alignment horizontal="center" vertical="center" wrapText="1"/>
    </xf>
    <xf numFmtId="0" fontId="4" fillId="10" borderId="50" xfId="0" applyFont="1" applyFill="1" applyBorder="1" applyAlignment="1">
      <alignment horizontal="center" vertical="center" wrapText="1"/>
    </xf>
    <xf numFmtId="3" fontId="4" fillId="10" borderId="50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11" borderId="29" xfId="0" applyFont="1" applyFill="1" applyBorder="1" applyAlignment="1">
      <alignment horizontal="center" vertical="center" wrapText="1"/>
    </xf>
    <xf numFmtId="0" fontId="4" fillId="11" borderId="30" xfId="0" applyFont="1" applyFill="1" applyBorder="1" applyAlignment="1">
      <alignment horizontal="center" vertical="center" wrapText="1"/>
    </xf>
    <xf numFmtId="0" fontId="4" fillId="14" borderId="30" xfId="0" applyFont="1" applyFill="1" applyBorder="1" applyAlignment="1">
      <alignment horizontal="center" vertical="center" wrapText="1"/>
    </xf>
    <xf numFmtId="0" fontId="4" fillId="11" borderId="3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8" borderId="29" xfId="0" applyFont="1" applyFill="1" applyBorder="1" applyAlignment="1">
      <alignment horizontal="center" vertical="center" wrapText="1"/>
    </xf>
    <xf numFmtId="0" fontId="4" fillId="8" borderId="30" xfId="0" applyFont="1" applyFill="1" applyBorder="1" applyAlignment="1">
      <alignment horizontal="center" vertical="center" wrapText="1"/>
    </xf>
    <xf numFmtId="0" fontId="4" fillId="16" borderId="30" xfId="0" applyFont="1" applyFill="1" applyBorder="1" applyAlignment="1">
      <alignment horizontal="center" vertical="center" wrapText="1"/>
    </xf>
    <xf numFmtId="0" fontId="4" fillId="8" borderId="31" xfId="0" applyFont="1" applyFill="1" applyBorder="1" applyAlignment="1">
      <alignment horizontal="center" vertical="center" wrapText="1"/>
    </xf>
    <xf numFmtId="0" fontId="4" fillId="9" borderId="29" xfId="0" applyFont="1" applyFill="1" applyBorder="1" applyAlignment="1">
      <alignment horizontal="center" vertical="center" wrapText="1"/>
    </xf>
    <xf numFmtId="0" fontId="4" fillId="9" borderId="30" xfId="0" applyFont="1" applyFill="1" applyBorder="1" applyAlignment="1">
      <alignment horizontal="center" vertical="center" wrapText="1"/>
    </xf>
    <xf numFmtId="0" fontId="4" fillId="9" borderId="31" xfId="0" applyFont="1" applyFill="1" applyBorder="1" applyAlignment="1">
      <alignment horizontal="center" vertical="center" wrapText="1"/>
    </xf>
    <xf numFmtId="0" fontId="4" fillId="10" borderId="29" xfId="0" applyFont="1" applyFill="1" applyBorder="1" applyAlignment="1">
      <alignment horizontal="center" vertical="center" wrapText="1"/>
    </xf>
    <xf numFmtId="0" fontId="4" fillId="10" borderId="30" xfId="0" applyFont="1" applyFill="1" applyBorder="1" applyAlignment="1">
      <alignment horizontal="center" vertical="center" wrapText="1"/>
    </xf>
    <xf numFmtId="0" fontId="4" fillId="10" borderId="31" xfId="0" applyFont="1" applyFill="1" applyBorder="1" applyAlignment="1">
      <alignment horizontal="center" vertical="center" wrapText="1"/>
    </xf>
    <xf numFmtId="0" fontId="2" fillId="3" borderId="101" xfId="0" applyFont="1" applyFill="1" applyBorder="1" applyAlignment="1">
      <alignment horizontal="center" vertical="center"/>
    </xf>
    <xf numFmtId="3" fontId="41" fillId="3" borderId="0" xfId="0" applyNumberFormat="1" applyFont="1" applyFill="1" applyAlignment="1">
      <alignment horizontal="center" vertical="center"/>
    </xf>
    <xf numFmtId="1" fontId="41" fillId="3" borderId="0" xfId="0" applyNumberFormat="1" applyFont="1" applyFill="1" applyAlignment="1">
      <alignment horizontal="center"/>
    </xf>
    <xf numFmtId="4" fontId="41" fillId="3" borderId="0" xfId="0" applyNumberFormat="1" applyFont="1" applyFill="1" applyAlignment="1">
      <alignment horizontal="center" vertical="center"/>
    </xf>
    <xf numFmtId="1" fontId="2" fillId="15" borderId="54" xfId="0" applyNumberFormat="1" applyFont="1" applyFill="1" applyBorder="1" applyAlignment="1">
      <alignment horizontal="center" vertical="center"/>
    </xf>
    <xf numFmtId="3" fontId="1" fillId="3" borderId="0" xfId="0" applyNumberFormat="1" applyFont="1" applyFill="1" applyAlignment="1">
      <alignment horizontal="left" vertical="center"/>
    </xf>
    <xf numFmtId="4" fontId="1" fillId="3" borderId="0" xfId="0" applyNumberFormat="1" applyFont="1" applyFill="1" applyAlignment="1">
      <alignment horizontal="center" vertical="center"/>
    </xf>
    <xf numFmtId="4" fontId="2" fillId="3" borderId="0" xfId="0" applyNumberFormat="1" applyFont="1" applyFill="1" applyAlignment="1">
      <alignment horizontal="center" vertical="center"/>
    </xf>
    <xf numFmtId="4" fontId="2" fillId="3" borderId="101" xfId="0" applyNumberFormat="1" applyFont="1" applyFill="1" applyBorder="1" applyAlignment="1">
      <alignment horizontal="center" vertical="center"/>
    </xf>
    <xf numFmtId="0" fontId="28" fillId="3" borderId="0" xfId="0" applyFont="1" applyFill="1" applyAlignment="1">
      <alignment horizontal="center" vertical="center"/>
    </xf>
    <xf numFmtId="0" fontId="1" fillId="3" borderId="101" xfId="0" applyFont="1" applyFill="1" applyBorder="1"/>
    <xf numFmtId="0" fontId="1" fillId="6" borderId="0" xfId="0" applyFont="1" applyFill="1"/>
    <xf numFmtId="0" fontId="1" fillId="6" borderId="18" xfId="0" applyFont="1" applyFill="1" applyBorder="1"/>
    <xf numFmtId="0" fontId="1" fillId="3" borderId="18" xfId="0" applyFont="1" applyFill="1" applyBorder="1"/>
    <xf numFmtId="11" fontId="1" fillId="6" borderId="0" xfId="0" applyNumberFormat="1" applyFont="1" applyFill="1"/>
    <xf numFmtId="11" fontId="1" fillId="3" borderId="0" xfId="0" applyNumberFormat="1" applyFont="1" applyFill="1"/>
    <xf numFmtId="0" fontId="21" fillId="6" borderId="0" xfId="0" applyFont="1" applyFill="1"/>
    <xf numFmtId="0" fontId="1" fillId="3" borderId="3" xfId="0" applyFont="1" applyFill="1" applyBorder="1" applyAlignment="1">
      <alignment horizontal="right" vertical="center"/>
    </xf>
    <xf numFmtId="2" fontId="1" fillId="3" borderId="4" xfId="0" applyNumberFormat="1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166" fontId="1" fillId="3" borderId="0" xfId="0" applyNumberFormat="1" applyFont="1" applyFill="1" applyAlignment="1">
      <alignment vertical="center"/>
    </xf>
    <xf numFmtId="0" fontId="24" fillId="3" borderId="0" xfId="0" applyFont="1" applyFill="1"/>
    <xf numFmtId="0" fontId="4" fillId="10" borderId="114" xfId="0" applyFont="1" applyFill="1" applyBorder="1" applyAlignment="1">
      <alignment horizontal="center" vertical="center" wrapText="1"/>
    </xf>
    <xf numFmtId="0" fontId="1" fillId="0" borderId="117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98" xfId="0" applyFont="1" applyFill="1" applyBorder="1" applyAlignment="1">
      <alignment horizontal="center" vertical="center"/>
    </xf>
    <xf numFmtId="1" fontId="24" fillId="0" borderId="1" xfId="0" applyNumberFormat="1" applyFont="1" applyBorder="1" applyAlignment="1">
      <alignment horizontal="center" vertical="center"/>
    </xf>
    <xf numFmtId="1" fontId="24" fillId="0" borderId="1" xfId="0" applyNumberFormat="1" applyFont="1" applyBorder="1" applyAlignment="1">
      <alignment horizontal="center" wrapText="1"/>
    </xf>
    <xf numFmtId="0" fontId="1" fillId="0" borderId="118" xfId="0" applyFont="1" applyBorder="1" applyAlignment="1">
      <alignment horizontal="center" vertical="center"/>
    </xf>
    <xf numFmtId="0" fontId="1" fillId="6" borderId="84" xfId="0" applyFont="1" applyFill="1" applyBorder="1" applyAlignment="1">
      <alignment horizontal="center" vertical="center"/>
    </xf>
    <xf numFmtId="1" fontId="24" fillId="0" borderId="2" xfId="0" applyNumberFormat="1" applyFont="1" applyBorder="1" applyAlignment="1">
      <alignment horizontal="center" wrapText="1"/>
    </xf>
    <xf numFmtId="1" fontId="24" fillId="0" borderId="12" xfId="0" applyNumberFormat="1" applyFont="1" applyBorder="1" applyAlignment="1">
      <alignment horizontal="center" wrapText="1"/>
    </xf>
    <xf numFmtId="0" fontId="1" fillId="6" borderId="119" xfId="0" applyFont="1" applyFill="1" applyBorder="1" applyAlignment="1">
      <alignment horizontal="center" vertical="center"/>
    </xf>
    <xf numFmtId="0" fontId="1" fillId="6" borderId="99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1" fontId="24" fillId="0" borderId="120" xfId="0" applyNumberFormat="1" applyFont="1" applyBorder="1" applyAlignment="1">
      <alignment horizontal="center" vertical="center"/>
    </xf>
    <xf numFmtId="0" fontId="1" fillId="6" borderId="106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18" xfId="0" applyFont="1" applyFill="1" applyBorder="1" applyAlignment="1">
      <alignment vertical="center"/>
    </xf>
    <xf numFmtId="0" fontId="1" fillId="6" borderId="107" xfId="0" applyFont="1" applyFill="1" applyBorder="1" applyAlignment="1">
      <alignment horizontal="center" vertical="center"/>
    </xf>
    <xf numFmtId="0" fontId="1" fillId="6" borderId="67" xfId="0" applyFont="1" applyFill="1" applyBorder="1" applyAlignment="1">
      <alignment horizontal="center" vertical="center"/>
    </xf>
    <xf numFmtId="1" fontId="24" fillId="0" borderId="1" xfId="0" applyNumberFormat="1" applyFont="1" applyBorder="1"/>
    <xf numFmtId="1" fontId="24" fillId="0" borderId="0" xfId="0" applyNumberFormat="1" applyFont="1"/>
    <xf numFmtId="3" fontId="2" fillId="0" borderId="2" xfId="0" applyNumberFormat="1" applyFont="1" applyBorder="1"/>
    <xf numFmtId="0" fontId="1" fillId="0" borderId="13" xfId="0" applyFont="1" applyBorder="1"/>
    <xf numFmtId="0" fontId="4" fillId="11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8" borderId="43" xfId="0" applyFont="1" applyFill="1" applyBorder="1" applyAlignment="1">
      <alignment horizontal="center" vertical="center" wrapText="1"/>
    </xf>
    <xf numFmtId="3" fontId="4" fillId="8" borderId="39" xfId="0" applyNumberFormat="1" applyFont="1" applyFill="1" applyBorder="1" applyAlignment="1">
      <alignment horizontal="center" vertical="center" wrapText="1"/>
    </xf>
    <xf numFmtId="0" fontId="24" fillId="0" borderId="78" xfId="0" applyFont="1" applyBorder="1"/>
    <xf numFmtId="0" fontId="24" fillId="0" borderId="79" xfId="0" applyFont="1" applyBorder="1"/>
    <xf numFmtId="0" fontId="24" fillId="0" borderId="80" xfId="0" applyFont="1" applyBorder="1"/>
    <xf numFmtId="0" fontId="4" fillId="9" borderId="95" xfId="0" applyFont="1" applyFill="1" applyBorder="1" applyAlignment="1">
      <alignment horizontal="center" vertical="center" wrapText="1"/>
    </xf>
    <xf numFmtId="3" fontId="4" fillId="9" borderId="53" xfId="0" applyNumberFormat="1" applyFont="1" applyFill="1" applyBorder="1" applyAlignment="1">
      <alignment horizontal="center" vertical="center" wrapText="1"/>
    </xf>
    <xf numFmtId="0" fontId="24" fillId="0" borderId="82" xfId="0" applyFont="1" applyBorder="1"/>
    <xf numFmtId="3" fontId="23" fillId="9" borderId="53" xfId="0" applyNumberFormat="1" applyFont="1" applyFill="1" applyBorder="1" applyAlignment="1">
      <alignment horizontal="center"/>
    </xf>
    <xf numFmtId="10" fontId="23" fillId="9" borderId="53" xfId="0" applyNumberFormat="1" applyFont="1" applyFill="1" applyBorder="1" applyAlignment="1">
      <alignment horizontal="center"/>
    </xf>
    <xf numFmtId="0" fontId="4" fillId="10" borderId="52" xfId="0" applyFont="1" applyFill="1" applyBorder="1" applyAlignment="1">
      <alignment horizontal="center" vertical="center" wrapText="1"/>
    </xf>
    <xf numFmtId="3" fontId="4" fillId="10" borderId="53" xfId="0" applyNumberFormat="1" applyFont="1" applyFill="1" applyBorder="1" applyAlignment="1">
      <alignment horizontal="center" vertical="center" wrapText="1"/>
    </xf>
    <xf numFmtId="3" fontId="23" fillId="19" borderId="53" xfId="0" applyNumberFormat="1" applyFont="1" applyFill="1" applyBorder="1" applyAlignment="1">
      <alignment horizontal="center"/>
    </xf>
    <xf numFmtId="10" fontId="23" fillId="19" borderId="53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5" borderId="12" xfId="0" applyFont="1" applyFill="1" applyBorder="1"/>
    <xf numFmtId="0" fontId="4" fillId="5" borderId="17" xfId="0" applyFont="1" applyFill="1" applyBorder="1"/>
    <xf numFmtId="0" fontId="4" fillId="5" borderId="9" xfId="0" applyFont="1" applyFill="1" applyBorder="1"/>
    <xf numFmtId="0" fontId="4" fillId="5" borderId="7" xfId="0" applyFont="1" applyFill="1" applyBorder="1"/>
    <xf numFmtId="0" fontId="4" fillId="5" borderId="11" xfId="0" applyFont="1" applyFill="1" applyBorder="1"/>
    <xf numFmtId="0" fontId="4" fillId="5" borderId="8" xfId="0" applyFont="1" applyFill="1" applyBorder="1"/>
    <xf numFmtId="0" fontId="4" fillId="5" borderId="10" xfId="0" applyFont="1" applyFill="1" applyBorder="1"/>
    <xf numFmtId="0" fontId="4" fillId="0" borderId="9" xfId="0" applyFont="1" applyBorder="1"/>
    <xf numFmtId="0" fontId="4" fillId="0" borderId="10" xfId="0" applyFont="1" applyBorder="1"/>
    <xf numFmtId="0" fontId="4" fillId="3" borderId="0" xfId="0" applyFont="1" applyFill="1"/>
    <xf numFmtId="0" fontId="1" fillId="3" borderId="0" xfId="0" applyFont="1" applyFill="1" applyAlignment="1">
      <alignment horizontal="left" vertical="center"/>
    </xf>
    <xf numFmtId="0" fontId="3" fillId="0" borderId="117" xfId="0" applyFont="1" applyBorder="1" applyAlignment="1">
      <alignment horizontal="center" wrapText="1"/>
    </xf>
    <xf numFmtId="1" fontId="0" fillId="0" borderId="127" xfId="0" applyNumberFormat="1" applyBorder="1" applyAlignment="1">
      <alignment horizontal="center" wrapText="1"/>
    </xf>
    <xf numFmtId="0" fontId="3" fillId="0" borderId="132" xfId="0" applyFont="1" applyBorder="1" applyAlignment="1">
      <alignment horizontal="center" wrapText="1"/>
    </xf>
    <xf numFmtId="0" fontId="3" fillId="0" borderId="133" xfId="0" applyFont="1" applyBorder="1" applyAlignment="1">
      <alignment horizontal="center" wrapText="1"/>
    </xf>
    <xf numFmtId="1" fontId="24" fillId="0" borderId="134" xfId="0" applyNumberFormat="1" applyFont="1" applyBorder="1" applyAlignment="1">
      <alignment horizontal="center" wrapText="1"/>
    </xf>
    <xf numFmtId="3" fontId="2" fillId="0" borderId="134" xfId="0" applyNumberFormat="1" applyFont="1" applyBorder="1" applyAlignment="1">
      <alignment horizontal="center"/>
    </xf>
    <xf numFmtId="1" fontId="0" fillId="0" borderId="135" xfId="0" applyNumberFormat="1" applyBorder="1" applyAlignment="1">
      <alignment horizontal="center" wrapText="1"/>
    </xf>
    <xf numFmtId="1" fontId="0" fillId="0" borderId="120" xfId="0" applyNumberFormat="1" applyBorder="1" applyAlignment="1">
      <alignment horizontal="center" wrapText="1"/>
    </xf>
    <xf numFmtId="1" fontId="0" fillId="0" borderId="129" xfId="0" applyNumberFormat="1" applyBorder="1" applyAlignment="1">
      <alignment horizontal="center" wrapText="1"/>
    </xf>
    <xf numFmtId="1" fontId="3" fillId="3" borderId="0" xfId="0" applyNumberFormat="1" applyFon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1" fillId="6" borderId="102" xfId="0" applyFont="1" applyFill="1" applyBorder="1"/>
    <xf numFmtId="0" fontId="43" fillId="6" borderId="102" xfId="0" applyFont="1" applyFill="1" applyBorder="1"/>
    <xf numFmtId="0" fontId="0" fillId="3" borderId="102" xfId="0" applyFill="1" applyBorder="1"/>
    <xf numFmtId="0" fontId="43" fillId="6" borderId="102" xfId="0" applyFont="1" applyFill="1" applyBorder="1" applyAlignment="1">
      <alignment horizontal="right"/>
    </xf>
    <xf numFmtId="0" fontId="0" fillId="3" borderId="136" xfId="0" applyFill="1" applyBorder="1"/>
    <xf numFmtId="0" fontId="0" fillId="3" borderId="137" xfId="0" applyFill="1" applyBorder="1"/>
    <xf numFmtId="0" fontId="3" fillId="0" borderId="4" xfId="0" applyFont="1" applyBorder="1"/>
    <xf numFmtId="0" fontId="3" fillId="0" borderId="28" xfId="0" applyFont="1" applyBorder="1"/>
    <xf numFmtId="0" fontId="4" fillId="9" borderId="4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84" xfId="0" applyFont="1" applyBorder="1" applyAlignment="1">
      <alignment horizontal="center" vertical="center"/>
    </xf>
    <xf numFmtId="0" fontId="52" fillId="3" borderId="0" xfId="0" applyFont="1" applyFill="1" applyAlignment="1">
      <alignment horizontal="left"/>
    </xf>
    <xf numFmtId="0" fontId="16" fillId="3" borderId="59" xfId="0" applyFont="1" applyFill="1" applyBorder="1" applyAlignment="1">
      <alignment horizontal="center"/>
    </xf>
    <xf numFmtId="0" fontId="16" fillId="3" borderId="5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18" xfId="0" applyFont="1" applyFill="1" applyBorder="1" applyAlignment="1">
      <alignment horizontal="center"/>
    </xf>
    <xf numFmtId="11" fontId="1" fillId="3" borderId="0" xfId="0" applyNumberFormat="1" applyFont="1" applyFill="1" applyAlignment="1">
      <alignment horizontal="center" vertical="center"/>
    </xf>
    <xf numFmtId="0" fontId="16" fillId="3" borderId="59" xfId="0" applyFont="1" applyFill="1" applyBorder="1" applyAlignment="1">
      <alignment horizontal="left" vertical="center"/>
    </xf>
    <xf numFmtId="0" fontId="44" fillId="6" borderId="12" xfId="0" applyFont="1" applyFill="1" applyBorder="1" applyAlignment="1">
      <alignment horizontal="center"/>
    </xf>
    <xf numFmtId="10" fontId="43" fillId="6" borderId="12" xfId="0" applyNumberFormat="1" applyFont="1" applyFill="1" applyBorder="1" applyAlignment="1">
      <alignment horizontal="center"/>
    </xf>
    <xf numFmtId="0" fontId="19" fillId="3" borderId="0" xfId="0" applyFont="1" applyFill="1"/>
    <xf numFmtId="0" fontId="19" fillId="3" borderId="112" xfId="0" applyFont="1" applyFill="1" applyBorder="1"/>
    <xf numFmtId="0" fontId="28" fillId="9" borderId="117" xfId="0" applyFont="1" applyFill="1" applyBorder="1" applyAlignment="1">
      <alignment horizontal="center" vertical="center" wrapText="1"/>
    </xf>
    <xf numFmtId="0" fontId="28" fillId="9" borderId="1" xfId="0" applyFont="1" applyFill="1" applyBorder="1" applyAlignment="1">
      <alignment horizontal="center" vertical="center" wrapText="1"/>
    </xf>
    <xf numFmtId="0" fontId="1" fillId="6" borderId="88" xfId="0" applyFont="1" applyFill="1" applyBorder="1" applyAlignment="1">
      <alignment horizontal="center" vertical="center"/>
    </xf>
    <xf numFmtId="0" fontId="1" fillId="3" borderId="85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11" fontId="1" fillId="3" borderId="18" xfId="0" applyNumberFormat="1" applyFont="1" applyFill="1" applyBorder="1" applyAlignment="1">
      <alignment horizontal="center" vertical="center"/>
    </xf>
    <xf numFmtId="0" fontId="44" fillId="6" borderId="12" xfId="0" applyFont="1" applyFill="1" applyBorder="1" applyAlignment="1">
      <alignment horizontal="center" vertical="center"/>
    </xf>
    <xf numFmtId="10" fontId="43" fillId="6" borderId="12" xfId="0" applyNumberFormat="1" applyFont="1" applyFill="1" applyBorder="1" applyAlignment="1">
      <alignment horizontal="center" vertical="center"/>
    </xf>
    <xf numFmtId="10" fontId="43" fillId="6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Border="1"/>
    <xf numFmtId="9" fontId="3" fillId="0" borderId="1" xfId="0" applyNumberFormat="1" applyFont="1" applyBorder="1"/>
    <xf numFmtId="168" fontId="0" fillId="0" borderId="0" xfId="0" applyNumberFormat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2" fontId="2" fillId="0" borderId="0" xfId="0" applyNumberFormat="1" applyFont="1"/>
    <xf numFmtId="43" fontId="0" fillId="0" borderId="0" xfId="0" applyNumberFormat="1" applyAlignment="1">
      <alignment horizontal="center"/>
    </xf>
    <xf numFmtId="43" fontId="0" fillId="0" borderId="0" xfId="0" applyNumberFormat="1"/>
    <xf numFmtId="2" fontId="3" fillId="0" borderId="0" xfId="0" applyNumberFormat="1" applyFont="1" applyAlignment="1">
      <alignment horizontal="center"/>
    </xf>
    <xf numFmtId="2" fontId="3" fillId="0" borderId="0" xfId="0" applyNumberFormat="1" applyFont="1"/>
    <xf numFmtId="2" fontId="41" fillId="0" borderId="0" xfId="0" applyNumberFormat="1" applyFont="1"/>
    <xf numFmtId="0" fontId="77" fillId="0" borderId="0" xfId="0" applyFont="1"/>
    <xf numFmtId="43" fontId="75" fillId="21" borderId="0" xfId="0" applyNumberFormat="1" applyFont="1" applyFill="1"/>
    <xf numFmtId="43" fontId="0" fillId="21" borderId="0" xfId="0" applyNumberFormat="1" applyFill="1" applyAlignment="1">
      <alignment horizontal="center"/>
    </xf>
    <xf numFmtId="43" fontId="0" fillId="22" borderId="0" xfId="0" applyNumberFormat="1" applyFill="1"/>
    <xf numFmtId="43" fontId="0" fillId="22" borderId="0" xfId="0" applyNumberFormat="1" applyFill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43" fontId="0" fillId="0" borderId="1" xfId="0" applyNumberFormat="1" applyBorder="1"/>
    <xf numFmtId="0" fontId="4" fillId="8" borderId="1" xfId="0" applyFont="1" applyFill="1" applyBorder="1" applyAlignment="1">
      <alignment horizontal="center" vertical="center" wrapText="1"/>
    </xf>
    <xf numFmtId="2" fontId="3" fillId="0" borderId="1" xfId="0" applyNumberFormat="1" applyFont="1" applyBorder="1"/>
    <xf numFmtId="2" fontId="41" fillId="0" borderId="1" xfId="0" applyNumberFormat="1" applyFont="1" applyBorder="1"/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2" fontId="3" fillId="22" borderId="1" xfId="0" applyNumberFormat="1" applyFont="1" applyFill="1" applyBorder="1"/>
    <xf numFmtId="43" fontId="0" fillId="22" borderId="1" xfId="0" applyNumberFormat="1" applyFill="1" applyBorder="1"/>
    <xf numFmtId="0" fontId="4" fillId="0" borderId="0" xfId="0" applyFont="1" applyAlignment="1">
      <alignment horizontal="center" vertical="center" wrapText="1"/>
    </xf>
    <xf numFmtId="0" fontId="16" fillId="3" borderId="59" xfId="0" applyFont="1" applyFill="1" applyBorder="1" applyAlignment="1">
      <alignment horizontal="left" vertical="top"/>
    </xf>
    <xf numFmtId="0" fontId="1" fillId="6" borderId="15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6" fillId="6" borderId="59" xfId="0" applyFont="1" applyFill="1" applyBorder="1" applyAlignment="1">
      <alignment horizontal="center"/>
    </xf>
    <xf numFmtId="11" fontId="1" fillId="6" borderId="0" xfId="0" applyNumberFormat="1" applyFont="1" applyFill="1" applyAlignment="1">
      <alignment horizontal="center"/>
    </xf>
    <xf numFmtId="0" fontId="16" fillId="6" borderId="59" xfId="0" applyFont="1" applyFill="1" applyBorder="1" applyAlignment="1">
      <alignment horizontal="center" vertical="center"/>
    </xf>
    <xf numFmtId="11" fontId="1" fillId="6" borderId="0" xfId="0" applyNumberFormat="1" applyFont="1" applyFill="1" applyAlignment="1">
      <alignment horizontal="center" vertical="center"/>
    </xf>
    <xf numFmtId="0" fontId="36" fillId="6" borderId="0" xfId="0" applyFont="1" applyFill="1" applyAlignment="1">
      <alignment horizontal="center" vertical="center"/>
    </xf>
    <xf numFmtId="0" fontId="16" fillId="6" borderId="59" xfId="0" applyFont="1" applyFill="1" applyBorder="1" applyAlignment="1">
      <alignment horizontal="left" vertical="center"/>
    </xf>
    <xf numFmtId="0" fontId="36" fillId="6" borderId="18" xfId="0" applyFont="1" applyFill="1" applyBorder="1" applyAlignment="1">
      <alignment horizontal="center" vertical="center"/>
    </xf>
    <xf numFmtId="2" fontId="1" fillId="6" borderId="18" xfId="0" applyNumberFormat="1" applyFont="1" applyFill="1" applyBorder="1" applyAlignment="1">
      <alignment horizontal="center" vertical="center"/>
    </xf>
    <xf numFmtId="11" fontId="1" fillId="6" borderId="18" xfId="0" applyNumberFormat="1" applyFont="1" applyFill="1" applyBorder="1" applyAlignment="1">
      <alignment horizontal="center" vertical="center"/>
    </xf>
    <xf numFmtId="0" fontId="33" fillId="17" borderId="28" xfId="0" applyFont="1" applyFill="1" applyBorder="1" applyAlignment="1">
      <alignment horizontal="center" vertical="center"/>
    </xf>
    <xf numFmtId="0" fontId="29" fillId="17" borderId="28" xfId="0" applyFont="1" applyFill="1" applyBorder="1" applyAlignment="1">
      <alignment horizontal="center" vertical="center"/>
    </xf>
    <xf numFmtId="0" fontId="28" fillId="18" borderId="32" xfId="0" applyFont="1" applyFill="1" applyBorder="1" applyAlignment="1">
      <alignment horizontal="center" vertical="center" wrapText="1"/>
    </xf>
    <xf numFmtId="0" fontId="31" fillId="17" borderId="138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wrapText="1"/>
    </xf>
    <xf numFmtId="1" fontId="0" fillId="0" borderId="33" xfId="0" applyNumberFormat="1" applyBorder="1" applyAlignment="1">
      <alignment horizontal="center" wrapText="1"/>
    </xf>
    <xf numFmtId="0" fontId="3" fillId="0" borderId="34" xfId="0" applyFont="1" applyBorder="1" applyAlignment="1">
      <alignment horizontal="center" wrapText="1"/>
    </xf>
    <xf numFmtId="1" fontId="24" fillId="0" borderId="35" xfId="0" applyNumberFormat="1" applyFont="1" applyBorder="1" applyAlignment="1">
      <alignment horizontal="center" wrapText="1"/>
    </xf>
    <xf numFmtId="1" fontId="0" fillId="0" borderId="35" xfId="0" applyNumberFormat="1" applyBorder="1" applyAlignment="1">
      <alignment horizontal="center" wrapText="1"/>
    </xf>
    <xf numFmtId="1" fontId="0" fillId="0" borderId="36" xfId="0" applyNumberFormat="1" applyBorder="1" applyAlignment="1">
      <alignment horizontal="center" wrapText="1"/>
    </xf>
    <xf numFmtId="167" fontId="1" fillId="6" borderId="0" xfId="0" applyNumberFormat="1" applyFont="1" applyFill="1" applyAlignment="1">
      <alignment horizontal="center" vertical="center"/>
    </xf>
    <xf numFmtId="11" fontId="1" fillId="3" borderId="0" xfId="0" applyNumberFormat="1" applyFont="1" applyFill="1" applyAlignment="1">
      <alignment horizontal="center"/>
    </xf>
    <xf numFmtId="0" fontId="36" fillId="3" borderId="18" xfId="0" applyFont="1" applyFill="1" applyBorder="1" applyAlignment="1">
      <alignment horizontal="center" vertical="center"/>
    </xf>
    <xf numFmtId="0" fontId="36" fillId="3" borderId="0" xfId="0" applyFont="1" applyFill="1" applyAlignment="1">
      <alignment horizontal="center" vertical="center"/>
    </xf>
    <xf numFmtId="11" fontId="1" fillId="3" borderId="18" xfId="0" applyNumberFormat="1" applyFont="1" applyFill="1" applyBorder="1" applyAlignment="1">
      <alignment horizontal="center"/>
    </xf>
    <xf numFmtId="0" fontId="16" fillId="3" borderId="59" xfId="0" applyFont="1" applyFill="1" applyBorder="1" applyAlignment="1">
      <alignment horizontal="left"/>
    </xf>
    <xf numFmtId="0" fontId="0" fillId="3" borderId="140" xfId="0" applyFill="1" applyBorder="1"/>
    <xf numFmtId="0" fontId="44" fillId="3" borderId="101" xfId="0" applyFont="1" applyFill="1" applyBorder="1" applyAlignment="1">
      <alignment wrapText="1"/>
    </xf>
    <xf numFmtId="0" fontId="0" fillId="4" borderId="141" xfId="0" applyFill="1" applyBorder="1"/>
    <xf numFmtId="0" fontId="0" fillId="4" borderId="142" xfId="0" applyFill="1" applyBorder="1"/>
    <xf numFmtId="0" fontId="0" fillId="3" borderId="139" xfId="0" applyFill="1" applyBorder="1"/>
    <xf numFmtId="0" fontId="0" fillId="4" borderId="143" xfId="0" applyFill="1" applyBorder="1"/>
    <xf numFmtId="0" fontId="0" fillId="4" borderId="137" xfId="0" applyFill="1" applyBorder="1"/>
    <xf numFmtId="0" fontId="3" fillId="3" borderId="0" xfId="0" applyFont="1" applyFill="1" applyAlignment="1">
      <alignment vertical="center"/>
    </xf>
    <xf numFmtId="0" fontId="24" fillId="0" borderId="50" xfId="0" applyFont="1" applyBorder="1" applyAlignment="1">
      <alignment horizontal="center"/>
    </xf>
    <xf numFmtId="2" fontId="24" fillId="0" borderId="50" xfId="0" applyNumberFormat="1" applyFont="1" applyBorder="1" applyAlignment="1">
      <alignment horizontal="center"/>
    </xf>
    <xf numFmtId="2" fontId="26" fillId="0" borderId="50" xfId="0" applyNumberFormat="1" applyFont="1" applyBorder="1" applyAlignment="1">
      <alignment horizontal="center"/>
    </xf>
    <xf numFmtId="0" fontId="24" fillId="0" borderId="103" xfId="0" applyFont="1" applyBorder="1" applyAlignment="1">
      <alignment horizontal="center"/>
    </xf>
    <xf numFmtId="2" fontId="24" fillId="0" borderId="103" xfId="0" applyNumberFormat="1" applyFont="1" applyBorder="1" applyAlignment="1">
      <alignment horizontal="center"/>
    </xf>
    <xf numFmtId="2" fontId="26" fillId="0" borderId="103" xfId="0" applyNumberFormat="1" applyFont="1" applyBorder="1" applyAlignment="1">
      <alignment horizontal="center"/>
    </xf>
    <xf numFmtId="0" fontId="24" fillId="0" borderId="104" xfId="0" applyFont="1" applyBorder="1" applyAlignment="1">
      <alignment horizontal="center"/>
    </xf>
    <xf numFmtId="2" fontId="24" fillId="0" borderId="104" xfId="0" applyNumberFormat="1" applyFont="1" applyBorder="1" applyAlignment="1">
      <alignment horizontal="center"/>
    </xf>
    <xf numFmtId="2" fontId="26" fillId="0" borderId="104" xfId="0" applyNumberFormat="1" applyFont="1" applyBorder="1" applyAlignment="1">
      <alignment horizontal="center"/>
    </xf>
    <xf numFmtId="0" fontId="24" fillId="11" borderId="104" xfId="0" applyFont="1" applyFill="1" applyBorder="1" applyAlignment="1">
      <alignment horizontal="center"/>
    </xf>
    <xf numFmtId="2" fontId="24" fillId="11" borderId="104" xfId="0" applyNumberFormat="1" applyFont="1" applyFill="1" applyBorder="1" applyAlignment="1">
      <alignment horizontal="center"/>
    </xf>
    <xf numFmtId="3" fontId="0" fillId="0" borderId="50" xfId="0" applyNumberFormat="1" applyBorder="1" applyAlignment="1">
      <alignment horizontal="center"/>
    </xf>
    <xf numFmtId="3" fontId="26" fillId="0" borderId="50" xfId="0" applyNumberFormat="1" applyFont="1" applyBorder="1" applyAlignment="1">
      <alignment horizontal="center"/>
    </xf>
    <xf numFmtId="4" fontId="24" fillId="0" borderId="50" xfId="0" applyNumberFormat="1" applyFont="1" applyBorder="1" applyAlignment="1">
      <alignment horizontal="center"/>
    </xf>
    <xf numFmtId="4" fontId="26" fillId="0" borderId="50" xfId="0" applyNumberFormat="1" applyFont="1" applyBorder="1" applyAlignment="1">
      <alignment horizontal="center"/>
    </xf>
    <xf numFmtId="0" fontId="24" fillId="8" borderId="50" xfId="0" applyFont="1" applyFill="1" applyBorder="1" applyAlignment="1">
      <alignment horizontal="center"/>
    </xf>
    <xf numFmtId="3" fontId="0" fillId="8" borderId="50" xfId="0" applyNumberFormat="1" applyFill="1" applyBorder="1" applyAlignment="1">
      <alignment horizontal="center"/>
    </xf>
    <xf numFmtId="3" fontId="26" fillId="8" borderId="50" xfId="0" applyNumberFormat="1" applyFont="1" applyFill="1" applyBorder="1" applyAlignment="1">
      <alignment horizontal="center"/>
    </xf>
    <xf numFmtId="4" fontId="24" fillId="8" borderId="50" xfId="0" applyNumberFormat="1" applyFont="1" applyFill="1" applyBorder="1" applyAlignment="1">
      <alignment horizontal="center"/>
    </xf>
    <xf numFmtId="4" fontId="26" fillId="8" borderId="50" xfId="0" applyNumberFormat="1" applyFont="1" applyFill="1" applyBorder="1" applyAlignment="1">
      <alignment horizontal="center"/>
    </xf>
    <xf numFmtId="0" fontId="24" fillId="9" borderId="50" xfId="0" applyFont="1" applyFill="1" applyBorder="1" applyAlignment="1">
      <alignment horizontal="center"/>
    </xf>
    <xf numFmtId="3" fontId="0" fillId="9" borderId="50" xfId="0" applyNumberFormat="1" applyFill="1" applyBorder="1" applyAlignment="1">
      <alignment horizontal="center"/>
    </xf>
    <xf numFmtId="3" fontId="26" fillId="9" borderId="50" xfId="0" applyNumberFormat="1" applyFont="1" applyFill="1" applyBorder="1" applyAlignment="1">
      <alignment horizontal="center"/>
    </xf>
    <xf numFmtId="4" fontId="24" fillId="9" borderId="50" xfId="0" applyNumberFormat="1" applyFont="1" applyFill="1" applyBorder="1" applyAlignment="1">
      <alignment horizontal="center"/>
    </xf>
    <xf numFmtId="4" fontId="26" fillId="9" borderId="50" xfId="0" applyNumberFormat="1" applyFont="1" applyFill="1" applyBorder="1" applyAlignment="1">
      <alignment horizontal="center"/>
    </xf>
    <xf numFmtId="2" fontId="24" fillId="0" borderId="50" xfId="0" applyNumberFormat="1" applyFont="1" applyBorder="1" applyAlignment="1">
      <alignment horizontal="center" vertical="center"/>
    </xf>
    <xf numFmtId="2" fontId="24" fillId="9" borderId="50" xfId="0" applyNumberFormat="1" applyFont="1" applyFill="1" applyBorder="1" applyAlignment="1">
      <alignment horizontal="center"/>
    </xf>
    <xf numFmtId="2" fontId="24" fillId="8" borderId="50" xfId="0" applyNumberFormat="1" applyFont="1" applyFill="1" applyBorder="1" applyAlignment="1">
      <alignment horizontal="center"/>
    </xf>
    <xf numFmtId="3" fontId="26" fillId="0" borderId="50" xfId="0" applyNumberFormat="1" applyFont="1" applyBorder="1" applyAlignment="1">
      <alignment horizontal="center" vertical="center"/>
    </xf>
    <xf numFmtId="3" fontId="0" fillId="0" borderId="50" xfId="0" applyNumberFormat="1" applyBorder="1" applyAlignment="1">
      <alignment horizontal="center" vertical="center"/>
    </xf>
    <xf numFmtId="3" fontId="0" fillId="0" borderId="103" xfId="0" applyNumberFormat="1" applyBorder="1" applyAlignment="1">
      <alignment horizontal="center" vertical="center"/>
    </xf>
    <xf numFmtId="3" fontId="26" fillId="0" borderId="103" xfId="0" applyNumberFormat="1" applyFont="1" applyBorder="1" applyAlignment="1">
      <alignment horizontal="center" vertical="center"/>
    </xf>
    <xf numFmtId="3" fontId="25" fillId="0" borderId="104" xfId="0" applyNumberFormat="1" applyFont="1" applyBorder="1" applyAlignment="1">
      <alignment horizontal="center" vertical="center"/>
    </xf>
    <xf numFmtId="3" fontId="26" fillId="0" borderId="104" xfId="0" applyNumberFormat="1" applyFont="1" applyBorder="1" applyAlignment="1">
      <alignment horizontal="center" vertical="center"/>
    </xf>
    <xf numFmtId="3" fontId="24" fillId="11" borderId="104" xfId="0" applyNumberFormat="1" applyFont="1" applyFill="1" applyBorder="1" applyAlignment="1">
      <alignment horizontal="center"/>
    </xf>
    <xf numFmtId="0" fontId="24" fillId="10" borderId="50" xfId="0" applyFont="1" applyFill="1" applyBorder="1" applyAlignment="1">
      <alignment horizontal="center"/>
    </xf>
    <xf numFmtId="3" fontId="0" fillId="10" borderId="50" xfId="0" applyNumberFormat="1" applyFill="1" applyBorder="1" applyAlignment="1">
      <alignment horizontal="center"/>
    </xf>
    <xf numFmtId="3" fontId="26" fillId="10" borderId="50" xfId="0" applyNumberFormat="1" applyFont="1" applyFill="1" applyBorder="1" applyAlignment="1">
      <alignment horizontal="center"/>
    </xf>
    <xf numFmtId="4" fontId="24" fillId="10" borderId="50" xfId="0" applyNumberFormat="1" applyFont="1" applyFill="1" applyBorder="1" applyAlignment="1">
      <alignment horizontal="center"/>
    </xf>
    <xf numFmtId="4" fontId="26" fillId="10" borderId="50" xfId="0" applyNumberFormat="1" applyFont="1" applyFill="1" applyBorder="1" applyAlignment="1">
      <alignment horizontal="center"/>
    </xf>
    <xf numFmtId="2" fontId="24" fillId="10" borderId="50" xfId="0" applyNumberFormat="1" applyFont="1" applyFill="1" applyBorder="1" applyAlignment="1">
      <alignment horizontal="center"/>
    </xf>
    <xf numFmtId="0" fontId="1" fillId="0" borderId="41" xfId="0" applyFont="1" applyBorder="1" applyAlignment="1">
      <alignment horizontal="center" vertical="center"/>
    </xf>
    <xf numFmtId="0" fontId="4" fillId="10" borderId="38" xfId="0" applyFont="1" applyFill="1" applyBorder="1" applyAlignment="1">
      <alignment horizontal="center" vertical="center" wrapText="1"/>
    </xf>
    <xf numFmtId="0" fontId="4" fillId="10" borderId="39" xfId="0" applyFont="1" applyFill="1" applyBorder="1" applyAlignment="1">
      <alignment horizontal="center" vertical="center" wrapText="1"/>
    </xf>
    <xf numFmtId="165" fontId="2" fillId="0" borderId="28" xfId="0" applyNumberFormat="1" applyFont="1" applyBorder="1" applyAlignment="1">
      <alignment horizontal="center" vertical="center"/>
    </xf>
    <xf numFmtId="165" fontId="2" fillId="0" borderId="138" xfId="0" applyNumberFormat="1" applyFont="1" applyBorder="1" applyAlignment="1">
      <alignment horizontal="center" vertical="center"/>
    </xf>
    <xf numFmtId="2" fontId="44" fillId="3" borderId="2" xfId="0" applyNumberFormat="1" applyFont="1" applyFill="1" applyBorder="1" applyAlignment="1">
      <alignment horizontal="center" vertical="center"/>
    </xf>
    <xf numFmtId="0" fontId="4" fillId="16" borderId="38" xfId="0" applyFont="1" applyFill="1" applyBorder="1" applyAlignment="1">
      <alignment horizontal="center" vertical="center"/>
    </xf>
    <xf numFmtId="0" fontId="4" fillId="16" borderId="45" xfId="0" applyFont="1" applyFill="1" applyBorder="1" applyAlignment="1">
      <alignment horizontal="center" vertical="center"/>
    </xf>
    <xf numFmtId="0" fontId="4" fillId="16" borderId="105" xfId="0" applyFont="1" applyFill="1" applyBorder="1" applyAlignment="1">
      <alignment horizontal="center" vertical="center"/>
    </xf>
    <xf numFmtId="0" fontId="1" fillId="0" borderId="84" xfId="0" applyFont="1" applyBorder="1"/>
    <xf numFmtId="4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center"/>
    </xf>
    <xf numFmtId="10" fontId="3" fillId="9" borderId="53" xfId="0" applyNumberFormat="1" applyFont="1" applyFill="1" applyBorder="1" applyAlignment="1">
      <alignment horizontal="center"/>
    </xf>
    <xf numFmtId="10" fontId="3" fillId="19" borderId="53" xfId="0" applyNumberFormat="1" applyFont="1" applyFill="1" applyBorder="1" applyAlignment="1">
      <alignment horizontal="center"/>
    </xf>
    <xf numFmtId="0" fontId="4" fillId="11" borderId="50" xfId="0" applyFont="1" applyFill="1" applyBorder="1" applyAlignment="1">
      <alignment horizontal="center" vertical="center"/>
    </xf>
    <xf numFmtId="0" fontId="4" fillId="8" borderId="50" xfId="0" applyFont="1" applyFill="1" applyBorder="1" applyAlignment="1">
      <alignment horizontal="center" vertical="center"/>
    </xf>
    <xf numFmtId="0" fontId="4" fillId="9" borderId="50" xfId="0" applyFont="1" applyFill="1" applyBorder="1" applyAlignment="1">
      <alignment horizontal="center" vertical="center"/>
    </xf>
    <xf numFmtId="0" fontId="4" fillId="10" borderId="5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102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9" fillId="3" borderId="0" xfId="0" applyFont="1" applyFill="1" applyAlignment="1">
      <alignment horizontal="center"/>
    </xf>
    <xf numFmtId="0" fontId="19" fillId="3" borderId="112" xfId="0" applyFont="1" applyFill="1" applyBorder="1" applyAlignment="1">
      <alignment horizontal="center"/>
    </xf>
    <xf numFmtId="0" fontId="16" fillId="3" borderId="0" xfId="0" applyFont="1" applyFill="1" applyAlignment="1">
      <alignment horizontal="center"/>
    </xf>
    <xf numFmtId="0" fontId="16" fillId="6" borderId="108" xfId="0" applyFont="1" applyFill="1" applyBorder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19" fillId="3" borderId="112" xfId="0" applyFont="1" applyFill="1" applyBorder="1" applyAlignment="1">
      <alignment horizontal="center" vertical="center"/>
    </xf>
    <xf numFmtId="0" fontId="44" fillId="3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center"/>
    </xf>
    <xf numFmtId="0" fontId="29" fillId="17" borderId="125" xfId="0" applyFont="1" applyFill="1" applyBorder="1" applyAlignment="1">
      <alignment horizontal="center" vertical="center"/>
    </xf>
    <xf numFmtId="0" fontId="29" fillId="17" borderId="123" xfId="0" applyFont="1" applyFill="1" applyBorder="1" applyAlignment="1">
      <alignment horizontal="center" vertical="center"/>
    </xf>
    <xf numFmtId="0" fontId="29" fillId="17" borderId="126" xfId="0" applyFont="1" applyFill="1" applyBorder="1" applyAlignment="1">
      <alignment horizontal="center" vertical="center"/>
    </xf>
    <xf numFmtId="0" fontId="55" fillId="3" borderId="0" xfId="0" applyFont="1" applyFill="1" applyAlignment="1">
      <alignment horizontal="center"/>
    </xf>
    <xf numFmtId="0" fontId="19" fillId="3" borderId="101" xfId="0" applyFont="1" applyFill="1" applyBorder="1" applyAlignment="1">
      <alignment horizontal="center"/>
    </xf>
    <xf numFmtId="0" fontId="51" fillId="3" borderId="0" xfId="0" applyFont="1" applyFill="1" applyAlignment="1">
      <alignment horizontal="center"/>
    </xf>
    <xf numFmtId="0" fontId="52" fillId="3" borderId="0" xfId="0" applyFont="1" applyFill="1" applyAlignment="1">
      <alignment horizontal="center"/>
    </xf>
    <xf numFmtId="0" fontId="29" fillId="18" borderId="44" xfId="0" applyFont="1" applyFill="1" applyBorder="1" applyAlignment="1">
      <alignment horizontal="center" vertical="center"/>
    </xf>
    <xf numFmtId="0" fontId="29" fillId="18" borderId="45" xfId="0" applyFont="1" applyFill="1" applyBorder="1" applyAlignment="1">
      <alignment horizontal="center" vertical="center"/>
    </xf>
    <xf numFmtId="0" fontId="29" fillId="18" borderId="48" xfId="0" applyFont="1" applyFill="1" applyBorder="1" applyAlignment="1">
      <alignment horizontal="center" vertical="center"/>
    </xf>
    <xf numFmtId="0" fontId="29" fillId="18" borderId="88" xfId="0" applyFont="1" applyFill="1" applyBorder="1" applyAlignment="1">
      <alignment horizontal="center" vertical="center"/>
    </xf>
    <xf numFmtId="0" fontId="29" fillId="17" borderId="30" xfId="0" applyFont="1" applyFill="1" applyBorder="1" applyAlignment="1">
      <alignment horizontal="center" vertical="center"/>
    </xf>
    <xf numFmtId="0" fontId="29" fillId="17" borderId="31" xfId="0" applyFont="1" applyFill="1" applyBorder="1" applyAlignment="1">
      <alignment horizontal="center" vertical="center"/>
    </xf>
    <xf numFmtId="0" fontId="29" fillId="17" borderId="1" xfId="0" applyFont="1" applyFill="1" applyBorder="1" applyAlignment="1">
      <alignment horizontal="center" vertical="center"/>
    </xf>
    <xf numFmtId="0" fontId="29" fillId="17" borderId="33" xfId="0" applyFont="1" applyFill="1" applyBorder="1" applyAlignment="1">
      <alignment horizontal="center" vertical="center"/>
    </xf>
    <xf numFmtId="2" fontId="44" fillId="6" borderId="86" xfId="0" applyNumberFormat="1" applyFont="1" applyFill="1" applyBorder="1" applyAlignment="1">
      <alignment horizontal="center" vertical="center"/>
    </xf>
    <xf numFmtId="2" fontId="44" fillId="6" borderId="84" xfId="0" applyNumberFormat="1" applyFont="1" applyFill="1" applyBorder="1" applyAlignment="1">
      <alignment horizontal="center" vertical="center"/>
    </xf>
    <xf numFmtId="0" fontId="45" fillId="6" borderId="13" xfId="0" applyFont="1" applyFill="1" applyBorder="1" applyAlignment="1">
      <alignment horizontal="center" vertical="center" wrapText="1"/>
    </xf>
    <xf numFmtId="0" fontId="45" fillId="6" borderId="85" xfId="0" applyFont="1" applyFill="1" applyBorder="1" applyAlignment="1">
      <alignment horizontal="center" vertical="center" wrapText="1"/>
    </xf>
    <xf numFmtId="0" fontId="45" fillId="6" borderId="14" xfId="0" applyFont="1" applyFill="1" applyBorder="1" applyAlignment="1">
      <alignment horizontal="center" vertical="center" wrapText="1"/>
    </xf>
    <xf numFmtId="0" fontId="45" fillId="6" borderId="88" xfId="0" applyFont="1" applyFill="1" applyBorder="1" applyAlignment="1">
      <alignment horizontal="center" vertical="center" wrapText="1"/>
    </xf>
    <xf numFmtId="0" fontId="29" fillId="18" borderId="122" xfId="0" applyFont="1" applyFill="1" applyBorder="1" applyAlignment="1">
      <alignment horizontal="center" vertical="center"/>
    </xf>
    <xf numFmtId="0" fontId="29" fillId="18" borderId="123" xfId="0" applyFont="1" applyFill="1" applyBorder="1" applyAlignment="1">
      <alignment horizontal="center" vertical="center"/>
    </xf>
    <xf numFmtId="0" fontId="29" fillId="18" borderId="124" xfId="0" applyFont="1" applyFill="1" applyBorder="1" applyAlignment="1">
      <alignment horizontal="center" vertical="center"/>
    </xf>
    <xf numFmtId="0" fontId="43" fillId="6" borderId="91" xfId="0" applyFont="1" applyFill="1" applyBorder="1" applyAlignment="1">
      <alignment horizontal="center"/>
    </xf>
    <xf numFmtId="0" fontId="43" fillId="6" borderId="0" xfId="0" applyFont="1" applyFill="1" applyAlignment="1">
      <alignment horizontal="center"/>
    </xf>
    <xf numFmtId="0" fontId="45" fillId="3" borderId="0" xfId="0" applyFont="1" applyFill="1" applyAlignment="1">
      <alignment horizontal="center" vertical="center" wrapText="1"/>
    </xf>
    <xf numFmtId="0" fontId="45" fillId="6" borderId="0" xfId="0" applyFont="1" applyFill="1" applyAlignment="1">
      <alignment horizontal="center" vertical="center" wrapText="1"/>
    </xf>
    <xf numFmtId="0" fontId="19" fillId="4" borderId="121" xfId="0" applyFont="1" applyFill="1" applyBorder="1" applyAlignment="1">
      <alignment horizontal="center" vertical="center"/>
    </xf>
    <xf numFmtId="0" fontId="19" fillId="4" borderId="109" xfId="0" applyFont="1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79" fillId="6" borderId="102" xfId="0" applyFont="1" applyFill="1" applyBorder="1" applyAlignment="1">
      <alignment horizontal="center"/>
    </xf>
    <xf numFmtId="0" fontId="79" fillId="6" borderId="0" xfId="0" applyFont="1" applyFill="1" applyAlignment="1">
      <alignment horizontal="center"/>
    </xf>
    <xf numFmtId="0" fontId="29" fillId="9" borderId="122" xfId="0" applyFont="1" applyFill="1" applyBorder="1" applyAlignment="1">
      <alignment horizontal="center" vertical="center"/>
    </xf>
    <xf numFmtId="0" fontId="29" fillId="9" borderId="123" xfId="0" applyFont="1" applyFill="1" applyBorder="1" applyAlignment="1">
      <alignment horizontal="center" vertical="center"/>
    </xf>
    <xf numFmtId="0" fontId="29" fillId="9" borderId="12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9" fillId="3" borderId="64" xfId="0" applyFont="1" applyFill="1" applyBorder="1" applyAlignment="1">
      <alignment horizontal="center" vertical="center"/>
    </xf>
    <xf numFmtId="0" fontId="52" fillId="3" borderId="64" xfId="0" applyFont="1" applyFill="1" applyBorder="1" applyAlignment="1">
      <alignment horizontal="center"/>
    </xf>
    <xf numFmtId="0" fontId="52" fillId="3" borderId="112" xfId="0" applyFont="1" applyFill="1" applyBorder="1" applyAlignment="1">
      <alignment horizontal="center"/>
    </xf>
    <xf numFmtId="0" fontId="19" fillId="3" borderId="101" xfId="0" applyFont="1" applyFill="1" applyBorder="1" applyAlignment="1">
      <alignment horizontal="center" vertical="center"/>
    </xf>
    <xf numFmtId="0" fontId="29" fillId="8" borderId="122" xfId="0" applyFont="1" applyFill="1" applyBorder="1" applyAlignment="1">
      <alignment horizontal="center" vertical="center"/>
    </xf>
    <xf numFmtId="0" fontId="29" fillId="8" borderId="123" xfId="0" applyFont="1" applyFill="1" applyBorder="1" applyAlignment="1">
      <alignment horizontal="center" vertical="center"/>
    </xf>
    <xf numFmtId="0" fontId="29" fillId="8" borderId="124" xfId="0" applyFont="1" applyFill="1" applyBorder="1" applyAlignment="1">
      <alignment horizontal="center" vertical="center"/>
    </xf>
    <xf numFmtId="0" fontId="44" fillId="3" borderId="102" xfId="0" applyFont="1" applyFill="1" applyBorder="1" applyAlignment="1">
      <alignment horizontal="center"/>
    </xf>
    <xf numFmtId="0" fontId="44" fillId="3" borderId="0" xfId="0" applyFont="1" applyFill="1" applyAlignment="1">
      <alignment horizontal="center"/>
    </xf>
    <xf numFmtId="0" fontId="44" fillId="3" borderId="101" xfId="0" applyFont="1" applyFill="1" applyBorder="1" applyAlignment="1">
      <alignment horizontal="center"/>
    </xf>
    <xf numFmtId="0" fontId="67" fillId="4" borderId="0" xfId="0" applyFont="1" applyFill="1" applyAlignment="1">
      <alignment horizontal="center" vertical="center"/>
    </xf>
    <xf numFmtId="0" fontId="50" fillId="3" borderId="45" xfId="0" applyFont="1" applyFill="1" applyBorder="1" applyAlignment="1">
      <alignment horizontal="center" vertical="center"/>
    </xf>
    <xf numFmtId="0" fontId="50" fillId="3" borderId="0" xfId="0" applyFont="1" applyFill="1" applyAlignment="1">
      <alignment horizontal="center" vertical="center"/>
    </xf>
    <xf numFmtId="0" fontId="50" fillId="0" borderId="45" xfId="0" applyFont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19" fillId="4" borderId="44" xfId="0" applyFont="1" applyFill="1" applyBorder="1" applyAlignment="1">
      <alignment horizontal="center" vertical="center"/>
    </xf>
    <xf numFmtId="0" fontId="19" fillId="4" borderId="45" xfId="0" applyFont="1" applyFill="1" applyBorder="1" applyAlignment="1">
      <alignment horizontal="center" vertical="center"/>
    </xf>
    <xf numFmtId="0" fontId="19" fillId="4" borderId="66" xfId="0" applyFont="1" applyFill="1" applyBorder="1" applyAlignment="1">
      <alignment horizontal="center" vertical="center"/>
    </xf>
    <xf numFmtId="0" fontId="19" fillId="4" borderId="46" xfId="0" applyFont="1" applyFill="1" applyBorder="1" applyAlignment="1">
      <alignment horizontal="center" vertical="center"/>
    </xf>
    <xf numFmtId="0" fontId="1" fillId="3" borderId="130" xfId="0" applyFont="1" applyFill="1" applyBorder="1" applyAlignment="1">
      <alignment horizontal="left" vertical="center"/>
    </xf>
    <xf numFmtId="0" fontId="57" fillId="3" borderId="0" xfId="0" applyFont="1" applyFill="1" applyAlignment="1">
      <alignment horizontal="center" vertical="center"/>
    </xf>
    <xf numFmtId="0" fontId="44" fillId="3" borderId="0" xfId="0" applyFont="1" applyFill="1" applyAlignment="1">
      <alignment horizontal="left"/>
    </xf>
    <xf numFmtId="0" fontId="44" fillId="3" borderId="101" xfId="0" applyFont="1" applyFill="1" applyBorder="1" applyAlignment="1">
      <alignment horizontal="left"/>
    </xf>
    <xf numFmtId="0" fontId="44" fillId="3" borderId="102" xfId="0" applyFont="1" applyFill="1" applyBorder="1" applyAlignment="1">
      <alignment horizontal="center" vertical="center" wrapText="1"/>
    </xf>
    <xf numFmtId="0" fontId="44" fillId="3" borderId="0" xfId="0" applyFont="1" applyFill="1" applyAlignment="1">
      <alignment horizontal="center" vertical="center" wrapText="1"/>
    </xf>
    <xf numFmtId="0" fontId="44" fillId="3" borderId="101" xfId="0" applyFont="1" applyFill="1" applyBorder="1" applyAlignment="1">
      <alignment horizontal="center" vertical="center" wrapText="1"/>
    </xf>
    <xf numFmtId="0" fontId="44" fillId="3" borderId="102" xfId="0" applyFont="1" applyFill="1" applyBorder="1" applyAlignment="1">
      <alignment horizontal="center" vertical="top" wrapText="1"/>
    </xf>
    <xf numFmtId="0" fontId="44" fillId="3" borderId="0" xfId="0" applyFont="1" applyFill="1" applyAlignment="1">
      <alignment horizontal="center" vertical="top" wrapText="1"/>
    </xf>
    <xf numFmtId="0" fontId="44" fillId="3" borderId="101" xfId="0" applyFont="1" applyFill="1" applyBorder="1" applyAlignment="1">
      <alignment horizontal="center" vertical="top" wrapText="1"/>
    </xf>
    <xf numFmtId="0" fontId="73" fillId="6" borderId="87" xfId="0" applyFont="1" applyFill="1" applyBorder="1" applyAlignment="1">
      <alignment horizontal="center"/>
    </xf>
    <xf numFmtId="0" fontId="73" fillId="6" borderId="0" xfId="0" applyFont="1" applyFill="1" applyAlignment="1">
      <alignment horizontal="center"/>
    </xf>
    <xf numFmtId="0" fontId="45" fillId="6" borderId="89" xfId="0" applyFont="1" applyFill="1" applyBorder="1" applyAlignment="1">
      <alignment horizontal="center" vertical="center" wrapText="1"/>
    </xf>
    <xf numFmtId="0" fontId="45" fillId="6" borderId="15" xfId="0" applyFont="1" applyFill="1" applyBorder="1" applyAlignment="1">
      <alignment horizontal="center" vertical="center" wrapText="1"/>
    </xf>
    <xf numFmtId="0" fontId="45" fillId="6" borderId="92" xfId="0" applyFont="1" applyFill="1" applyBorder="1" applyAlignment="1">
      <alignment horizontal="center" vertical="center" wrapText="1"/>
    </xf>
    <xf numFmtId="0" fontId="45" fillId="6" borderId="108" xfId="0" applyFont="1" applyFill="1" applyBorder="1" applyAlignment="1">
      <alignment horizontal="center" vertical="center" wrapText="1"/>
    </xf>
    <xf numFmtId="2" fontId="74" fillId="6" borderId="90" xfId="0" applyNumberFormat="1" applyFont="1" applyFill="1" applyBorder="1" applyAlignment="1">
      <alignment horizontal="center" vertical="center"/>
    </xf>
    <xf numFmtId="2" fontId="74" fillId="6" borderId="10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51" fillId="3" borderId="64" xfId="0" applyFont="1" applyFill="1" applyBorder="1" applyAlignment="1">
      <alignment horizontal="center"/>
    </xf>
    <xf numFmtId="0" fontId="51" fillId="3" borderId="112" xfId="0" applyFont="1" applyFill="1" applyBorder="1" applyAlignment="1">
      <alignment horizontal="center"/>
    </xf>
    <xf numFmtId="0" fontId="1" fillId="3" borderId="102" xfId="0" applyFont="1" applyFill="1" applyBorder="1" applyAlignment="1">
      <alignment horizontal="center"/>
    </xf>
    <xf numFmtId="0" fontId="52" fillId="3" borderId="102" xfId="0" applyFont="1" applyFill="1" applyBorder="1" applyAlignment="1">
      <alignment horizontal="center"/>
    </xf>
    <xf numFmtId="0" fontId="73" fillId="6" borderId="91" xfId="0" applyFont="1" applyFill="1" applyBorder="1" applyAlignment="1">
      <alignment horizontal="left"/>
    </xf>
    <xf numFmtId="0" fontId="73" fillId="6" borderId="0" xfId="0" applyFont="1" applyFill="1" applyAlignment="1">
      <alignment horizontal="left"/>
    </xf>
    <xf numFmtId="0" fontId="28" fillId="11" borderId="1" xfId="0" applyFont="1" applyFill="1" applyBorder="1" applyAlignment="1">
      <alignment horizontal="center" vertical="center" wrapText="1"/>
    </xf>
    <xf numFmtId="0" fontId="4" fillId="8" borderId="56" xfId="0" applyFont="1" applyFill="1" applyBorder="1" applyAlignment="1">
      <alignment horizontal="center" vertical="center" wrapText="1"/>
    </xf>
    <xf numFmtId="0" fontId="4" fillId="8" borderId="57" xfId="0" applyFont="1" applyFill="1" applyBorder="1" applyAlignment="1">
      <alignment horizontal="center" vertical="center" wrapText="1"/>
    </xf>
    <xf numFmtId="0" fontId="4" fillId="8" borderId="58" xfId="0" applyFont="1" applyFill="1" applyBorder="1" applyAlignment="1">
      <alignment horizontal="center" vertical="center" wrapText="1"/>
    </xf>
    <xf numFmtId="0" fontId="29" fillId="18" borderId="1" xfId="0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horizontal="center" vertical="center"/>
    </xf>
    <xf numFmtId="0" fontId="4" fillId="10" borderId="56" xfId="0" applyFont="1" applyFill="1" applyBorder="1" applyAlignment="1">
      <alignment horizontal="center" vertical="center" wrapText="1"/>
    </xf>
    <xf numFmtId="0" fontId="4" fillId="10" borderId="57" xfId="0" applyFont="1" applyFill="1" applyBorder="1" applyAlignment="1">
      <alignment horizontal="center" vertical="center" wrapText="1"/>
    </xf>
    <xf numFmtId="0" fontId="4" fillId="10" borderId="58" xfId="0" applyFont="1" applyFill="1" applyBorder="1" applyAlignment="1">
      <alignment horizontal="center" vertical="center" wrapText="1"/>
    </xf>
    <xf numFmtId="0" fontId="4" fillId="9" borderId="56" xfId="0" applyFont="1" applyFill="1" applyBorder="1" applyAlignment="1">
      <alignment horizontal="center" vertical="center" wrapText="1"/>
    </xf>
    <xf numFmtId="0" fontId="4" fillId="9" borderId="57" xfId="0" applyFont="1" applyFill="1" applyBorder="1" applyAlignment="1">
      <alignment horizontal="center" vertical="center" wrapText="1"/>
    </xf>
    <xf numFmtId="0" fontId="4" fillId="9" borderId="5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55" fillId="11" borderId="56" xfId="0" applyFont="1" applyFill="1" applyBorder="1" applyAlignment="1">
      <alignment horizontal="center" vertical="center" wrapText="1"/>
    </xf>
    <xf numFmtId="0" fontId="55" fillId="11" borderId="57" xfId="0" applyFont="1" applyFill="1" applyBorder="1" applyAlignment="1">
      <alignment horizontal="center" vertical="center" wrapText="1"/>
    </xf>
    <xf numFmtId="0" fontId="55" fillId="11" borderId="58" xfId="0" applyFont="1" applyFill="1" applyBorder="1" applyAlignment="1">
      <alignment horizontal="center" vertical="center" wrapText="1"/>
    </xf>
    <xf numFmtId="0" fontId="55" fillId="8" borderId="56" xfId="0" applyFont="1" applyFill="1" applyBorder="1" applyAlignment="1">
      <alignment horizontal="center" vertical="center" wrapText="1"/>
    </xf>
    <xf numFmtId="0" fontId="55" fillId="8" borderId="57" xfId="0" applyFont="1" applyFill="1" applyBorder="1" applyAlignment="1">
      <alignment horizontal="center" vertical="center" wrapText="1"/>
    </xf>
    <xf numFmtId="0" fontId="55" fillId="8" borderId="58" xfId="0" applyFont="1" applyFill="1" applyBorder="1" applyAlignment="1">
      <alignment horizontal="center" vertical="center" wrapText="1"/>
    </xf>
    <xf numFmtId="0" fontId="55" fillId="9" borderId="56" xfId="0" applyFont="1" applyFill="1" applyBorder="1" applyAlignment="1">
      <alignment horizontal="center" vertical="center" wrapText="1"/>
    </xf>
    <xf numFmtId="0" fontId="55" fillId="9" borderId="57" xfId="0" applyFont="1" applyFill="1" applyBorder="1" applyAlignment="1">
      <alignment horizontal="center" vertical="center" wrapText="1"/>
    </xf>
    <xf numFmtId="0" fontId="55" fillId="9" borderId="58" xfId="0" applyFont="1" applyFill="1" applyBorder="1" applyAlignment="1">
      <alignment horizontal="center" vertical="center" wrapText="1"/>
    </xf>
    <xf numFmtId="0" fontId="55" fillId="10" borderId="56" xfId="0" applyFont="1" applyFill="1" applyBorder="1" applyAlignment="1">
      <alignment horizontal="center" vertical="center" wrapText="1"/>
    </xf>
    <xf numFmtId="0" fontId="55" fillId="10" borderId="57" xfId="0" applyFont="1" applyFill="1" applyBorder="1" applyAlignment="1">
      <alignment horizontal="center" vertical="center" wrapText="1"/>
    </xf>
    <xf numFmtId="0" fontId="55" fillId="10" borderId="58" xfId="0" applyFont="1" applyFill="1" applyBorder="1" applyAlignment="1">
      <alignment horizontal="center" vertical="center" wrapText="1"/>
    </xf>
    <xf numFmtId="0" fontId="4" fillId="5" borderId="7" xfId="0" applyFont="1" applyFill="1" applyBorder="1"/>
    <xf numFmtId="0" fontId="4" fillId="5" borderId="11" xfId="0" applyFont="1" applyFill="1" applyBorder="1"/>
    <xf numFmtId="0" fontId="8" fillId="5" borderId="7" xfId="0" applyFont="1" applyFill="1" applyBorder="1"/>
    <xf numFmtId="0" fontId="8" fillId="5" borderId="11" xfId="0" applyFont="1" applyFill="1" applyBorder="1"/>
    <xf numFmtId="0" fontId="8" fillId="5" borderId="15" xfId="0" applyFont="1" applyFill="1" applyBorder="1"/>
    <xf numFmtId="0" fontId="8" fillId="5" borderId="16" xfId="0" applyFont="1" applyFill="1" applyBorder="1"/>
    <xf numFmtId="0" fontId="1" fillId="0" borderId="7" xfId="0" applyFont="1" applyBorder="1"/>
    <xf numFmtId="0" fontId="1" fillId="0" borderId="11" xfId="0" applyFont="1" applyBorder="1"/>
    <xf numFmtId="0" fontId="4" fillId="5" borderId="19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24" fillId="19" borderId="52" xfId="0" applyFont="1" applyFill="1" applyBorder="1" applyAlignment="1">
      <alignment horizontal="center"/>
    </xf>
    <xf numFmtId="0" fontId="24" fillId="19" borderId="55" xfId="0" applyFont="1" applyFill="1" applyBorder="1" applyAlignment="1">
      <alignment horizontal="center"/>
    </xf>
    <xf numFmtId="0" fontId="38" fillId="19" borderId="51" xfId="0" applyFont="1" applyFill="1" applyBorder="1" applyAlignment="1">
      <alignment horizontal="center"/>
    </xf>
    <xf numFmtId="0" fontId="38" fillId="19" borderId="61" xfId="0" applyFont="1" applyFill="1" applyBorder="1" applyAlignment="1">
      <alignment horizontal="center"/>
    </xf>
    <xf numFmtId="0" fontId="38" fillId="19" borderId="54" xfId="0" applyFont="1" applyFill="1" applyBorder="1" applyAlignment="1">
      <alignment horizontal="center"/>
    </xf>
    <xf numFmtId="0" fontId="38" fillId="9" borderId="51" xfId="0" applyFont="1" applyFill="1" applyBorder="1" applyAlignment="1">
      <alignment horizontal="center"/>
    </xf>
    <xf numFmtId="0" fontId="38" fillId="9" borderId="61" xfId="0" applyFont="1" applyFill="1" applyBorder="1" applyAlignment="1">
      <alignment horizontal="center"/>
    </xf>
    <xf numFmtId="0" fontId="38" fillId="9" borderId="54" xfId="0" applyFont="1" applyFill="1" applyBorder="1" applyAlignment="1">
      <alignment horizontal="center"/>
    </xf>
    <xf numFmtId="0" fontId="24" fillId="9" borderId="52" xfId="0" applyFont="1" applyFill="1" applyBorder="1" applyAlignment="1">
      <alignment horizontal="center"/>
    </xf>
    <xf numFmtId="0" fontId="24" fillId="9" borderId="55" xfId="0" applyFont="1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5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67" xfId="0" applyBorder="1" applyAlignment="1">
      <alignment horizontal="center"/>
    </xf>
    <xf numFmtId="0" fontId="38" fillId="19" borderId="45" xfId="0" applyFont="1" applyFill="1" applyBorder="1" applyAlignment="1">
      <alignment horizontal="center"/>
    </xf>
    <xf numFmtId="0" fontId="38" fillId="11" borderId="51" xfId="0" applyFont="1" applyFill="1" applyBorder="1" applyAlignment="1">
      <alignment horizontal="center"/>
    </xf>
    <xf numFmtId="0" fontId="38" fillId="11" borderId="61" xfId="0" applyFont="1" applyFill="1" applyBorder="1" applyAlignment="1">
      <alignment horizontal="center"/>
    </xf>
    <xf numFmtId="0" fontId="38" fillId="11" borderId="54" xfId="0" applyFont="1" applyFill="1" applyBorder="1" applyAlignment="1">
      <alignment horizontal="center"/>
    </xf>
    <xf numFmtId="0" fontId="38" fillId="8" borderId="51" xfId="0" applyFont="1" applyFill="1" applyBorder="1" applyAlignment="1">
      <alignment horizontal="center"/>
    </xf>
    <xf numFmtId="0" fontId="38" fillId="8" borderId="61" xfId="0" applyFont="1" applyFill="1" applyBorder="1" applyAlignment="1">
      <alignment horizontal="center"/>
    </xf>
    <xf numFmtId="0" fontId="38" fillId="8" borderId="54" xfId="0" applyFont="1" applyFill="1" applyBorder="1" applyAlignment="1">
      <alignment horizontal="center"/>
    </xf>
    <xf numFmtId="0" fontId="0" fillId="11" borderId="52" xfId="0" applyFill="1" applyBorder="1" applyAlignment="1">
      <alignment horizontal="center"/>
    </xf>
    <xf numFmtId="0" fontId="0" fillId="11" borderId="55" xfId="0" applyFill="1" applyBorder="1" applyAlignment="1">
      <alignment horizontal="center"/>
    </xf>
    <xf numFmtId="0" fontId="24" fillId="11" borderId="52" xfId="0" applyFont="1" applyFill="1" applyBorder="1" applyAlignment="1">
      <alignment horizontal="center"/>
    </xf>
    <xf numFmtId="0" fontId="24" fillId="11" borderId="55" xfId="0" applyFont="1" applyFill="1" applyBorder="1" applyAlignment="1">
      <alignment horizontal="center"/>
    </xf>
    <xf numFmtId="0" fontId="0" fillId="8" borderId="52" xfId="0" applyFill="1" applyBorder="1" applyAlignment="1">
      <alignment horizontal="center"/>
    </xf>
    <xf numFmtId="0" fontId="0" fillId="8" borderId="55" xfId="0" applyFill="1" applyBorder="1" applyAlignment="1">
      <alignment horizontal="center"/>
    </xf>
    <xf numFmtId="0" fontId="24" fillId="8" borderId="52" xfId="0" applyFont="1" applyFill="1" applyBorder="1" applyAlignment="1">
      <alignment horizontal="center"/>
    </xf>
    <xf numFmtId="0" fontId="24" fillId="8" borderId="55" xfId="0" applyFont="1" applyFill="1" applyBorder="1" applyAlignment="1">
      <alignment horizontal="center"/>
    </xf>
  </cellXfs>
  <cellStyles count="3">
    <cellStyle name="Hyperlink" xfId="2" xr:uid="{00000000-000B-0000-0000-000008000000}"/>
    <cellStyle name="Kolumna" xfId="1" xr:uid="{3F8A4005-2F26-4371-98E1-ADAE719EA72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Poznań - cena za m² (zł)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Dane!$B$2</c:f>
              <c:strCache>
                <c:ptCount val="1"/>
                <c:pt idx="0">
                  <c:v>Cena za m² (zł)</c:v>
                </c:pt>
              </c:strCache>
            </c:strRef>
          </c:tx>
          <c:spPr>
            <a:ln w="28575" cap="rnd">
              <a:solidFill>
                <a:srgbClr val="7B7B7B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B7B7B"/>
              </a:solidFill>
              <a:ln w="9525">
                <a:solidFill>
                  <a:srgbClr val="7B7B7B"/>
                </a:solidFill>
                <a:prstDash val="solid"/>
              </a:ln>
              <a:effectLst/>
            </c:spPr>
          </c:marker>
          <c:cat>
            <c:numRef>
              <c:f>Dane!$A$3:$A$14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Dane!$B$3:$B$14</c:f>
              <c:numCache>
                <c:formatCode>#,##0</c:formatCode>
                <c:ptCount val="12"/>
                <c:pt idx="0">
                  <c:v>4793</c:v>
                </c:pt>
                <c:pt idx="1">
                  <c:v>5029</c:v>
                </c:pt>
                <c:pt idx="2">
                  <c:v>4712</c:v>
                </c:pt>
                <c:pt idx="3">
                  <c:v>5117</c:v>
                </c:pt>
                <c:pt idx="4">
                  <c:v>5264</c:v>
                </c:pt>
                <c:pt idx="5">
                  <c:v>5373</c:v>
                </c:pt>
                <c:pt idx="6">
                  <c:v>5470</c:v>
                </c:pt>
                <c:pt idx="7">
                  <c:v>5654</c:v>
                </c:pt>
                <c:pt idx="8">
                  <c:v>6122</c:v>
                </c:pt>
                <c:pt idx="9">
                  <c:v>6379</c:v>
                </c:pt>
                <c:pt idx="10">
                  <c:v>6802</c:v>
                </c:pt>
                <c:pt idx="11">
                  <c:v>7554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53BA-4298-8CFD-952E1F2BD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69896"/>
        <c:axId val="7271944"/>
      </c:lineChart>
      <c:catAx>
        <c:axId val="7269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1944"/>
        <c:crosses val="autoZero"/>
        <c:auto val="1"/>
        <c:lblAlgn val="ctr"/>
        <c:lblOffset val="100"/>
        <c:noMultiLvlLbl val="0"/>
      </c:catAx>
      <c:valAx>
        <c:axId val="727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9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Warszawa - cena za m² (zł)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Dane!$B$18</c:f>
              <c:strCache>
                <c:ptCount val="1"/>
                <c:pt idx="0">
                  <c:v>Cena za m² (zł)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  <a:prstDash val="solid"/>
              </a:ln>
              <a:effectLst/>
            </c:spPr>
          </c:marker>
          <c:cat>
            <c:numRef>
              <c:f>Dane!$A$19:$A$30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Dane!$B$19:$B$30</c:f>
              <c:numCache>
                <c:formatCode>#,##0</c:formatCode>
                <c:ptCount val="12"/>
                <c:pt idx="0">
                  <c:v>8421</c:v>
                </c:pt>
                <c:pt idx="1">
                  <c:v>8245</c:v>
                </c:pt>
                <c:pt idx="2">
                  <c:v>8022</c:v>
                </c:pt>
                <c:pt idx="3">
                  <c:v>7421</c:v>
                </c:pt>
                <c:pt idx="4">
                  <c:v>7685</c:v>
                </c:pt>
                <c:pt idx="5">
                  <c:v>7664</c:v>
                </c:pt>
                <c:pt idx="6">
                  <c:v>7783</c:v>
                </c:pt>
                <c:pt idx="7">
                  <c:v>8200</c:v>
                </c:pt>
                <c:pt idx="8">
                  <c:v>8769</c:v>
                </c:pt>
                <c:pt idx="9">
                  <c:v>9073</c:v>
                </c:pt>
                <c:pt idx="10">
                  <c:v>9901</c:v>
                </c:pt>
                <c:pt idx="11">
                  <c:v>11077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37-4388-AA05-48BB0F54D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69896"/>
        <c:axId val="7271944"/>
      </c:lineChart>
      <c:catAx>
        <c:axId val="7269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1944"/>
        <c:crosses val="autoZero"/>
        <c:auto val="1"/>
        <c:lblAlgn val="ctr"/>
        <c:lblOffset val="100"/>
        <c:noMultiLvlLbl val="0"/>
      </c:catAx>
      <c:valAx>
        <c:axId val="727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9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Gdańsk - cena za m² (zł)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Dane!$B$34</c:f>
              <c:strCache>
                <c:ptCount val="1"/>
                <c:pt idx="0">
                  <c:v>Cena za m² (zł)</c:v>
                </c:pt>
              </c:strCache>
            </c:strRef>
          </c:tx>
          <c:spPr>
            <a:ln w="28575" cap="rnd">
              <a:solidFill>
                <a:srgbClr val="A9D08E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A9D08E"/>
              </a:solidFill>
              <a:ln w="9525">
                <a:solidFill>
                  <a:srgbClr val="A9D08E"/>
                </a:solidFill>
                <a:prstDash val="solid"/>
              </a:ln>
              <a:effectLst/>
            </c:spPr>
          </c:marker>
          <c:cat>
            <c:numRef>
              <c:f>Dane!$A$35:$A$46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Dane!$B$35:$B$46</c:f>
              <c:numCache>
                <c:formatCode>#,##0</c:formatCode>
                <c:ptCount val="12"/>
                <c:pt idx="0">
                  <c:v>4461</c:v>
                </c:pt>
                <c:pt idx="1">
                  <c:v>4977</c:v>
                </c:pt>
                <c:pt idx="2">
                  <c:v>5261</c:v>
                </c:pt>
                <c:pt idx="3">
                  <c:v>5277</c:v>
                </c:pt>
                <c:pt idx="4">
                  <c:v>5346</c:v>
                </c:pt>
                <c:pt idx="5">
                  <c:v>5403</c:v>
                </c:pt>
                <c:pt idx="6">
                  <c:v>5719</c:v>
                </c:pt>
                <c:pt idx="7">
                  <c:v>6478</c:v>
                </c:pt>
                <c:pt idx="8">
                  <c:v>6795</c:v>
                </c:pt>
                <c:pt idx="9">
                  <c:v>7519</c:v>
                </c:pt>
                <c:pt idx="10">
                  <c:v>8401</c:v>
                </c:pt>
                <c:pt idx="11">
                  <c:v>9346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D-45B9-87F6-BEC9249E5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69896"/>
        <c:axId val="7271944"/>
      </c:lineChart>
      <c:catAx>
        <c:axId val="7269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1944"/>
        <c:crosses val="autoZero"/>
        <c:auto val="1"/>
        <c:lblAlgn val="ctr"/>
        <c:lblOffset val="100"/>
        <c:noMultiLvlLbl val="0"/>
      </c:catAx>
      <c:valAx>
        <c:axId val="727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9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Łódź - cena za m² (zł)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Dane!$B$50</c:f>
              <c:strCache>
                <c:ptCount val="1"/>
                <c:pt idx="0">
                  <c:v>Cena za m² (zł)</c:v>
                </c:pt>
              </c:strCache>
            </c:strRef>
          </c:tx>
          <c:spPr>
            <a:ln w="28575" cap="rnd">
              <a:solidFill>
                <a:srgbClr val="2F75B5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2F75B5"/>
              </a:solidFill>
              <a:ln w="9525">
                <a:solidFill>
                  <a:srgbClr val="2F75B5"/>
                </a:solidFill>
                <a:prstDash val="solid"/>
              </a:ln>
              <a:effectLst/>
            </c:spPr>
          </c:marker>
          <c:cat>
            <c:numRef>
              <c:f>Dane!$A$51:$A$62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Dane!$B$51:$B$62</c:f>
              <c:numCache>
                <c:formatCode>#,##0</c:formatCode>
                <c:ptCount val="12"/>
                <c:pt idx="0">
                  <c:v>4090</c:v>
                </c:pt>
                <c:pt idx="1">
                  <c:v>3870</c:v>
                </c:pt>
                <c:pt idx="2">
                  <c:v>3725</c:v>
                </c:pt>
                <c:pt idx="3">
                  <c:v>3580</c:v>
                </c:pt>
                <c:pt idx="4">
                  <c:v>3478</c:v>
                </c:pt>
                <c:pt idx="5">
                  <c:v>3543</c:v>
                </c:pt>
                <c:pt idx="6">
                  <c:v>3700</c:v>
                </c:pt>
                <c:pt idx="7">
                  <c:v>3898</c:v>
                </c:pt>
                <c:pt idx="8">
                  <c:v>4306</c:v>
                </c:pt>
                <c:pt idx="9">
                  <c:v>4693</c:v>
                </c:pt>
                <c:pt idx="10">
                  <c:v>5198</c:v>
                </c:pt>
                <c:pt idx="11">
                  <c:v>5859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85-402A-B9AD-1AE44D432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69896"/>
        <c:axId val="7271944"/>
      </c:lineChart>
      <c:catAx>
        <c:axId val="7269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1944"/>
        <c:crosses val="autoZero"/>
        <c:auto val="1"/>
        <c:lblAlgn val="ctr"/>
        <c:lblOffset val="100"/>
        <c:noMultiLvlLbl val="0"/>
      </c:catAx>
      <c:valAx>
        <c:axId val="727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9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Poznań - przeciętne wynagrodzenie brutto (zł)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'Model ekonometryczny'!$E$5</c:f>
              <c:strCache>
                <c:ptCount val="1"/>
                <c:pt idx="0">
                  <c:v>Wynagrodzenie brutto (zł)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'Model ekonometryczny'!$C$187:$C$198</c:f>
              <c:numCache>
                <c:formatCode>0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xVal>
          <c:yVal>
            <c:numRef>
              <c:f>'Model ekonometryczny'!$D$187:$D$198</c:f>
              <c:numCache>
                <c:formatCode>0</c:formatCode>
                <c:ptCount val="12"/>
                <c:pt idx="0">
                  <c:v>3814.08</c:v>
                </c:pt>
                <c:pt idx="1">
                  <c:v>3987.13</c:v>
                </c:pt>
                <c:pt idx="2">
                  <c:v>4119.68</c:v>
                </c:pt>
                <c:pt idx="3">
                  <c:v>4256.82</c:v>
                </c:pt>
                <c:pt idx="4">
                  <c:v>4354.3999999999996</c:v>
                </c:pt>
                <c:pt idx="5">
                  <c:v>4549.1099999999997</c:v>
                </c:pt>
                <c:pt idx="6">
                  <c:v>4770.9399999999996</c:v>
                </c:pt>
                <c:pt idx="7">
                  <c:v>5062.37</c:v>
                </c:pt>
                <c:pt idx="8">
                  <c:v>5355.57</c:v>
                </c:pt>
                <c:pt idx="9">
                  <c:v>5713.03</c:v>
                </c:pt>
                <c:pt idx="10">
                  <c:v>6104.97</c:v>
                </c:pt>
                <c:pt idx="11">
                  <c:v>6662.69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5E-418C-9F7B-9A8BF9029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901343"/>
        <c:axId val="1575382080"/>
      </c:scatterChart>
      <c:valAx>
        <c:axId val="1226901343"/>
        <c:scaling>
          <c:orientation val="minMax"/>
          <c:min val="20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382080"/>
        <c:crosses val="autoZero"/>
        <c:crossBetween val="midCat"/>
        <c:majorUnit val="1"/>
        <c:minorUnit val="1"/>
      </c:valAx>
      <c:valAx>
        <c:axId val="1575382080"/>
        <c:scaling>
          <c:orientation val="minMax"/>
          <c:max val="80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901343"/>
        <c:crosses val="autoZero"/>
        <c:crossBetween val="midCat"/>
        <c:minorUnit val="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alpha val="98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ysClr val="windowText" lastClr="000000"/>
                </a:solidFill>
              </a:rPr>
              <a:t>Warszawa - liczba ludności na 1km²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'Model ekonometryczny'!$P$5</c:f>
              <c:strCache>
                <c:ptCount val="1"/>
                <c:pt idx="0">
                  <c:v>L. ludności na 1km²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'Model ekonometryczny'!$M$187:$M$198</c:f>
              <c:numCache>
                <c:formatCode>0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xVal>
          <c:yVal>
            <c:numRef>
              <c:f>'Model ekonometryczny'!$N$187:$N$198</c:f>
              <c:numCache>
                <c:formatCode>0</c:formatCode>
                <c:ptCount val="12"/>
                <c:pt idx="0">
                  <c:v>3286.9</c:v>
                </c:pt>
                <c:pt idx="1">
                  <c:v>3303.1</c:v>
                </c:pt>
                <c:pt idx="2">
                  <c:v>3316.7</c:v>
                </c:pt>
                <c:pt idx="3">
                  <c:v>3333.9</c:v>
                </c:pt>
                <c:pt idx="4">
                  <c:v>3355.2</c:v>
                </c:pt>
                <c:pt idx="5">
                  <c:v>3372.4</c:v>
                </c:pt>
                <c:pt idx="6">
                  <c:v>3391</c:v>
                </c:pt>
                <c:pt idx="7">
                  <c:v>3411.6</c:v>
                </c:pt>
                <c:pt idx="8">
                  <c:v>3437.4</c:v>
                </c:pt>
                <c:pt idx="9">
                  <c:v>3461.9</c:v>
                </c:pt>
                <c:pt idx="10">
                  <c:v>3599.4</c:v>
                </c:pt>
                <c:pt idx="11">
                  <c:v>3601.9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3D-4797-8E50-12934E662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678736"/>
        <c:axId val="1766432880"/>
      </c:scatterChart>
      <c:valAx>
        <c:axId val="1685678736"/>
        <c:scaling>
          <c:orientation val="minMax"/>
          <c:max val="2022"/>
          <c:min val="20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432880"/>
        <c:crosses val="autoZero"/>
        <c:crossBetween val="midCat"/>
        <c:majorUnit val="1"/>
        <c:minorUnit val="1"/>
      </c:valAx>
      <c:valAx>
        <c:axId val="176643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67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ysClr val="windowText" lastClr="000000"/>
                </a:solidFill>
              </a:rPr>
              <a:t>Polska - wskaźnik cen przy podstawie rok poprzedni = 100</a:t>
            </a:r>
          </a:p>
        </c:rich>
      </c:tx>
      <c:layout>
        <c:manualLayout>
          <c:xMode val="edge"/>
          <c:yMode val="edge"/>
          <c:x val="0.15194397596616932"/>
          <c:y val="3.5633717272944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'Model ekonometryczny'!$Q$5</c:f>
              <c:strCache>
                <c:ptCount val="1"/>
                <c:pt idx="0">
                  <c:v>Wskaźnik cen
przy podstawie
rok poprzedni = 100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"/>
            <c:dispRSqr val="1"/>
            <c:dispEq val="0"/>
            <c:trendlineLbl>
              <c:layout>
                <c:manualLayout>
                  <c:x val="-2.867212369258754E-2"/>
                  <c:y val="-1.438547486033519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rgbClr val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ekonometryczny'!$K$219:$K$230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xVal>
          <c:yVal>
            <c:numRef>
              <c:f>'Model ekonometryczny'!$L$219:$L$230</c:f>
              <c:numCache>
                <c:formatCode>0.00</c:formatCode>
                <c:ptCount val="12"/>
                <c:pt idx="0">
                  <c:v>102.6</c:v>
                </c:pt>
                <c:pt idx="1">
                  <c:v>104.3</c:v>
                </c:pt>
                <c:pt idx="2">
                  <c:v>103.7</c:v>
                </c:pt>
                <c:pt idx="3">
                  <c:v>100.9</c:v>
                </c:pt>
                <c:pt idx="4">
                  <c:v>100</c:v>
                </c:pt>
                <c:pt idx="5">
                  <c:v>99.1</c:v>
                </c:pt>
                <c:pt idx="6">
                  <c:v>99.4</c:v>
                </c:pt>
                <c:pt idx="7">
                  <c:v>102</c:v>
                </c:pt>
                <c:pt idx="8">
                  <c:v>101.6</c:v>
                </c:pt>
                <c:pt idx="9">
                  <c:v>102.3</c:v>
                </c:pt>
                <c:pt idx="10">
                  <c:v>103.4</c:v>
                </c:pt>
                <c:pt idx="11">
                  <c:v>105.1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67-4DBF-A033-4C375F7F1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672496"/>
        <c:axId val="1669855840"/>
      </c:scatterChart>
      <c:valAx>
        <c:axId val="1685672496"/>
        <c:scaling>
          <c:orientation val="minMax"/>
          <c:max val="2022"/>
          <c:min val="20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855840"/>
        <c:crosses val="autoZero"/>
        <c:crossBetween val="midCat"/>
        <c:majorUnit val="1"/>
      </c:valAx>
      <c:valAx>
        <c:axId val="1669855840"/>
        <c:scaling>
          <c:orientation val="minMax"/>
          <c:max val="107"/>
          <c:min val="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67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0">
                <a:solidFill>
                  <a:sysClr val="windowText" lastClr="000000"/>
                </a:solidFill>
              </a:rPr>
              <a:t>Gdańsk - l</a:t>
            </a:r>
            <a:r>
              <a:rPr lang="en-US" b="0">
                <a:solidFill>
                  <a:sysClr val="windowText" lastClr="000000"/>
                </a:solidFill>
              </a:rPr>
              <a:t>iczba mieszkań (szt.)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'Model ekonometryczny'!$X$5</c:f>
              <c:strCache>
                <c:ptCount val="1"/>
                <c:pt idx="0">
                  <c:v>Liczba mieszkań (szt.)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'Model ekonometryczny'!$W$187:$W$198</c:f>
              <c:numCache>
                <c:formatCode>0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xVal>
          <c:yVal>
            <c:numRef>
              <c:f>'Model ekonometryczny'!$X$187:$X$198</c:f>
              <c:numCache>
                <c:formatCode>#,##0</c:formatCode>
                <c:ptCount val="12"/>
                <c:pt idx="0">
                  <c:v>3189</c:v>
                </c:pt>
                <c:pt idx="1">
                  <c:v>5719</c:v>
                </c:pt>
                <c:pt idx="2">
                  <c:v>6737</c:v>
                </c:pt>
                <c:pt idx="3">
                  <c:v>7154</c:v>
                </c:pt>
                <c:pt idx="4">
                  <c:v>6053</c:v>
                </c:pt>
                <c:pt idx="5">
                  <c:v>7261</c:v>
                </c:pt>
                <c:pt idx="6">
                  <c:v>8144</c:v>
                </c:pt>
                <c:pt idx="7">
                  <c:v>8892</c:v>
                </c:pt>
                <c:pt idx="8">
                  <c:v>10034</c:v>
                </c:pt>
                <c:pt idx="9">
                  <c:v>10084</c:v>
                </c:pt>
                <c:pt idx="10">
                  <c:v>8480</c:v>
                </c:pt>
                <c:pt idx="11">
                  <c:v>9709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B6-4DBB-A96C-1E02A8D4F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7938592"/>
        <c:axId val="1561216288"/>
      </c:scatterChart>
      <c:valAx>
        <c:axId val="1667938592"/>
        <c:scaling>
          <c:orientation val="minMax"/>
          <c:min val="20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216288"/>
        <c:crosses val="autoZero"/>
        <c:crossBetween val="midCat"/>
        <c:majorUnit val="1"/>
      </c:valAx>
      <c:valAx>
        <c:axId val="1561216288"/>
        <c:scaling>
          <c:orientation val="minMax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93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solidFill>
                  <a:sysClr val="windowText" lastClr="000000"/>
                </a:solidFill>
              </a:rPr>
              <a:t>Gdańsk - przeciętne wynagrodzenie brutto (zł)</a:t>
            </a:r>
          </a:p>
        </c:rich>
      </c:tx>
      <c:layout>
        <c:manualLayout>
          <c:xMode val="edge"/>
          <c:yMode val="edge"/>
          <c:x val="0.2020612166641278"/>
          <c:y val="2.77779831511671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'Model ekonometryczny'!$V$218</c:f>
              <c:strCache>
                <c:ptCount val="1"/>
                <c:pt idx="0">
                  <c:v>Wynagrodzenie brutto (zł)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"/>
            <c:dispRSqr val="1"/>
            <c:dispEq val="0"/>
            <c:trendlineLbl>
              <c:layout>
                <c:manualLayout>
                  <c:x val="-4.1894596397598398E-2"/>
                  <c:y val="-2.79549802037457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ekonometryczny'!$U$219:$U$230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xVal>
          <c:yVal>
            <c:numRef>
              <c:f>'Model ekonometryczny'!$V$219:$V$230</c:f>
              <c:numCache>
                <c:formatCode>#,##0</c:formatCode>
                <c:ptCount val="12"/>
                <c:pt idx="0">
                  <c:v>4108.37</c:v>
                </c:pt>
                <c:pt idx="1">
                  <c:v>4327.3500000000004</c:v>
                </c:pt>
                <c:pt idx="2">
                  <c:v>4411.71</c:v>
                </c:pt>
                <c:pt idx="3">
                  <c:v>4562.66</c:v>
                </c:pt>
                <c:pt idx="4">
                  <c:v>4814.1400000000003</c:v>
                </c:pt>
                <c:pt idx="5">
                  <c:v>4992.1400000000003</c:v>
                </c:pt>
                <c:pt idx="6">
                  <c:v>5118.59</c:v>
                </c:pt>
                <c:pt idx="7">
                  <c:v>5312.48</c:v>
                </c:pt>
                <c:pt idx="8">
                  <c:v>5642</c:v>
                </c:pt>
                <c:pt idx="9">
                  <c:v>6154.35</c:v>
                </c:pt>
                <c:pt idx="10">
                  <c:v>6490.53</c:v>
                </c:pt>
                <c:pt idx="11">
                  <c:v>7084.42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BD-4686-A3C3-8DA1ACEBF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7935232"/>
        <c:axId val="1583982496"/>
      </c:scatterChart>
      <c:valAx>
        <c:axId val="1667935232"/>
        <c:scaling>
          <c:orientation val="minMax"/>
          <c:max val="2022"/>
          <c:min val="20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982496"/>
        <c:crosses val="autoZero"/>
        <c:crossBetween val="midCat"/>
        <c:majorUnit val="1"/>
        <c:minorUnit val="1"/>
      </c:valAx>
      <c:valAx>
        <c:axId val="1583982496"/>
        <c:scaling>
          <c:orientation val="minMax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93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ysClr val="windowText" lastClr="000000"/>
                </a:solidFill>
              </a:rPr>
              <a:t>Polska - wskaźnik cen przy podstawie rok poprzedni = 100</a:t>
            </a:r>
          </a:p>
        </c:rich>
      </c:tx>
      <c:layout>
        <c:manualLayout>
          <c:xMode val="edge"/>
          <c:yMode val="edge"/>
          <c:x val="0.15194397596616932"/>
          <c:y val="3.5633717272944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'Model ekonometryczny'!$Q$5</c:f>
              <c:strCache>
                <c:ptCount val="1"/>
                <c:pt idx="0">
                  <c:v>Wskaźnik cen
przy podstawie
rok poprzedni = 100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"/>
            <c:dispRSqr val="1"/>
            <c:dispEq val="0"/>
            <c:trendlineLbl>
              <c:layout>
                <c:manualLayout>
                  <c:x val="-2.867212369258754E-2"/>
                  <c:y val="-1.438547486033519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rgbClr val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ekonometryczny'!$K$219:$K$230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xVal>
          <c:yVal>
            <c:numRef>
              <c:f>'Model ekonometryczny'!$L$219:$L$230</c:f>
              <c:numCache>
                <c:formatCode>0.00</c:formatCode>
                <c:ptCount val="12"/>
                <c:pt idx="0">
                  <c:v>102.6</c:v>
                </c:pt>
                <c:pt idx="1">
                  <c:v>104.3</c:v>
                </c:pt>
                <c:pt idx="2">
                  <c:v>103.7</c:v>
                </c:pt>
                <c:pt idx="3">
                  <c:v>100.9</c:v>
                </c:pt>
                <c:pt idx="4">
                  <c:v>100</c:v>
                </c:pt>
                <c:pt idx="5">
                  <c:v>99.1</c:v>
                </c:pt>
                <c:pt idx="6">
                  <c:v>99.4</c:v>
                </c:pt>
                <c:pt idx="7">
                  <c:v>102</c:v>
                </c:pt>
                <c:pt idx="8">
                  <c:v>101.6</c:v>
                </c:pt>
                <c:pt idx="9">
                  <c:v>102.3</c:v>
                </c:pt>
                <c:pt idx="10">
                  <c:v>103.4</c:v>
                </c:pt>
                <c:pt idx="11">
                  <c:v>105.1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76-47E5-A675-19E994519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672496"/>
        <c:axId val="1669855840"/>
      </c:scatterChart>
      <c:valAx>
        <c:axId val="1685672496"/>
        <c:scaling>
          <c:orientation val="minMax"/>
          <c:max val="2022"/>
          <c:min val="20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855840"/>
        <c:crosses val="autoZero"/>
        <c:crossBetween val="midCat"/>
        <c:majorUnit val="1"/>
      </c:valAx>
      <c:valAx>
        <c:axId val="1669855840"/>
        <c:scaling>
          <c:orientation val="minMax"/>
          <c:max val="107"/>
          <c:min val="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67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solidFill>
                  <a:sysClr val="windowText" lastClr="000000"/>
                </a:solidFill>
              </a:rPr>
              <a:t>Łódź</a:t>
            </a:r>
            <a:r>
              <a:rPr lang="pl-PL" baseline="0">
                <a:solidFill>
                  <a:sysClr val="windowText" lastClr="000000"/>
                </a:solidFill>
              </a:rPr>
              <a:t> - liczba ludności na 1km²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'Model ekonometryczny'!$AH$234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'Model ekonometryczny'!$AG$235:$AG$246</c:f>
              <c:numCache>
                <c:formatCode>0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xVal>
          <c:yVal>
            <c:numRef>
              <c:f>'Model ekonometryczny'!$AH$235:$AH$246</c:f>
              <c:numCache>
                <c:formatCode>#,##0</c:formatCode>
                <c:ptCount val="12"/>
                <c:pt idx="0">
                  <c:v>2491.5</c:v>
                </c:pt>
                <c:pt idx="1">
                  <c:v>2472.5</c:v>
                </c:pt>
                <c:pt idx="2">
                  <c:v>2451.6999999999998</c:v>
                </c:pt>
                <c:pt idx="3">
                  <c:v>2425.6999999999998</c:v>
                </c:pt>
                <c:pt idx="4">
                  <c:v>2407.5</c:v>
                </c:pt>
                <c:pt idx="5">
                  <c:v>2390.4</c:v>
                </c:pt>
                <c:pt idx="6">
                  <c:v>2375.1</c:v>
                </c:pt>
                <c:pt idx="7">
                  <c:v>2354.4</c:v>
                </c:pt>
                <c:pt idx="8">
                  <c:v>2336.9</c:v>
                </c:pt>
                <c:pt idx="9">
                  <c:v>2318.6</c:v>
                </c:pt>
                <c:pt idx="10">
                  <c:v>2295</c:v>
                </c:pt>
                <c:pt idx="11">
                  <c:v>2267.1999999999998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83-4143-8CD5-A16354C94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479472"/>
        <c:axId val="1280168624"/>
      </c:scatterChart>
      <c:valAx>
        <c:axId val="840479472"/>
        <c:scaling>
          <c:orientation val="minMax"/>
          <c:min val="20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168624"/>
        <c:crosses val="autoZero"/>
        <c:crossBetween val="midCat"/>
        <c:majorUnit val="1"/>
      </c:valAx>
      <c:valAx>
        <c:axId val="1280168624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47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solidFill>
                  <a:sysClr val="windowText" lastClr="000000"/>
                </a:solidFill>
              </a:rPr>
              <a:t>Łódź - przeciętne w</a:t>
            </a:r>
            <a:r>
              <a:rPr lang="en-US">
                <a:solidFill>
                  <a:sysClr val="windowText" lastClr="000000"/>
                </a:solidFill>
              </a:rPr>
              <a:t>ynagrodzenie brutto (zł)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'Model ekonometryczny'!$AF$185</c:f>
              <c:strCache>
                <c:ptCount val="1"/>
                <c:pt idx="0">
                  <c:v>Wynagrodzenie brutto (zł)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"/>
            <c:dispRSqr val="1"/>
            <c:dispEq val="0"/>
            <c:trendlineLbl>
              <c:layout>
                <c:manualLayout>
                  <c:x val="-8.9028559857317544E-3"/>
                  <c:y val="-6.80540400614717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ekonometryczny'!$AE$186:$AE$197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xVal>
          <c:yVal>
            <c:numRef>
              <c:f>'Model ekonometryczny'!$AF$186:$AF$197</c:f>
              <c:numCache>
                <c:formatCode>#,##0</c:formatCode>
                <c:ptCount val="12"/>
                <c:pt idx="0">
                  <c:v>3243.15</c:v>
                </c:pt>
                <c:pt idx="1">
                  <c:v>3427.06</c:v>
                </c:pt>
                <c:pt idx="2">
                  <c:v>3568.84</c:v>
                </c:pt>
                <c:pt idx="3">
                  <c:v>3710.91</c:v>
                </c:pt>
                <c:pt idx="4">
                  <c:v>3837.47</c:v>
                </c:pt>
                <c:pt idx="5">
                  <c:v>4047.78</c:v>
                </c:pt>
                <c:pt idx="6">
                  <c:v>4230.12</c:v>
                </c:pt>
                <c:pt idx="7">
                  <c:v>4462.5</c:v>
                </c:pt>
                <c:pt idx="8">
                  <c:v>4779.47</c:v>
                </c:pt>
                <c:pt idx="9">
                  <c:v>5174.84</c:v>
                </c:pt>
                <c:pt idx="10">
                  <c:v>5510.99</c:v>
                </c:pt>
                <c:pt idx="11">
                  <c:v>6062.04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8D-4C0A-BC99-82B14DE83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469392"/>
        <c:axId val="1359572912"/>
      </c:scatterChart>
      <c:valAx>
        <c:axId val="840469392"/>
        <c:scaling>
          <c:orientation val="minMax"/>
          <c:max val="2022"/>
          <c:min val="20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572912"/>
        <c:crosses val="autoZero"/>
        <c:crossBetween val="midCat"/>
        <c:majorUnit val="1"/>
      </c:valAx>
      <c:valAx>
        <c:axId val="1359572912"/>
        <c:scaling>
          <c:orientation val="minMax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46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Poznań - Porównanie wartości rzeczywistych i wartości prognozy IIa wariantu metody naiwnej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rgbClr val="16161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'Metoda naiwna'!$D$8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rgbClr val="C9C9C9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'Metoda naiwna'!$D$9:$D$20</c:f>
              <c:numCache>
                <c:formatCode>0</c:formatCode>
                <c:ptCount val="12"/>
                <c:pt idx="0">
                  <c:v>4793</c:v>
                </c:pt>
                <c:pt idx="1">
                  <c:v>5029</c:v>
                </c:pt>
                <c:pt idx="2">
                  <c:v>4712</c:v>
                </c:pt>
                <c:pt idx="3">
                  <c:v>5117</c:v>
                </c:pt>
                <c:pt idx="4">
                  <c:v>5264</c:v>
                </c:pt>
                <c:pt idx="5">
                  <c:v>5373</c:v>
                </c:pt>
                <c:pt idx="6">
                  <c:v>5470</c:v>
                </c:pt>
                <c:pt idx="7">
                  <c:v>5654</c:v>
                </c:pt>
                <c:pt idx="8">
                  <c:v>6122</c:v>
                </c:pt>
                <c:pt idx="9">
                  <c:v>6379</c:v>
                </c:pt>
                <c:pt idx="10">
                  <c:v>6802</c:v>
                </c:pt>
                <c:pt idx="11">
                  <c:v>7554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65-4396-A657-58F9018623BC}"/>
            </c:ext>
          </c:extLst>
        </c:ser>
        <c:ser>
          <c:idx val="1"/>
          <c:order val="1"/>
          <c:tx>
            <c:strRef>
              <c:f>'Metoda naiwna'!$F$8</c:f>
              <c:strCache>
                <c:ptCount val="1"/>
                <c:pt idx="0">
                  <c:v>Y*(IIa)</c:v>
                </c:pt>
              </c:strCache>
            </c:strRef>
          </c:tx>
          <c:spPr>
            <a:ln w="28575" cap="rnd">
              <a:solidFill>
                <a:srgbClr val="8EA9DB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'Metoda naiwna'!$F$9:$F$20</c:f>
              <c:numCache>
                <c:formatCode>0</c:formatCode>
                <c:ptCount val="12"/>
                <c:pt idx="2">
                  <c:v>5265</c:v>
                </c:pt>
                <c:pt idx="3">
                  <c:v>4395</c:v>
                </c:pt>
                <c:pt idx="4">
                  <c:v>5522</c:v>
                </c:pt>
                <c:pt idx="5">
                  <c:v>5411</c:v>
                </c:pt>
                <c:pt idx="6">
                  <c:v>5482</c:v>
                </c:pt>
                <c:pt idx="7">
                  <c:v>5567</c:v>
                </c:pt>
                <c:pt idx="8">
                  <c:v>5838</c:v>
                </c:pt>
                <c:pt idx="9">
                  <c:v>6590</c:v>
                </c:pt>
                <c:pt idx="10">
                  <c:v>6636</c:v>
                </c:pt>
                <c:pt idx="11">
                  <c:v>7225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65-4396-A657-58F901862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30376"/>
        <c:axId val="15932424"/>
      </c:lineChart>
      <c:catAx>
        <c:axId val="15930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2424"/>
        <c:crosses val="autoZero"/>
        <c:auto val="1"/>
        <c:lblAlgn val="ctr"/>
        <c:lblOffset val="100"/>
        <c:noMultiLvlLbl val="0"/>
      </c:catAx>
      <c:valAx>
        <c:axId val="1593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Poznań - Porównanie wartości rzeczywistych i wartości prognozy IIb wariantu metody naiwnej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rgbClr val="16161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'Metoda naiwna'!$D$8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rgbClr val="C9C9C9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'Metoda naiwna'!$D$9:$D$20</c:f>
              <c:numCache>
                <c:formatCode>0</c:formatCode>
                <c:ptCount val="12"/>
                <c:pt idx="0">
                  <c:v>4793</c:v>
                </c:pt>
                <c:pt idx="1">
                  <c:v>5029</c:v>
                </c:pt>
                <c:pt idx="2">
                  <c:v>4712</c:v>
                </c:pt>
                <c:pt idx="3">
                  <c:v>5117</c:v>
                </c:pt>
                <c:pt idx="4">
                  <c:v>5264</c:v>
                </c:pt>
                <c:pt idx="5">
                  <c:v>5373</c:v>
                </c:pt>
                <c:pt idx="6">
                  <c:v>5470</c:v>
                </c:pt>
                <c:pt idx="7">
                  <c:v>5654</c:v>
                </c:pt>
                <c:pt idx="8">
                  <c:v>6122</c:v>
                </c:pt>
                <c:pt idx="9">
                  <c:v>6379</c:v>
                </c:pt>
                <c:pt idx="10">
                  <c:v>6802</c:v>
                </c:pt>
                <c:pt idx="11">
                  <c:v>7554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60-405A-B6F1-ACBA90E10E5D}"/>
            </c:ext>
          </c:extLst>
        </c:ser>
        <c:ser>
          <c:idx val="1"/>
          <c:order val="1"/>
          <c:tx>
            <c:strRef>
              <c:f>'Metoda naiwna'!$I$8</c:f>
              <c:strCache>
                <c:ptCount val="1"/>
                <c:pt idx="0">
                  <c:v>Y*(IIb)</c:v>
                </c:pt>
              </c:strCache>
            </c:strRef>
          </c:tx>
          <c:spPr>
            <a:ln w="28575" cap="rnd">
              <a:solidFill>
                <a:srgbClr val="70AD47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'Metoda naiwna'!$I$9:$I$20</c:f>
              <c:numCache>
                <c:formatCode>0</c:formatCode>
                <c:ptCount val="12"/>
                <c:pt idx="2">
                  <c:v>5276.6202795743793</c:v>
                </c:pt>
                <c:pt idx="3">
                  <c:v>4414.9819049512826</c:v>
                </c:pt>
                <c:pt idx="4">
                  <c:v>5556.8100594227499</c:v>
                </c:pt>
                <c:pt idx="5">
                  <c:v>5415.2229822161426</c:v>
                </c:pt>
                <c:pt idx="6">
                  <c:v>5484.2570288753795</c:v>
                </c:pt>
                <c:pt idx="7">
                  <c:v>5568.7511632235255</c:v>
                </c:pt>
                <c:pt idx="8">
                  <c:v>5844.1893967093238</c:v>
                </c:pt>
                <c:pt idx="9">
                  <c:v>6628.7378846834108</c:v>
                </c:pt>
                <c:pt idx="10">
                  <c:v>6646.7887945115972</c:v>
                </c:pt>
                <c:pt idx="11">
                  <c:v>7253.0496943094522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60-405A-B6F1-ACBA90E10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30376"/>
        <c:axId val="15932424"/>
      </c:lineChart>
      <c:catAx>
        <c:axId val="15930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2424"/>
        <c:crosses val="autoZero"/>
        <c:auto val="1"/>
        <c:lblAlgn val="ctr"/>
        <c:lblOffset val="100"/>
        <c:noMultiLvlLbl val="0"/>
      </c:catAx>
      <c:valAx>
        <c:axId val="1593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Warszawa - Porównanie wartości rzeczywistych i wartości prognozy IIa wariantu metody naiwnej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rgbClr val="16161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'Metoda naiwna'!$D$29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rgbClr val="C9C9C9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'Metoda naiwna'!$D$30:$D$41</c:f>
              <c:numCache>
                <c:formatCode>0</c:formatCode>
                <c:ptCount val="12"/>
                <c:pt idx="0">
                  <c:v>8421</c:v>
                </c:pt>
                <c:pt idx="1">
                  <c:v>8245</c:v>
                </c:pt>
                <c:pt idx="2">
                  <c:v>8022</c:v>
                </c:pt>
                <c:pt idx="3">
                  <c:v>7421</c:v>
                </c:pt>
                <c:pt idx="4">
                  <c:v>7685</c:v>
                </c:pt>
                <c:pt idx="5">
                  <c:v>7664</c:v>
                </c:pt>
                <c:pt idx="6">
                  <c:v>7783</c:v>
                </c:pt>
                <c:pt idx="7">
                  <c:v>8200</c:v>
                </c:pt>
                <c:pt idx="8">
                  <c:v>8769</c:v>
                </c:pt>
                <c:pt idx="9">
                  <c:v>9073</c:v>
                </c:pt>
                <c:pt idx="10">
                  <c:v>9901</c:v>
                </c:pt>
                <c:pt idx="11">
                  <c:v>11077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9A-4701-9E8E-6C553376F28B}"/>
            </c:ext>
          </c:extLst>
        </c:ser>
        <c:ser>
          <c:idx val="1"/>
          <c:order val="1"/>
          <c:tx>
            <c:strRef>
              <c:f>'Metoda naiwna'!$F$29</c:f>
              <c:strCache>
                <c:ptCount val="1"/>
                <c:pt idx="0">
                  <c:v>Y*(IIa)</c:v>
                </c:pt>
              </c:strCache>
            </c:strRef>
          </c:tx>
          <c:spPr>
            <a:ln w="28575" cap="rnd">
              <a:solidFill>
                <a:srgbClr val="8EA9DB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'Metoda naiwna'!$F$30:$F$41</c:f>
              <c:numCache>
                <c:formatCode>0</c:formatCode>
                <c:ptCount val="12"/>
                <c:pt idx="2">
                  <c:v>8069</c:v>
                </c:pt>
                <c:pt idx="3">
                  <c:v>7799</c:v>
                </c:pt>
                <c:pt idx="4">
                  <c:v>6820</c:v>
                </c:pt>
                <c:pt idx="5">
                  <c:v>7949</c:v>
                </c:pt>
                <c:pt idx="6">
                  <c:v>7643</c:v>
                </c:pt>
                <c:pt idx="7">
                  <c:v>7902</c:v>
                </c:pt>
                <c:pt idx="8">
                  <c:v>8617</c:v>
                </c:pt>
                <c:pt idx="9">
                  <c:v>9338</c:v>
                </c:pt>
                <c:pt idx="10">
                  <c:v>9377</c:v>
                </c:pt>
                <c:pt idx="11">
                  <c:v>10729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9A-4701-9E8E-6C553376F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30376"/>
        <c:axId val="15932424"/>
      </c:lineChart>
      <c:catAx>
        <c:axId val="15930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2424"/>
        <c:crosses val="autoZero"/>
        <c:auto val="1"/>
        <c:lblAlgn val="ctr"/>
        <c:lblOffset val="100"/>
        <c:noMultiLvlLbl val="0"/>
      </c:catAx>
      <c:valAx>
        <c:axId val="1593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Warszawa - Porównanie wartości rzeczywistych i wartości prognozy IIb wariantu metody naiwnej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rgbClr val="16161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'Metoda naiwna'!$D$29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rgbClr val="C9C9C9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'Metoda naiwna'!$D$30:$D$41</c:f>
              <c:numCache>
                <c:formatCode>0</c:formatCode>
                <c:ptCount val="12"/>
                <c:pt idx="0">
                  <c:v>8421</c:v>
                </c:pt>
                <c:pt idx="1">
                  <c:v>8245</c:v>
                </c:pt>
                <c:pt idx="2">
                  <c:v>8022</c:v>
                </c:pt>
                <c:pt idx="3">
                  <c:v>7421</c:v>
                </c:pt>
                <c:pt idx="4">
                  <c:v>7685</c:v>
                </c:pt>
                <c:pt idx="5">
                  <c:v>7664</c:v>
                </c:pt>
                <c:pt idx="6">
                  <c:v>7783</c:v>
                </c:pt>
                <c:pt idx="7">
                  <c:v>8200</c:v>
                </c:pt>
                <c:pt idx="8">
                  <c:v>8769</c:v>
                </c:pt>
                <c:pt idx="9">
                  <c:v>9073</c:v>
                </c:pt>
                <c:pt idx="10">
                  <c:v>9901</c:v>
                </c:pt>
                <c:pt idx="11">
                  <c:v>11077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10-4E44-B914-DB7C68290407}"/>
            </c:ext>
          </c:extLst>
        </c:ser>
        <c:ser>
          <c:idx val="1"/>
          <c:order val="1"/>
          <c:tx>
            <c:strRef>
              <c:f>'Metoda naiwna'!$I$29</c:f>
              <c:strCache>
                <c:ptCount val="1"/>
                <c:pt idx="0">
                  <c:v>Y*(IIb)</c:v>
                </c:pt>
              </c:strCache>
            </c:strRef>
          </c:tx>
          <c:spPr>
            <a:ln w="28575" cap="rnd">
              <a:solidFill>
                <a:srgbClr val="70AD47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'Metoda naiwna'!$I$30:$I$41</c:f>
              <c:numCache>
                <c:formatCode>0</c:formatCode>
                <c:ptCount val="12"/>
                <c:pt idx="2">
                  <c:v>8072.6784229901441</c:v>
                </c:pt>
                <c:pt idx="3">
                  <c:v>7805.0314129775625</c:v>
                </c:pt>
                <c:pt idx="4">
                  <c:v>6865.0263026676639</c:v>
                </c:pt>
                <c:pt idx="5">
                  <c:v>7958.3917261824554</c:v>
                </c:pt>
                <c:pt idx="6">
                  <c:v>7643.0573845152894</c:v>
                </c:pt>
                <c:pt idx="7">
                  <c:v>7903.8477296450938</c:v>
                </c:pt>
                <c:pt idx="8">
                  <c:v>8639.3421559809849</c:v>
                </c:pt>
                <c:pt idx="9">
                  <c:v>9377.4830487804866</c:v>
                </c:pt>
                <c:pt idx="10">
                  <c:v>9387.5389440072977</c:v>
                </c:pt>
                <c:pt idx="11">
                  <c:v>10804.563099305633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10-4E44-B914-DB7C68290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30376"/>
        <c:axId val="15932424"/>
      </c:lineChart>
      <c:catAx>
        <c:axId val="15930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2424"/>
        <c:crosses val="autoZero"/>
        <c:auto val="1"/>
        <c:lblAlgn val="ctr"/>
        <c:lblOffset val="100"/>
        <c:noMultiLvlLbl val="0"/>
      </c:catAx>
      <c:valAx>
        <c:axId val="1593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Gdańsk - Porównanie wartości rzeczywistych i wartości prognozy IIa wariantu metody naiwnej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rgbClr val="16161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'Metoda naiwna'!$D$50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rgbClr val="C9C9C9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'Metoda naiwna'!$D$51:$D$62</c:f>
              <c:numCache>
                <c:formatCode>0</c:formatCode>
                <c:ptCount val="12"/>
                <c:pt idx="0">
                  <c:v>4461</c:v>
                </c:pt>
                <c:pt idx="1">
                  <c:v>4977</c:v>
                </c:pt>
                <c:pt idx="2">
                  <c:v>5261</c:v>
                </c:pt>
                <c:pt idx="3">
                  <c:v>5277</c:v>
                </c:pt>
                <c:pt idx="4">
                  <c:v>5346</c:v>
                </c:pt>
                <c:pt idx="5">
                  <c:v>5403</c:v>
                </c:pt>
                <c:pt idx="6">
                  <c:v>5719</c:v>
                </c:pt>
                <c:pt idx="7">
                  <c:v>6478</c:v>
                </c:pt>
                <c:pt idx="8">
                  <c:v>6795</c:v>
                </c:pt>
                <c:pt idx="9">
                  <c:v>7519</c:v>
                </c:pt>
                <c:pt idx="10">
                  <c:v>8401</c:v>
                </c:pt>
                <c:pt idx="11">
                  <c:v>9346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6C-45F0-B789-E4BD6D4E803D}"/>
            </c:ext>
          </c:extLst>
        </c:ser>
        <c:ser>
          <c:idx val="1"/>
          <c:order val="1"/>
          <c:tx>
            <c:strRef>
              <c:f>'Metoda naiwna'!$F$50</c:f>
              <c:strCache>
                <c:ptCount val="1"/>
                <c:pt idx="0">
                  <c:v>Y*(IIa)</c:v>
                </c:pt>
              </c:strCache>
            </c:strRef>
          </c:tx>
          <c:spPr>
            <a:ln w="28575" cap="rnd">
              <a:solidFill>
                <a:srgbClr val="8EA9DB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'Metoda naiwna'!$F$51:$F$62</c:f>
              <c:numCache>
                <c:formatCode>0</c:formatCode>
                <c:ptCount val="12"/>
                <c:pt idx="2">
                  <c:v>5493</c:v>
                </c:pt>
                <c:pt idx="3">
                  <c:v>5545</c:v>
                </c:pt>
                <c:pt idx="4">
                  <c:v>5293</c:v>
                </c:pt>
                <c:pt idx="5">
                  <c:v>5415</c:v>
                </c:pt>
                <c:pt idx="6">
                  <c:v>5460</c:v>
                </c:pt>
                <c:pt idx="7">
                  <c:v>6035</c:v>
                </c:pt>
                <c:pt idx="8">
                  <c:v>7237</c:v>
                </c:pt>
                <c:pt idx="9">
                  <c:v>7112</c:v>
                </c:pt>
                <c:pt idx="10">
                  <c:v>8243</c:v>
                </c:pt>
                <c:pt idx="11">
                  <c:v>9283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6C-45F0-B789-E4BD6D4E8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30376"/>
        <c:axId val="15932424"/>
      </c:lineChart>
      <c:catAx>
        <c:axId val="15930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2424"/>
        <c:crosses val="autoZero"/>
        <c:auto val="1"/>
        <c:lblAlgn val="ctr"/>
        <c:lblOffset val="100"/>
        <c:noMultiLvlLbl val="0"/>
      </c:catAx>
      <c:valAx>
        <c:axId val="1593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Gdańsk - Porównanie wartości rzeczywistych i wartości prognozy IIb wariantu metody naiwnej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rgbClr val="16161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'Metoda naiwna'!$D$50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rgbClr val="C9C9C9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'Metoda naiwna'!$D$51:$D$62</c:f>
              <c:numCache>
                <c:formatCode>0</c:formatCode>
                <c:ptCount val="12"/>
                <c:pt idx="0">
                  <c:v>4461</c:v>
                </c:pt>
                <c:pt idx="1">
                  <c:v>4977</c:v>
                </c:pt>
                <c:pt idx="2">
                  <c:v>5261</c:v>
                </c:pt>
                <c:pt idx="3">
                  <c:v>5277</c:v>
                </c:pt>
                <c:pt idx="4">
                  <c:v>5346</c:v>
                </c:pt>
                <c:pt idx="5">
                  <c:v>5403</c:v>
                </c:pt>
                <c:pt idx="6">
                  <c:v>5719</c:v>
                </c:pt>
                <c:pt idx="7">
                  <c:v>6478</c:v>
                </c:pt>
                <c:pt idx="8">
                  <c:v>6795</c:v>
                </c:pt>
                <c:pt idx="9">
                  <c:v>7519</c:v>
                </c:pt>
                <c:pt idx="10">
                  <c:v>8401</c:v>
                </c:pt>
                <c:pt idx="11">
                  <c:v>9346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F9-475A-8FEF-66A848B94A73}"/>
            </c:ext>
          </c:extLst>
        </c:ser>
        <c:ser>
          <c:idx val="1"/>
          <c:order val="1"/>
          <c:tx>
            <c:strRef>
              <c:f>'Metoda naiwna'!$I$50</c:f>
              <c:strCache>
                <c:ptCount val="1"/>
                <c:pt idx="0">
                  <c:v>Y*(IIb)</c:v>
                </c:pt>
              </c:strCache>
            </c:strRef>
          </c:tx>
          <c:spPr>
            <a:ln w="28575" cap="rnd">
              <a:solidFill>
                <a:srgbClr val="70AD47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'Metoda naiwna'!$I$51:$I$62</c:f>
              <c:numCache>
                <c:formatCode>0</c:formatCode>
                <c:ptCount val="12"/>
                <c:pt idx="2">
                  <c:v>5552.6852723604579</c:v>
                </c:pt>
                <c:pt idx="3">
                  <c:v>5561.2057464335949</c:v>
                </c:pt>
                <c:pt idx="4">
                  <c:v>5293.0486599505793</c:v>
                </c:pt>
                <c:pt idx="5">
                  <c:v>5415.9022171688457</c:v>
                </c:pt>
                <c:pt idx="6">
                  <c:v>5460.6077441077441</c:v>
                </c:pt>
                <c:pt idx="7">
                  <c:v>6053.4815843050155</c:v>
                </c:pt>
                <c:pt idx="8">
                  <c:v>7337.7310718657109</c:v>
                </c:pt>
                <c:pt idx="9">
                  <c:v>7127.5123494905829</c:v>
                </c:pt>
                <c:pt idx="10">
                  <c:v>8320.1414275202351</c:v>
                </c:pt>
                <c:pt idx="11">
                  <c:v>9386.4610985503386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F9-475A-8FEF-66A848B94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30376"/>
        <c:axId val="15932424"/>
      </c:lineChart>
      <c:catAx>
        <c:axId val="15930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2424"/>
        <c:crosses val="autoZero"/>
        <c:auto val="1"/>
        <c:lblAlgn val="ctr"/>
        <c:lblOffset val="100"/>
        <c:noMultiLvlLbl val="0"/>
      </c:catAx>
      <c:valAx>
        <c:axId val="1593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Łódź - Porównanie wartości rzeczywistych i wartości prognozy IIa wariantu metody naiwnej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rgbClr val="16161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'Metoda naiwna'!$D$71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rgbClr val="C9C9C9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'Metoda naiwna'!$D$72:$D$83</c:f>
              <c:numCache>
                <c:formatCode>0</c:formatCode>
                <c:ptCount val="12"/>
                <c:pt idx="0">
                  <c:v>4090</c:v>
                </c:pt>
                <c:pt idx="1">
                  <c:v>3870</c:v>
                </c:pt>
                <c:pt idx="2">
                  <c:v>3725</c:v>
                </c:pt>
                <c:pt idx="3">
                  <c:v>3580</c:v>
                </c:pt>
                <c:pt idx="4">
                  <c:v>3478</c:v>
                </c:pt>
                <c:pt idx="5">
                  <c:v>3543</c:v>
                </c:pt>
                <c:pt idx="6">
                  <c:v>3700</c:v>
                </c:pt>
                <c:pt idx="7">
                  <c:v>3898</c:v>
                </c:pt>
                <c:pt idx="8">
                  <c:v>4306</c:v>
                </c:pt>
                <c:pt idx="9">
                  <c:v>4693</c:v>
                </c:pt>
                <c:pt idx="10">
                  <c:v>5198</c:v>
                </c:pt>
                <c:pt idx="11">
                  <c:v>5859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29-4473-9883-F7B125D96E6D}"/>
            </c:ext>
          </c:extLst>
        </c:ser>
        <c:ser>
          <c:idx val="1"/>
          <c:order val="1"/>
          <c:tx>
            <c:strRef>
              <c:f>'Metoda naiwna'!$F$71</c:f>
              <c:strCache>
                <c:ptCount val="1"/>
                <c:pt idx="0">
                  <c:v>Y*(IIa)</c:v>
                </c:pt>
              </c:strCache>
            </c:strRef>
          </c:tx>
          <c:spPr>
            <a:ln w="28575" cap="rnd">
              <a:solidFill>
                <a:srgbClr val="8EA9DB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'Metoda naiwna'!$F$72:$F$83</c:f>
              <c:numCache>
                <c:formatCode>0</c:formatCode>
                <c:ptCount val="12"/>
                <c:pt idx="2">
                  <c:v>3650</c:v>
                </c:pt>
                <c:pt idx="3">
                  <c:v>3580</c:v>
                </c:pt>
                <c:pt idx="4">
                  <c:v>3435</c:v>
                </c:pt>
                <c:pt idx="5">
                  <c:v>3376</c:v>
                </c:pt>
                <c:pt idx="6">
                  <c:v>3608</c:v>
                </c:pt>
                <c:pt idx="7">
                  <c:v>3857</c:v>
                </c:pt>
                <c:pt idx="8">
                  <c:v>4096</c:v>
                </c:pt>
                <c:pt idx="9">
                  <c:v>4714</c:v>
                </c:pt>
                <c:pt idx="10">
                  <c:v>5080</c:v>
                </c:pt>
                <c:pt idx="11">
                  <c:v>5703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29-4473-9883-F7B125D96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30376"/>
        <c:axId val="15932424"/>
      </c:lineChart>
      <c:catAx>
        <c:axId val="15930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2424"/>
        <c:crosses val="autoZero"/>
        <c:auto val="1"/>
        <c:lblAlgn val="ctr"/>
        <c:lblOffset val="100"/>
        <c:noMultiLvlLbl val="0"/>
      </c:catAx>
      <c:valAx>
        <c:axId val="1593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Łódź - Porównanie wartości rzeczywistych i wartości prognozy IIb wariantu metody naiwnej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rgbClr val="16161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'Metoda naiwna'!$D$71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rgbClr val="C9C9C9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'Metoda naiwna'!$D$72:$D$83</c:f>
              <c:numCache>
                <c:formatCode>0</c:formatCode>
                <c:ptCount val="12"/>
                <c:pt idx="0">
                  <c:v>4090</c:v>
                </c:pt>
                <c:pt idx="1">
                  <c:v>3870</c:v>
                </c:pt>
                <c:pt idx="2">
                  <c:v>3725</c:v>
                </c:pt>
                <c:pt idx="3">
                  <c:v>3580</c:v>
                </c:pt>
                <c:pt idx="4">
                  <c:v>3478</c:v>
                </c:pt>
                <c:pt idx="5">
                  <c:v>3543</c:v>
                </c:pt>
                <c:pt idx="6">
                  <c:v>3700</c:v>
                </c:pt>
                <c:pt idx="7">
                  <c:v>3898</c:v>
                </c:pt>
                <c:pt idx="8">
                  <c:v>4306</c:v>
                </c:pt>
                <c:pt idx="9">
                  <c:v>4693</c:v>
                </c:pt>
                <c:pt idx="10">
                  <c:v>5198</c:v>
                </c:pt>
                <c:pt idx="11">
                  <c:v>5859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D9-4EA7-BC1F-3FFB3EC203A4}"/>
            </c:ext>
          </c:extLst>
        </c:ser>
        <c:ser>
          <c:idx val="1"/>
          <c:order val="1"/>
          <c:tx>
            <c:strRef>
              <c:f>'Metoda naiwna'!$I$71</c:f>
              <c:strCache>
                <c:ptCount val="1"/>
                <c:pt idx="0">
                  <c:v>Y*(IIb)</c:v>
                </c:pt>
              </c:strCache>
            </c:strRef>
          </c:tx>
          <c:spPr>
            <a:ln w="28575" cap="rnd">
              <a:solidFill>
                <a:srgbClr val="70AD47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'Metoda naiwna'!$I$72:$I$83</c:f>
              <c:numCache>
                <c:formatCode>0</c:formatCode>
                <c:ptCount val="12"/>
                <c:pt idx="2">
                  <c:v>3661.8337408312959</c:v>
                </c:pt>
                <c:pt idx="3">
                  <c:v>3585.4328165374677</c:v>
                </c:pt>
                <c:pt idx="4">
                  <c:v>3440.6442953020137</c:v>
                </c:pt>
                <c:pt idx="5">
                  <c:v>3378.9061452513965</c:v>
                </c:pt>
                <c:pt idx="6">
                  <c:v>3609.2147786083956</c:v>
                </c:pt>
                <c:pt idx="7">
                  <c:v>3863.9570985040923</c:v>
                </c:pt>
                <c:pt idx="8">
                  <c:v>4106.595675675675</c:v>
                </c:pt>
                <c:pt idx="9">
                  <c:v>4756.7049769112364</c:v>
                </c:pt>
                <c:pt idx="10">
                  <c:v>5114.781467719461</c:v>
                </c:pt>
                <c:pt idx="11">
                  <c:v>5757.3415725548684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D9-4EA7-BC1F-3FFB3EC20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30376"/>
        <c:axId val="15932424"/>
      </c:lineChart>
      <c:catAx>
        <c:axId val="15930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2424"/>
        <c:crosses val="autoZero"/>
        <c:auto val="1"/>
        <c:lblAlgn val="ctr"/>
        <c:lblOffset val="100"/>
        <c:noMultiLvlLbl val="0"/>
      </c:catAx>
      <c:valAx>
        <c:axId val="1593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'Wygładzanie wykładnicze'!$B$4</c:f>
              <c:strCache>
                <c:ptCount val="1"/>
                <c:pt idx="0">
                  <c:v>Cena za m² (zł)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'Wygładzanie wykładnicze'!$B$5:$B$16</c:f>
              <c:numCache>
                <c:formatCode>General</c:formatCode>
                <c:ptCount val="12"/>
                <c:pt idx="0">
                  <c:v>6313</c:v>
                </c:pt>
                <c:pt idx="1">
                  <c:v>6272</c:v>
                </c:pt>
                <c:pt idx="2">
                  <c:v>5835</c:v>
                </c:pt>
                <c:pt idx="3">
                  <c:v>5919</c:v>
                </c:pt>
                <c:pt idx="4">
                  <c:v>6105</c:v>
                </c:pt>
                <c:pt idx="5">
                  <c:v>6113</c:v>
                </c:pt>
                <c:pt idx="6">
                  <c:v>6109</c:v>
                </c:pt>
                <c:pt idx="7">
                  <c:v>6279</c:v>
                </c:pt>
                <c:pt idx="8">
                  <c:v>6395</c:v>
                </c:pt>
                <c:pt idx="9">
                  <c:v>6572</c:v>
                </c:pt>
                <c:pt idx="10">
                  <c:v>6840</c:v>
                </c:pt>
                <c:pt idx="11">
                  <c:v>7781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D4-49CE-89FB-730D6573D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4135432"/>
        <c:axId val="893104648"/>
      </c:lineChart>
      <c:catAx>
        <c:axId val="324135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104648"/>
        <c:crosses val="autoZero"/>
        <c:auto val="1"/>
        <c:lblAlgn val="ctr"/>
        <c:lblOffset val="100"/>
        <c:noMultiLvlLbl val="0"/>
      </c:catAx>
      <c:valAx>
        <c:axId val="89310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35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'Wygładzanie wykładnicze'!$B$27</c:f>
              <c:strCache>
                <c:ptCount val="1"/>
                <c:pt idx="0">
                  <c:v>Cena za m² (zł)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'Wygładzanie wykładnicze'!$B$28:$B$39</c:f>
              <c:numCache>
                <c:formatCode>#,##0</c:formatCode>
                <c:ptCount val="12"/>
                <c:pt idx="0">
                  <c:v>8421</c:v>
                </c:pt>
                <c:pt idx="1">
                  <c:v>8245</c:v>
                </c:pt>
                <c:pt idx="2">
                  <c:v>8022</c:v>
                </c:pt>
                <c:pt idx="3">
                  <c:v>7421</c:v>
                </c:pt>
                <c:pt idx="4">
                  <c:v>7685</c:v>
                </c:pt>
                <c:pt idx="5">
                  <c:v>7664</c:v>
                </c:pt>
                <c:pt idx="6">
                  <c:v>7783</c:v>
                </c:pt>
                <c:pt idx="7">
                  <c:v>8200</c:v>
                </c:pt>
                <c:pt idx="8">
                  <c:v>8769</c:v>
                </c:pt>
                <c:pt idx="9">
                  <c:v>9073</c:v>
                </c:pt>
                <c:pt idx="10">
                  <c:v>9901</c:v>
                </c:pt>
                <c:pt idx="11">
                  <c:v>11077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27-4A1D-8AEE-4E57786FC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752520"/>
        <c:axId val="242787336"/>
      </c:lineChart>
      <c:catAx>
        <c:axId val="242752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787336"/>
        <c:crosses val="autoZero"/>
        <c:auto val="1"/>
        <c:lblAlgn val="ctr"/>
        <c:lblOffset val="100"/>
        <c:noMultiLvlLbl val="0"/>
      </c:catAx>
      <c:valAx>
        <c:axId val="24278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752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'Wygładzanie wykładnicze'!$B$50</c:f>
              <c:strCache>
                <c:ptCount val="1"/>
                <c:pt idx="0">
                  <c:v>Cena za m² (zł)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6301399825021873E-3"/>
                  <c:y val="-5.5156022163896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'Wygładzanie wykładnicze'!$B$51:$B$62</c:f>
              <c:numCache>
                <c:formatCode>#,##0</c:formatCode>
                <c:ptCount val="12"/>
                <c:pt idx="0">
                  <c:v>4461</c:v>
                </c:pt>
                <c:pt idx="1">
                  <c:v>4977</c:v>
                </c:pt>
                <c:pt idx="2">
                  <c:v>5261</c:v>
                </c:pt>
                <c:pt idx="3">
                  <c:v>5277</c:v>
                </c:pt>
                <c:pt idx="4">
                  <c:v>5346</c:v>
                </c:pt>
                <c:pt idx="5">
                  <c:v>5403</c:v>
                </c:pt>
                <c:pt idx="6">
                  <c:v>5719</c:v>
                </c:pt>
                <c:pt idx="7">
                  <c:v>6478</c:v>
                </c:pt>
                <c:pt idx="8">
                  <c:v>6795</c:v>
                </c:pt>
                <c:pt idx="9">
                  <c:v>7519</c:v>
                </c:pt>
                <c:pt idx="10">
                  <c:v>8401</c:v>
                </c:pt>
                <c:pt idx="11">
                  <c:v>9346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FA-48AA-BD8E-EF24F7E09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773512"/>
        <c:axId val="242779656"/>
      </c:lineChart>
      <c:catAx>
        <c:axId val="242773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779656"/>
        <c:crosses val="autoZero"/>
        <c:auto val="1"/>
        <c:lblAlgn val="ctr"/>
        <c:lblOffset val="100"/>
        <c:noMultiLvlLbl val="0"/>
      </c:catAx>
      <c:valAx>
        <c:axId val="24277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77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'Wygładzanie wykładnicze'!$B$72</c:f>
              <c:strCache>
                <c:ptCount val="1"/>
                <c:pt idx="0">
                  <c:v>Cena za m² (zł)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'Wygładzanie wykładnicze'!$B$73:$B$84</c:f>
              <c:numCache>
                <c:formatCode>#,##0</c:formatCode>
                <c:ptCount val="12"/>
                <c:pt idx="0">
                  <c:v>4090</c:v>
                </c:pt>
                <c:pt idx="1">
                  <c:v>3870</c:v>
                </c:pt>
                <c:pt idx="2">
                  <c:v>3725</c:v>
                </c:pt>
                <c:pt idx="3">
                  <c:v>3580</c:v>
                </c:pt>
                <c:pt idx="4">
                  <c:v>3478</c:v>
                </c:pt>
                <c:pt idx="5">
                  <c:v>3543</c:v>
                </c:pt>
                <c:pt idx="6">
                  <c:v>3700</c:v>
                </c:pt>
                <c:pt idx="7">
                  <c:v>3898</c:v>
                </c:pt>
                <c:pt idx="8">
                  <c:v>4306</c:v>
                </c:pt>
                <c:pt idx="9">
                  <c:v>4693</c:v>
                </c:pt>
                <c:pt idx="10">
                  <c:v>5198</c:v>
                </c:pt>
                <c:pt idx="11">
                  <c:v>5859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BD-4AD7-AD72-F9B1DA230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8208904"/>
        <c:axId val="242808328"/>
      </c:lineChart>
      <c:catAx>
        <c:axId val="1528208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08328"/>
        <c:crosses val="autoZero"/>
        <c:auto val="1"/>
        <c:lblAlgn val="ctr"/>
        <c:lblOffset val="100"/>
        <c:noMultiLvlLbl val="0"/>
      </c:catAx>
      <c:valAx>
        <c:axId val="24280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208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'Test Chow''a - do wyjebania'!$C$2</c:f>
              <c:strCache>
                <c:ptCount val="1"/>
                <c:pt idx="0">
                  <c:v>Cena za m² (zł)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'Test Chow''a - do wyjebania'!$C$3:$C$14</c:f>
              <c:numCache>
                <c:formatCode>#,##0</c:formatCode>
                <c:ptCount val="12"/>
                <c:pt idx="0">
                  <c:v>6313</c:v>
                </c:pt>
                <c:pt idx="1">
                  <c:v>6272</c:v>
                </c:pt>
                <c:pt idx="2">
                  <c:v>5835</c:v>
                </c:pt>
                <c:pt idx="3">
                  <c:v>5919</c:v>
                </c:pt>
                <c:pt idx="4">
                  <c:v>6105</c:v>
                </c:pt>
                <c:pt idx="5">
                  <c:v>6113</c:v>
                </c:pt>
                <c:pt idx="6">
                  <c:v>6109</c:v>
                </c:pt>
                <c:pt idx="7">
                  <c:v>6279</c:v>
                </c:pt>
                <c:pt idx="8">
                  <c:v>6395</c:v>
                </c:pt>
                <c:pt idx="9">
                  <c:v>6572</c:v>
                </c:pt>
                <c:pt idx="10">
                  <c:v>6840</c:v>
                </c:pt>
                <c:pt idx="11">
                  <c:v>7781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A0-4AD8-96CD-4DC92E772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917448"/>
        <c:axId val="2074300424"/>
      </c:scatterChart>
      <c:valAx>
        <c:axId val="2073917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300424"/>
        <c:crosses val="autoZero"/>
        <c:crossBetween val="midCat"/>
      </c:valAx>
      <c:valAx>
        <c:axId val="207430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917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'Test Chow''a - do wyjebania'!$C$44</c:f>
              <c:strCache>
                <c:ptCount val="1"/>
                <c:pt idx="0">
                  <c:v>Cena za m² (zł)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'Test Chow''a - do wyjebania'!$C$45:$C$56</c:f>
              <c:numCache>
                <c:formatCode>#,##0</c:formatCode>
                <c:ptCount val="12"/>
                <c:pt idx="0">
                  <c:v>8421</c:v>
                </c:pt>
                <c:pt idx="1">
                  <c:v>8245</c:v>
                </c:pt>
                <c:pt idx="2">
                  <c:v>8022</c:v>
                </c:pt>
                <c:pt idx="3">
                  <c:v>7421</c:v>
                </c:pt>
                <c:pt idx="4">
                  <c:v>7685</c:v>
                </c:pt>
                <c:pt idx="5">
                  <c:v>7664</c:v>
                </c:pt>
                <c:pt idx="6">
                  <c:v>7783</c:v>
                </c:pt>
                <c:pt idx="7">
                  <c:v>8200</c:v>
                </c:pt>
                <c:pt idx="8">
                  <c:v>8769</c:v>
                </c:pt>
                <c:pt idx="9">
                  <c:v>9073</c:v>
                </c:pt>
                <c:pt idx="10">
                  <c:v>9901</c:v>
                </c:pt>
                <c:pt idx="11">
                  <c:v>11077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19-472B-BCE9-98FED2DC8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06472"/>
        <c:axId val="105408520"/>
      </c:scatterChart>
      <c:valAx>
        <c:axId val="105406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08520"/>
        <c:crosses val="autoZero"/>
        <c:crossBetween val="midCat"/>
      </c:valAx>
      <c:valAx>
        <c:axId val="10540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06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'Test Chow''a - do wyjebania'!$C$86</c:f>
              <c:strCache>
                <c:ptCount val="1"/>
                <c:pt idx="0">
                  <c:v>Cena za m² (zł)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'Test Chow''a - do wyjebania'!$C$87:$C$98</c:f>
              <c:numCache>
                <c:formatCode>#,##0</c:formatCode>
                <c:ptCount val="12"/>
                <c:pt idx="0">
                  <c:v>4461</c:v>
                </c:pt>
                <c:pt idx="1">
                  <c:v>4977</c:v>
                </c:pt>
                <c:pt idx="2">
                  <c:v>5261</c:v>
                </c:pt>
                <c:pt idx="3">
                  <c:v>5277</c:v>
                </c:pt>
                <c:pt idx="4">
                  <c:v>5346</c:v>
                </c:pt>
                <c:pt idx="5">
                  <c:v>5403</c:v>
                </c:pt>
                <c:pt idx="6">
                  <c:v>5719</c:v>
                </c:pt>
                <c:pt idx="7">
                  <c:v>6478</c:v>
                </c:pt>
                <c:pt idx="8">
                  <c:v>6795</c:v>
                </c:pt>
                <c:pt idx="9">
                  <c:v>7519</c:v>
                </c:pt>
                <c:pt idx="10">
                  <c:v>8401</c:v>
                </c:pt>
                <c:pt idx="11">
                  <c:v>9346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A1-40FD-B497-FEC1EFED6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82376"/>
        <c:axId val="177084424"/>
      </c:scatterChart>
      <c:valAx>
        <c:axId val="177082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84424"/>
        <c:crosses val="autoZero"/>
        <c:crossBetween val="midCat"/>
      </c:valAx>
      <c:valAx>
        <c:axId val="17708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82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'Test Chow''a - do wyjebania'!$C$116</c:f>
              <c:strCache>
                <c:ptCount val="1"/>
                <c:pt idx="0">
                  <c:v>Cena za m² (zł)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'Test Chow''a - do wyjebania'!$C$117:$C$128</c:f>
              <c:numCache>
                <c:formatCode>#,##0</c:formatCode>
                <c:ptCount val="12"/>
                <c:pt idx="0">
                  <c:v>4090</c:v>
                </c:pt>
                <c:pt idx="1">
                  <c:v>3870</c:v>
                </c:pt>
                <c:pt idx="2">
                  <c:v>3725</c:v>
                </c:pt>
                <c:pt idx="3">
                  <c:v>3580</c:v>
                </c:pt>
                <c:pt idx="4">
                  <c:v>3478</c:v>
                </c:pt>
                <c:pt idx="5">
                  <c:v>3543</c:v>
                </c:pt>
                <c:pt idx="6">
                  <c:v>3700</c:v>
                </c:pt>
                <c:pt idx="7">
                  <c:v>3898</c:v>
                </c:pt>
                <c:pt idx="8">
                  <c:v>4306</c:v>
                </c:pt>
                <c:pt idx="9">
                  <c:v>4693</c:v>
                </c:pt>
                <c:pt idx="10">
                  <c:v>5198</c:v>
                </c:pt>
                <c:pt idx="11">
                  <c:v>5859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AA-478C-AEA1-83AF243C7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41256"/>
        <c:axId val="177143304"/>
      </c:scatterChart>
      <c:valAx>
        <c:axId val="177141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3304"/>
        <c:crosses val="autoZero"/>
        <c:crossBetween val="midCat"/>
      </c:valAx>
      <c:valAx>
        <c:axId val="17714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1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'Modele Segmentowe - do wyjebani'!$C$2</c:f>
              <c:strCache>
                <c:ptCount val="1"/>
                <c:pt idx="0">
                  <c:v>Cena za m² (zł)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'Modele Segmentowe - do wyjebani'!$C$3:$C$14</c:f>
              <c:numCache>
                <c:formatCode>#,##0</c:formatCode>
                <c:ptCount val="12"/>
                <c:pt idx="0">
                  <c:v>6313</c:v>
                </c:pt>
                <c:pt idx="1">
                  <c:v>6272</c:v>
                </c:pt>
                <c:pt idx="2">
                  <c:v>5835</c:v>
                </c:pt>
                <c:pt idx="3">
                  <c:v>5919</c:v>
                </c:pt>
                <c:pt idx="4">
                  <c:v>6105</c:v>
                </c:pt>
                <c:pt idx="5">
                  <c:v>6113</c:v>
                </c:pt>
                <c:pt idx="6">
                  <c:v>6109</c:v>
                </c:pt>
                <c:pt idx="7">
                  <c:v>6279</c:v>
                </c:pt>
                <c:pt idx="8">
                  <c:v>6395</c:v>
                </c:pt>
                <c:pt idx="9">
                  <c:v>6572</c:v>
                </c:pt>
                <c:pt idx="10">
                  <c:v>6840</c:v>
                </c:pt>
                <c:pt idx="11">
                  <c:v>7781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F8-45B4-93C5-A8EA27A49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327624"/>
        <c:axId val="753321480"/>
      </c:lineChart>
      <c:catAx>
        <c:axId val="753327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321480"/>
        <c:crosses val="autoZero"/>
        <c:auto val="1"/>
        <c:lblAlgn val="ctr"/>
        <c:lblOffset val="100"/>
        <c:noMultiLvlLbl val="0"/>
      </c:catAx>
      <c:valAx>
        <c:axId val="75332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327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'Modele Segmentowe - do wyjebani'!$C$66</c:f>
              <c:strCache>
                <c:ptCount val="1"/>
                <c:pt idx="0">
                  <c:v>Cena za m² (zł)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'Modele Segmentowe - do wyjebani'!$C$67:$C$78</c:f>
              <c:numCache>
                <c:formatCode>#,##0</c:formatCode>
                <c:ptCount val="12"/>
                <c:pt idx="0">
                  <c:v>8421</c:v>
                </c:pt>
                <c:pt idx="1">
                  <c:v>8245</c:v>
                </c:pt>
                <c:pt idx="2">
                  <c:v>8022</c:v>
                </c:pt>
                <c:pt idx="3">
                  <c:v>7421</c:v>
                </c:pt>
                <c:pt idx="4">
                  <c:v>7685</c:v>
                </c:pt>
                <c:pt idx="5">
                  <c:v>7664</c:v>
                </c:pt>
                <c:pt idx="6">
                  <c:v>7783</c:v>
                </c:pt>
                <c:pt idx="7">
                  <c:v>8200</c:v>
                </c:pt>
                <c:pt idx="8">
                  <c:v>8769</c:v>
                </c:pt>
                <c:pt idx="9">
                  <c:v>9073</c:v>
                </c:pt>
                <c:pt idx="10">
                  <c:v>9901</c:v>
                </c:pt>
                <c:pt idx="11">
                  <c:v>11077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64-4B84-9B57-DDAEB3E99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587911"/>
        <c:axId val="446624263"/>
      </c:lineChart>
      <c:catAx>
        <c:axId val="446587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624263"/>
        <c:crosses val="autoZero"/>
        <c:auto val="1"/>
        <c:lblAlgn val="ctr"/>
        <c:lblOffset val="100"/>
        <c:noMultiLvlLbl val="0"/>
      </c:catAx>
      <c:valAx>
        <c:axId val="446624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587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'Modele Segmentowe - do wyjebani'!$C$130</c:f>
              <c:strCache>
                <c:ptCount val="1"/>
                <c:pt idx="0">
                  <c:v>Cena za m² (zł)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'Modele Segmentowe - do wyjebani'!$C$131:$C$142</c:f>
              <c:numCache>
                <c:formatCode>#,##0</c:formatCode>
                <c:ptCount val="12"/>
                <c:pt idx="0">
                  <c:v>4461</c:v>
                </c:pt>
                <c:pt idx="1">
                  <c:v>4977</c:v>
                </c:pt>
                <c:pt idx="2">
                  <c:v>5261</c:v>
                </c:pt>
                <c:pt idx="3">
                  <c:v>5277</c:v>
                </c:pt>
                <c:pt idx="4">
                  <c:v>5346</c:v>
                </c:pt>
                <c:pt idx="5">
                  <c:v>5403</c:v>
                </c:pt>
                <c:pt idx="6">
                  <c:v>5719</c:v>
                </c:pt>
                <c:pt idx="7">
                  <c:v>6478</c:v>
                </c:pt>
                <c:pt idx="8">
                  <c:v>6795</c:v>
                </c:pt>
                <c:pt idx="9">
                  <c:v>7519</c:v>
                </c:pt>
                <c:pt idx="10">
                  <c:v>8401</c:v>
                </c:pt>
                <c:pt idx="11">
                  <c:v>9346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BA-4E94-9573-DC9D19BF0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7746311"/>
        <c:axId val="907748359"/>
      </c:lineChart>
      <c:catAx>
        <c:axId val="907746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748359"/>
        <c:crosses val="autoZero"/>
        <c:auto val="1"/>
        <c:lblAlgn val="ctr"/>
        <c:lblOffset val="100"/>
        <c:noMultiLvlLbl val="0"/>
      </c:catAx>
      <c:valAx>
        <c:axId val="907748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746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'Modele Segmentowe - do wyjebani'!$C$186</c:f>
              <c:strCache>
                <c:ptCount val="1"/>
                <c:pt idx="0">
                  <c:v>Cena za m² (zł)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'Modele Segmentowe - do wyjebani'!$C$187:$C$198</c:f>
              <c:numCache>
                <c:formatCode>#,##0</c:formatCode>
                <c:ptCount val="12"/>
                <c:pt idx="0">
                  <c:v>4090</c:v>
                </c:pt>
                <c:pt idx="1">
                  <c:v>3870</c:v>
                </c:pt>
                <c:pt idx="2">
                  <c:v>3725</c:v>
                </c:pt>
                <c:pt idx="3">
                  <c:v>3580</c:v>
                </c:pt>
                <c:pt idx="4">
                  <c:v>3478</c:v>
                </c:pt>
                <c:pt idx="5">
                  <c:v>3543</c:v>
                </c:pt>
                <c:pt idx="6">
                  <c:v>3700</c:v>
                </c:pt>
                <c:pt idx="7">
                  <c:v>3898</c:v>
                </c:pt>
                <c:pt idx="8">
                  <c:v>4306</c:v>
                </c:pt>
                <c:pt idx="9">
                  <c:v>4693</c:v>
                </c:pt>
                <c:pt idx="10">
                  <c:v>5198</c:v>
                </c:pt>
                <c:pt idx="11">
                  <c:v>5859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BD-4657-8577-708FE296E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2375"/>
        <c:axId val="21244423"/>
      </c:lineChart>
      <c:catAx>
        <c:axId val="21242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4423"/>
        <c:crosses val="autoZero"/>
        <c:auto val="1"/>
        <c:lblAlgn val="ctr"/>
        <c:lblOffset val="100"/>
        <c:noMultiLvlLbl val="0"/>
      </c:catAx>
      <c:valAx>
        <c:axId val="21244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2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</xdr:row>
      <xdr:rowOff>104775</xdr:rowOff>
    </xdr:from>
    <xdr:to>
      <xdr:col>16</xdr:col>
      <xdr:colOff>9525</xdr:colOff>
      <xdr:row>15</xdr:row>
      <xdr:rowOff>104775</xdr:rowOff>
    </xdr:to>
    <xdr:graphicFrame macro="">
      <xdr:nvGraphicFramePr>
        <xdr:cNvPr id="3" name="Wykres 4">
          <a:extLst>
            <a:ext uri="{FF2B5EF4-FFF2-40B4-BE49-F238E27FC236}">
              <a16:creationId xmlns:a16="http://schemas.microsoft.com/office/drawing/2014/main" id="{7E82AE78-6B58-A5F2-6D0A-E0C63BCB2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16</xdr:row>
      <xdr:rowOff>180975</xdr:rowOff>
    </xdr:from>
    <xdr:to>
      <xdr:col>15</xdr:col>
      <xdr:colOff>600075</xdr:colOff>
      <xdr:row>29</xdr:row>
      <xdr:rowOff>180975</xdr:rowOff>
    </xdr:to>
    <xdr:graphicFrame macro="">
      <xdr:nvGraphicFramePr>
        <xdr:cNvPr id="32" name="Wykres 5">
          <a:extLst>
            <a:ext uri="{FF2B5EF4-FFF2-40B4-BE49-F238E27FC236}">
              <a16:creationId xmlns:a16="http://schemas.microsoft.com/office/drawing/2014/main" id="{2906BFE7-FA90-4CF6-B88B-F940B0660011}"/>
            </a:ext>
            <a:ext uri="{147F2762-F138-4A5C-976F-8EAC2B608ADB}">
              <a16:predDERef xmlns:a16="http://schemas.microsoft.com/office/drawing/2014/main" pred="{7E82AE78-6B58-A5F2-6D0A-E0C63BCB25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180975</xdr:colOff>
      <xdr:row>32</xdr:row>
      <xdr:rowOff>180975</xdr:rowOff>
    </xdr:from>
    <xdr:to>
      <xdr:col>15</xdr:col>
      <xdr:colOff>600075</xdr:colOff>
      <xdr:row>45</xdr:row>
      <xdr:rowOff>180975</xdr:rowOff>
    </xdr:to>
    <xdr:graphicFrame macro="">
      <xdr:nvGraphicFramePr>
        <xdr:cNvPr id="30" name="Wykres 6">
          <a:extLst>
            <a:ext uri="{FF2B5EF4-FFF2-40B4-BE49-F238E27FC236}">
              <a16:creationId xmlns:a16="http://schemas.microsoft.com/office/drawing/2014/main" id="{B19C13F8-8B65-41E0-AA3A-BC76C4385D43}"/>
            </a:ext>
            <a:ext uri="{147F2762-F138-4A5C-976F-8EAC2B608ADB}">
              <a16:predDERef xmlns:a16="http://schemas.microsoft.com/office/drawing/2014/main" pred="{2906BFE7-FA90-4CF6-B88B-F940B06600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152400</xdr:colOff>
      <xdr:row>48</xdr:row>
      <xdr:rowOff>180975</xdr:rowOff>
    </xdr:from>
    <xdr:to>
      <xdr:col>16</xdr:col>
      <xdr:colOff>0</xdr:colOff>
      <xdr:row>61</xdr:row>
      <xdr:rowOff>180975</xdr:rowOff>
    </xdr:to>
    <xdr:graphicFrame macro="">
      <xdr:nvGraphicFramePr>
        <xdr:cNvPr id="28" name="Wykres 7">
          <a:extLst>
            <a:ext uri="{FF2B5EF4-FFF2-40B4-BE49-F238E27FC236}">
              <a16:creationId xmlns:a16="http://schemas.microsoft.com/office/drawing/2014/main" id="{485F4183-56AE-4BFC-8126-082099F10585}"/>
            </a:ext>
            <a:ext uri="{147F2762-F138-4A5C-976F-8EAC2B608ADB}">
              <a16:predDERef xmlns:a16="http://schemas.microsoft.com/office/drawing/2014/main" pred="{B19C13F8-8B65-41E0-AA3A-BC76C4385D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200</xdr:row>
      <xdr:rowOff>112395</xdr:rowOff>
    </xdr:from>
    <xdr:to>
      <xdr:col>7</xdr:col>
      <xdr:colOff>1082040</xdr:colOff>
      <xdr:row>215</xdr:row>
      <xdr:rowOff>161925</xdr:rowOff>
    </xdr:to>
    <xdr:graphicFrame macro="">
      <xdr:nvGraphicFramePr>
        <xdr:cNvPr id="69" name="Wykres 1" title="Przeciętne wynagrodzenie brutto (zł) - Poznań">
          <a:extLst>
            <a:ext uri="{FF2B5EF4-FFF2-40B4-BE49-F238E27FC236}">
              <a16:creationId xmlns:a16="http://schemas.microsoft.com/office/drawing/2014/main" id="{8F35AD4E-94DA-D42F-328C-30805289ED23}"/>
            </a:ext>
            <a:ext uri="{147F2762-F138-4A5C-976F-8EAC2B608ADB}">
              <a16:predDERef xmlns:a16="http://schemas.microsoft.com/office/drawing/2014/main" pred="{D2732BF0-E2E5-3B5D-F250-219F1C6F20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60960</xdr:colOff>
      <xdr:row>200</xdr:row>
      <xdr:rowOff>114300</xdr:rowOff>
    </xdr:from>
    <xdr:to>
      <xdr:col>18</xdr:col>
      <xdr:colOff>22860</xdr:colOff>
      <xdr:row>215</xdr:row>
      <xdr:rowOff>0</xdr:rowOff>
    </xdr:to>
    <xdr:graphicFrame macro="">
      <xdr:nvGraphicFramePr>
        <xdr:cNvPr id="65" name="Wykres 28" descr="Warszawa - liczba ludności na 1km²&#10;">
          <a:extLst>
            <a:ext uri="{FF2B5EF4-FFF2-40B4-BE49-F238E27FC236}">
              <a16:creationId xmlns:a16="http://schemas.microsoft.com/office/drawing/2014/main" id="{0BB015B1-4583-451E-99E3-BD5D8065E6AF}"/>
            </a:ext>
            <a:ext uri="{147F2762-F138-4A5C-976F-8EAC2B608ADB}">
              <a16:predDERef xmlns:a16="http://schemas.microsoft.com/office/drawing/2014/main" pred="{8F35AD4E-94DA-D42F-328C-30805289ED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289560</xdr:colOff>
      <xdr:row>230</xdr:row>
      <xdr:rowOff>45720</xdr:rowOff>
    </xdr:from>
    <xdr:to>
      <xdr:col>18</xdr:col>
      <xdr:colOff>449580</xdr:colOff>
      <xdr:row>243</xdr:row>
      <xdr:rowOff>152400</xdr:rowOff>
    </xdr:to>
    <xdr:graphicFrame macro="">
      <xdr:nvGraphicFramePr>
        <xdr:cNvPr id="153" name="Wykres 30">
          <a:extLst>
            <a:ext uri="{FF2B5EF4-FFF2-40B4-BE49-F238E27FC236}">
              <a16:creationId xmlns:a16="http://schemas.microsoft.com/office/drawing/2014/main" id="{3662DC4D-21D2-49E4-B0EE-65C99F9AF8C5}"/>
            </a:ext>
            <a:ext uri="{147F2762-F138-4A5C-976F-8EAC2B608ADB}">
              <a16:predDERef xmlns:a16="http://schemas.microsoft.com/office/drawing/2014/main" pred="{0BB015B1-4583-451E-99E3-BD5D8065E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495300</xdr:colOff>
      <xdr:row>200</xdr:row>
      <xdr:rowOff>121920</xdr:rowOff>
    </xdr:from>
    <xdr:to>
      <xdr:col>28</xdr:col>
      <xdr:colOff>30480</xdr:colOff>
      <xdr:row>215</xdr:row>
      <xdr:rowOff>22860</xdr:rowOff>
    </xdr:to>
    <xdr:graphicFrame macro="">
      <xdr:nvGraphicFramePr>
        <xdr:cNvPr id="76" name="Wykres 43">
          <a:extLst>
            <a:ext uri="{FF2B5EF4-FFF2-40B4-BE49-F238E27FC236}">
              <a16:creationId xmlns:a16="http://schemas.microsoft.com/office/drawing/2014/main" id="{E02C7CC0-4087-465A-9F9E-703633FB36AF}"/>
            </a:ext>
            <a:ext uri="{147F2762-F138-4A5C-976F-8EAC2B608ADB}">
              <a16:predDERef xmlns:a16="http://schemas.microsoft.com/office/drawing/2014/main" pred="{3662DC4D-21D2-49E4-B0EE-65C99F9AF8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312420</xdr:colOff>
      <xdr:row>230</xdr:row>
      <xdr:rowOff>102870</xdr:rowOff>
    </xdr:from>
    <xdr:to>
      <xdr:col>28</xdr:col>
      <xdr:colOff>598170</xdr:colOff>
      <xdr:row>242</xdr:row>
      <xdr:rowOff>106680</xdr:rowOff>
    </xdr:to>
    <xdr:graphicFrame macro="">
      <xdr:nvGraphicFramePr>
        <xdr:cNvPr id="6" name="Wykres 44">
          <a:extLst>
            <a:ext uri="{FF2B5EF4-FFF2-40B4-BE49-F238E27FC236}">
              <a16:creationId xmlns:a16="http://schemas.microsoft.com/office/drawing/2014/main" id="{2384CA09-D739-2D1B-19D1-8F1E112D683E}"/>
            </a:ext>
            <a:ext uri="{147F2762-F138-4A5C-976F-8EAC2B608ADB}">
              <a16:predDERef xmlns:a16="http://schemas.microsoft.com/office/drawing/2014/main" pred="{E02C7CC0-4087-465A-9F9E-703633FB3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251460</xdr:colOff>
      <xdr:row>264</xdr:row>
      <xdr:rowOff>22860</xdr:rowOff>
    </xdr:from>
    <xdr:to>
      <xdr:col>28</xdr:col>
      <xdr:colOff>175260</xdr:colOff>
      <xdr:row>278</xdr:row>
      <xdr:rowOff>22860</xdr:rowOff>
    </xdr:to>
    <xdr:graphicFrame macro="">
      <xdr:nvGraphicFramePr>
        <xdr:cNvPr id="142" name="Wykres 30">
          <a:extLst>
            <a:ext uri="{FF2B5EF4-FFF2-40B4-BE49-F238E27FC236}">
              <a16:creationId xmlns:a16="http://schemas.microsoft.com/office/drawing/2014/main" id="{29B3144B-3EE8-4C70-A871-EB45ADDCB9F7}"/>
            </a:ext>
            <a:ext uri="{147F2762-F138-4A5C-976F-8EAC2B608ADB}">
              <a16:predDERef xmlns:a16="http://schemas.microsoft.com/office/drawing/2014/main" pred="{2384CA09-D739-2D1B-19D1-8F1E112D68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15240</xdr:colOff>
      <xdr:row>248</xdr:row>
      <xdr:rowOff>179070</xdr:rowOff>
    </xdr:from>
    <xdr:to>
      <xdr:col>38</xdr:col>
      <xdr:colOff>0</xdr:colOff>
      <xdr:row>262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CCCEFD8-C8CF-16C6-442E-4AE8D3BC4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53340</xdr:colOff>
      <xdr:row>183</xdr:row>
      <xdr:rowOff>331470</xdr:rowOff>
    </xdr:from>
    <xdr:to>
      <xdr:col>40</xdr:col>
      <xdr:colOff>533400</xdr:colOff>
      <xdr:row>196</xdr:row>
      <xdr:rowOff>182880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E755674-2FF8-00C0-9672-B6FD8DEC61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4</xdr:row>
      <xdr:rowOff>180975</xdr:rowOff>
    </xdr:from>
    <xdr:to>
      <xdr:col>19</xdr:col>
      <xdr:colOff>409575</xdr:colOff>
      <xdr:row>20</xdr:row>
      <xdr:rowOff>0</xdr:rowOff>
    </xdr:to>
    <xdr:graphicFrame macro="">
      <xdr:nvGraphicFramePr>
        <xdr:cNvPr id="6" name="Wykres 1">
          <a:extLst>
            <a:ext uri="{FF2B5EF4-FFF2-40B4-BE49-F238E27FC236}">
              <a16:creationId xmlns:a16="http://schemas.microsoft.com/office/drawing/2014/main" id="{32A13E18-826E-310C-EA0D-D550A710C7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438150</xdr:colOff>
      <xdr:row>5</xdr:row>
      <xdr:rowOff>0</xdr:rowOff>
    </xdr:from>
    <xdr:to>
      <xdr:col>28</xdr:col>
      <xdr:colOff>219075</xdr:colOff>
      <xdr:row>20</xdr:row>
      <xdr:rowOff>0</xdr:rowOff>
    </xdr:to>
    <xdr:graphicFrame macro="">
      <xdr:nvGraphicFramePr>
        <xdr:cNvPr id="7" name="Wykres 4">
          <a:extLst>
            <a:ext uri="{FF2B5EF4-FFF2-40B4-BE49-F238E27FC236}">
              <a16:creationId xmlns:a16="http://schemas.microsoft.com/office/drawing/2014/main" id="{B8947827-B7B7-410D-938B-BEE3253EB2B4}"/>
            </a:ext>
            <a:ext uri="{147F2762-F138-4A5C-976F-8EAC2B608ADB}">
              <a16:predDERef xmlns:a16="http://schemas.microsoft.com/office/drawing/2014/main" pred="{32A13E18-826E-310C-EA0D-D550A710C7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47625</xdr:colOff>
      <xdr:row>42</xdr:row>
      <xdr:rowOff>9525</xdr:rowOff>
    </xdr:from>
    <xdr:to>
      <xdr:col>3</xdr:col>
      <xdr:colOff>123825</xdr:colOff>
      <xdr:row>43</xdr:row>
      <xdr:rowOff>38100</xdr:rowOff>
    </xdr:to>
    <xdr:cxnSp macro="">
      <xdr:nvCxnSpPr>
        <xdr:cNvPr id="78" name="Łącznik prosty 5">
          <a:extLst>
            <a:ext uri="{FF2B5EF4-FFF2-40B4-BE49-F238E27FC236}">
              <a16:creationId xmlns:a16="http://schemas.microsoft.com/office/drawing/2014/main" id="{A400ED9E-70A6-4EFD-8D90-6AA4FAB6DA69}"/>
            </a:ext>
            <a:ext uri="{147F2762-F138-4A5C-976F-8EAC2B608ADB}">
              <a16:predDERef xmlns:a16="http://schemas.microsoft.com/office/drawing/2014/main" pred="{F00827B3-2EB3-3874-279D-9F5562448A05}"/>
            </a:ext>
          </a:extLst>
        </xdr:cNvPr>
        <xdr:cNvCxnSpPr>
          <a:cxnSpLocks/>
        </xdr:cNvCxnSpPr>
      </xdr:nvCxnSpPr>
      <xdr:spPr>
        <a:xfrm flipV="1">
          <a:off x="1266825" y="5105400"/>
          <a:ext cx="914400" cy="219075"/>
        </a:xfrm>
        <a:prstGeom prst="line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25</xdr:row>
      <xdr:rowOff>180975</xdr:rowOff>
    </xdr:from>
    <xdr:to>
      <xdr:col>19</xdr:col>
      <xdr:colOff>428625</xdr:colOff>
      <xdr:row>41</xdr:row>
      <xdr:rowOff>9525</xdr:rowOff>
    </xdr:to>
    <xdr:graphicFrame macro="">
      <xdr:nvGraphicFramePr>
        <xdr:cNvPr id="10" name="Wykres 7">
          <a:extLst>
            <a:ext uri="{FF2B5EF4-FFF2-40B4-BE49-F238E27FC236}">
              <a16:creationId xmlns:a16="http://schemas.microsoft.com/office/drawing/2014/main" id="{26272BA7-6F24-4E0B-988E-5D2ECFB5253E}"/>
            </a:ext>
            <a:ext uri="{147F2762-F138-4A5C-976F-8EAC2B608ADB}">
              <a16:predDERef xmlns:a16="http://schemas.microsoft.com/office/drawing/2014/main" pred="{A400ED9E-70A6-4EFD-8D90-6AA4FAB6DA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457200</xdr:colOff>
      <xdr:row>25</xdr:row>
      <xdr:rowOff>180975</xdr:rowOff>
    </xdr:from>
    <xdr:to>
      <xdr:col>28</xdr:col>
      <xdr:colOff>238125</xdr:colOff>
      <xdr:row>41</xdr:row>
      <xdr:rowOff>0</xdr:rowOff>
    </xdr:to>
    <xdr:graphicFrame macro="">
      <xdr:nvGraphicFramePr>
        <xdr:cNvPr id="11" name="Wykres 8">
          <a:extLst>
            <a:ext uri="{FF2B5EF4-FFF2-40B4-BE49-F238E27FC236}">
              <a16:creationId xmlns:a16="http://schemas.microsoft.com/office/drawing/2014/main" id="{DF5C1C87-73BF-4556-A78A-EA6DC9F72247}"/>
            </a:ext>
            <a:ext uri="{147F2762-F138-4A5C-976F-8EAC2B608ADB}">
              <a16:predDERef xmlns:a16="http://schemas.microsoft.com/office/drawing/2014/main" pred="{26272BA7-6F24-4E0B-988E-5D2ECFB525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47625</xdr:colOff>
      <xdr:row>63</xdr:row>
      <xdr:rowOff>9525</xdr:rowOff>
    </xdr:from>
    <xdr:to>
      <xdr:col>3</xdr:col>
      <xdr:colOff>123825</xdr:colOff>
      <xdr:row>64</xdr:row>
      <xdr:rowOff>38100</xdr:rowOff>
    </xdr:to>
    <xdr:cxnSp macro="">
      <xdr:nvCxnSpPr>
        <xdr:cNvPr id="115" name="Łącznik prosty 5">
          <a:extLst>
            <a:ext uri="{FF2B5EF4-FFF2-40B4-BE49-F238E27FC236}">
              <a16:creationId xmlns:a16="http://schemas.microsoft.com/office/drawing/2014/main" id="{C06524CA-5975-4CAE-99C0-5FCDDA3915C8}"/>
            </a:ext>
            <a:ext uri="{147F2762-F138-4A5C-976F-8EAC2B608ADB}">
              <a16:predDERef xmlns:a16="http://schemas.microsoft.com/office/drawing/2014/main" pred="{DF5C1C87-73BF-4556-A78A-EA6DC9F72247}"/>
            </a:ext>
          </a:extLst>
        </xdr:cNvPr>
        <xdr:cNvCxnSpPr>
          <a:cxnSpLocks/>
        </xdr:cNvCxnSpPr>
      </xdr:nvCxnSpPr>
      <xdr:spPr>
        <a:xfrm flipV="1">
          <a:off x="1266825" y="9906000"/>
          <a:ext cx="914400" cy="219075"/>
        </a:xfrm>
        <a:prstGeom prst="line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46</xdr:row>
      <xdr:rowOff>161925</xdr:rowOff>
    </xdr:from>
    <xdr:to>
      <xdr:col>19</xdr:col>
      <xdr:colOff>419100</xdr:colOff>
      <xdr:row>62</xdr:row>
      <xdr:rowOff>0</xdr:rowOff>
    </xdr:to>
    <xdr:graphicFrame macro="">
      <xdr:nvGraphicFramePr>
        <xdr:cNvPr id="12" name="Wykres 10">
          <a:extLst>
            <a:ext uri="{FF2B5EF4-FFF2-40B4-BE49-F238E27FC236}">
              <a16:creationId xmlns:a16="http://schemas.microsoft.com/office/drawing/2014/main" id="{FA48F90F-872E-4032-94E0-3253081B01E2}"/>
            </a:ext>
            <a:ext uri="{147F2762-F138-4A5C-976F-8EAC2B608ADB}">
              <a16:predDERef xmlns:a16="http://schemas.microsoft.com/office/drawing/2014/main" pred="{C06524CA-5975-4CAE-99C0-5FCDDA3915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438150</xdr:colOff>
      <xdr:row>46</xdr:row>
      <xdr:rowOff>161925</xdr:rowOff>
    </xdr:from>
    <xdr:to>
      <xdr:col>28</xdr:col>
      <xdr:colOff>219075</xdr:colOff>
      <xdr:row>61</xdr:row>
      <xdr:rowOff>180975</xdr:rowOff>
    </xdr:to>
    <xdr:graphicFrame macro="">
      <xdr:nvGraphicFramePr>
        <xdr:cNvPr id="13" name="Wykres 11">
          <a:extLst>
            <a:ext uri="{FF2B5EF4-FFF2-40B4-BE49-F238E27FC236}">
              <a16:creationId xmlns:a16="http://schemas.microsoft.com/office/drawing/2014/main" id="{6BAE34A8-261F-4E93-AE47-787821418C1C}"/>
            </a:ext>
            <a:ext uri="{147F2762-F138-4A5C-976F-8EAC2B608ADB}">
              <a16:predDERef xmlns:a16="http://schemas.microsoft.com/office/drawing/2014/main" pred="{FA48F90F-872E-4032-94E0-3253081B0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47625</xdr:colOff>
      <xdr:row>84</xdr:row>
      <xdr:rowOff>9525</xdr:rowOff>
    </xdr:from>
    <xdr:to>
      <xdr:col>3</xdr:col>
      <xdr:colOff>123825</xdr:colOff>
      <xdr:row>85</xdr:row>
      <xdr:rowOff>38100</xdr:rowOff>
    </xdr:to>
    <xdr:cxnSp macro="">
      <xdr:nvCxnSpPr>
        <xdr:cNvPr id="144" name="Łącznik prosty 5">
          <a:extLst>
            <a:ext uri="{FF2B5EF4-FFF2-40B4-BE49-F238E27FC236}">
              <a16:creationId xmlns:a16="http://schemas.microsoft.com/office/drawing/2014/main" id="{058A56A1-43FC-4A90-9C74-C7E7C5B65EFA}"/>
            </a:ext>
            <a:ext uri="{147F2762-F138-4A5C-976F-8EAC2B608ADB}">
              <a16:predDERef xmlns:a16="http://schemas.microsoft.com/office/drawing/2014/main" pred="{6BAE34A8-261F-4E93-AE47-787821418C1C}"/>
            </a:ext>
          </a:extLst>
        </xdr:cNvPr>
        <xdr:cNvCxnSpPr>
          <a:cxnSpLocks/>
        </xdr:cNvCxnSpPr>
      </xdr:nvCxnSpPr>
      <xdr:spPr>
        <a:xfrm flipV="1">
          <a:off x="1266825" y="14697075"/>
          <a:ext cx="914400" cy="219075"/>
        </a:xfrm>
        <a:prstGeom prst="line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67</xdr:row>
      <xdr:rowOff>161925</xdr:rowOff>
    </xdr:from>
    <xdr:to>
      <xdr:col>19</xdr:col>
      <xdr:colOff>409575</xdr:colOff>
      <xdr:row>83</xdr:row>
      <xdr:rowOff>0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D2505280-A1C3-4B8D-A9E4-541B76E7C42F}"/>
            </a:ext>
            <a:ext uri="{147F2762-F138-4A5C-976F-8EAC2B608ADB}">
              <a16:predDERef xmlns:a16="http://schemas.microsoft.com/office/drawing/2014/main" pred="{058A56A1-43FC-4A90-9C74-C7E7C5B65E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438150</xdr:colOff>
      <xdr:row>67</xdr:row>
      <xdr:rowOff>171450</xdr:rowOff>
    </xdr:from>
    <xdr:to>
      <xdr:col>28</xdr:col>
      <xdr:colOff>219075</xdr:colOff>
      <xdr:row>83</xdr:row>
      <xdr:rowOff>0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632F3E8-0E8C-4BAC-BD93-0F8E3AA75884}"/>
            </a:ext>
            <a:ext uri="{147F2762-F138-4A5C-976F-8EAC2B608ADB}">
              <a16:predDERef xmlns:a16="http://schemas.microsoft.com/office/drawing/2014/main" pred="{D2505280-A1C3-4B8D-A9E4-541B76E7C4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57150</xdr:colOff>
      <xdr:row>21</xdr:row>
      <xdr:rowOff>38100</xdr:rowOff>
    </xdr:from>
    <xdr:to>
      <xdr:col>3</xdr:col>
      <xdr:colOff>133350</xdr:colOff>
      <xdr:row>22</xdr:row>
      <xdr:rowOff>66675</xdr:rowOff>
    </xdr:to>
    <xdr:cxnSp macro="">
      <xdr:nvCxnSpPr>
        <xdr:cNvPr id="2" name="Łącznik prosty 1">
          <a:extLst>
            <a:ext uri="{FF2B5EF4-FFF2-40B4-BE49-F238E27FC236}">
              <a16:creationId xmlns:a16="http://schemas.microsoft.com/office/drawing/2014/main" id="{A91646CB-F3F8-4B4F-80B7-16B4F01A1332}"/>
            </a:ext>
            <a:ext uri="{147F2762-F138-4A5C-976F-8EAC2B608ADB}">
              <a16:predDERef xmlns:a16="http://schemas.microsoft.com/office/drawing/2014/main" pred="{4632F3E8-0E8C-4BAC-BD93-0F8E3AA75884}"/>
            </a:ext>
          </a:extLst>
        </xdr:cNvPr>
        <xdr:cNvCxnSpPr>
          <a:cxnSpLocks/>
        </xdr:cNvCxnSpPr>
      </xdr:nvCxnSpPr>
      <xdr:spPr>
        <a:xfrm flipV="1">
          <a:off x="1276350" y="4200525"/>
          <a:ext cx="914400" cy="209550"/>
        </a:xfrm>
        <a:prstGeom prst="line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466725</xdr:colOff>
      <xdr:row>1</xdr:row>
      <xdr:rowOff>104775</xdr:rowOff>
    </xdr:from>
    <xdr:to>
      <xdr:col>19</xdr:col>
      <xdr:colOff>161925</xdr:colOff>
      <xdr:row>15</xdr:row>
      <xdr:rowOff>180975</xdr:rowOff>
    </xdr:to>
    <xdr:graphicFrame macro="">
      <xdr:nvGraphicFramePr>
        <xdr:cNvPr id="44" name="Wykres 6">
          <a:extLst>
            <a:ext uri="{FF2B5EF4-FFF2-40B4-BE49-F238E27FC236}">
              <a16:creationId xmlns:a16="http://schemas.microsoft.com/office/drawing/2014/main" id="{62B368B5-9F1D-60CD-B4F1-5011AED542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438150</xdr:colOff>
      <xdr:row>22</xdr:row>
      <xdr:rowOff>161925</xdr:rowOff>
    </xdr:from>
    <xdr:to>
      <xdr:col>19</xdr:col>
      <xdr:colOff>133350</xdr:colOff>
      <xdr:row>37</xdr:row>
      <xdr:rowOff>47625</xdr:rowOff>
    </xdr:to>
    <xdr:graphicFrame macro="">
      <xdr:nvGraphicFramePr>
        <xdr:cNvPr id="48" name="Wykres 7">
          <a:extLst>
            <a:ext uri="{FF2B5EF4-FFF2-40B4-BE49-F238E27FC236}">
              <a16:creationId xmlns:a16="http://schemas.microsoft.com/office/drawing/2014/main" id="{99AD95B9-570C-1BFE-85E9-EAFD88EDDD76}"/>
            </a:ext>
            <a:ext uri="{147F2762-F138-4A5C-976F-8EAC2B608ADB}">
              <a16:predDERef xmlns:a16="http://schemas.microsoft.com/office/drawing/2014/main" pred="{62B368B5-9F1D-60CD-B4F1-5011AED542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266700</xdr:colOff>
      <xdr:row>48</xdr:row>
      <xdr:rowOff>0</xdr:rowOff>
    </xdr:from>
    <xdr:to>
      <xdr:col>18</xdr:col>
      <xdr:colOff>571500</xdr:colOff>
      <xdr:row>61</xdr:row>
      <xdr:rowOff>66675</xdr:rowOff>
    </xdr:to>
    <xdr:graphicFrame macro="">
      <xdr:nvGraphicFramePr>
        <xdr:cNvPr id="52" name="Wykres 8">
          <a:extLst>
            <a:ext uri="{FF2B5EF4-FFF2-40B4-BE49-F238E27FC236}">
              <a16:creationId xmlns:a16="http://schemas.microsoft.com/office/drawing/2014/main" id="{47135208-C14E-1574-E332-B37270151217}"/>
            </a:ext>
            <a:ext uri="{147F2762-F138-4A5C-976F-8EAC2B608ADB}">
              <a16:predDERef xmlns:a16="http://schemas.microsoft.com/office/drawing/2014/main" pred="{99AD95B9-570C-1BFE-85E9-EAFD88EDD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457200</xdr:colOff>
      <xdr:row>68</xdr:row>
      <xdr:rowOff>38100</xdr:rowOff>
    </xdr:from>
    <xdr:to>
      <xdr:col>19</xdr:col>
      <xdr:colOff>152400</xdr:colOff>
      <xdr:row>82</xdr:row>
      <xdr:rowOff>114300</xdr:rowOff>
    </xdr:to>
    <xdr:graphicFrame macro="">
      <xdr:nvGraphicFramePr>
        <xdr:cNvPr id="41" name="Wykres 9">
          <a:extLst>
            <a:ext uri="{FF2B5EF4-FFF2-40B4-BE49-F238E27FC236}">
              <a16:creationId xmlns:a16="http://schemas.microsoft.com/office/drawing/2014/main" id="{FC75DAA9-6327-FC24-2911-DBBE443AD2B6}"/>
            </a:ext>
            <a:ext uri="{147F2762-F138-4A5C-976F-8EAC2B608ADB}">
              <a16:predDERef xmlns:a16="http://schemas.microsoft.com/office/drawing/2014/main" pred="{47135208-C14E-1574-E332-B37270151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1</xdr:row>
      <xdr:rowOff>0</xdr:rowOff>
    </xdr:from>
    <xdr:to>
      <xdr:col>13</xdr:col>
      <xdr:colOff>561975</xdr:colOff>
      <xdr:row>14</xdr:row>
      <xdr:rowOff>66675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FA0E228-C506-BCBE-A706-B3B4D3CBE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161925</xdr:colOff>
      <xdr:row>43</xdr:row>
      <xdr:rowOff>9525</xdr:rowOff>
    </xdr:from>
    <xdr:to>
      <xdr:col>12</xdr:col>
      <xdr:colOff>466725</xdr:colOff>
      <xdr:row>56</xdr:row>
      <xdr:rowOff>76200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D842214-9E20-B382-0718-D53032C7DCDC}"/>
            </a:ext>
            <a:ext uri="{147F2762-F138-4A5C-976F-8EAC2B608ADB}">
              <a16:predDERef xmlns:a16="http://schemas.microsoft.com/office/drawing/2014/main" pred="{3FA0E228-C506-BCBE-A706-B3B4D3CBE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19050</xdr:colOff>
      <xdr:row>84</xdr:row>
      <xdr:rowOff>171450</xdr:rowOff>
    </xdr:from>
    <xdr:to>
      <xdr:col>11</xdr:col>
      <xdr:colOff>323850</xdr:colOff>
      <xdr:row>98</xdr:row>
      <xdr:rowOff>47625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BB1043E-25DA-1B55-1B18-0CA0223545DB}"/>
            </a:ext>
            <a:ext uri="{147F2762-F138-4A5C-976F-8EAC2B608ADB}">
              <a16:predDERef xmlns:a16="http://schemas.microsoft.com/office/drawing/2014/main" pred="{2D842214-9E20-B382-0718-D53032C7D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400050</xdr:colOff>
      <xdr:row>115</xdr:row>
      <xdr:rowOff>38100</xdr:rowOff>
    </xdr:from>
    <xdr:to>
      <xdr:col>12</xdr:col>
      <xdr:colOff>95250</xdr:colOff>
      <xdr:row>128</xdr:row>
      <xdr:rowOff>104775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4D15C32D-77F5-3BA7-97B1-9AB9C117250F}"/>
            </a:ext>
            <a:ext uri="{147F2762-F138-4A5C-976F-8EAC2B608ADB}">
              <a16:predDERef xmlns:a16="http://schemas.microsoft.com/office/drawing/2014/main" pred="{8BB1043E-25DA-1B55-1B18-0CA0223545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171450</xdr:rowOff>
    </xdr:from>
    <xdr:to>
      <xdr:col>14</xdr:col>
      <xdr:colOff>304800</xdr:colOff>
      <xdr:row>15</xdr:row>
      <xdr:rowOff>57150</xdr:rowOff>
    </xdr:to>
    <xdr:graphicFrame macro="">
      <xdr:nvGraphicFramePr>
        <xdr:cNvPr id="7" name="Wykres 3">
          <a:extLst>
            <a:ext uri="{FF2B5EF4-FFF2-40B4-BE49-F238E27FC236}">
              <a16:creationId xmlns:a16="http://schemas.microsoft.com/office/drawing/2014/main" id="{D4A3A319-4ECC-299C-91BC-81E3F79BF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65</xdr:row>
      <xdr:rowOff>9525</xdr:rowOff>
    </xdr:from>
    <xdr:to>
      <xdr:col>13</xdr:col>
      <xdr:colOff>333375</xdr:colOff>
      <xdr:row>79</xdr:row>
      <xdr:rowOff>85725</xdr:rowOff>
    </xdr:to>
    <xdr:graphicFrame macro="">
      <xdr:nvGraphicFramePr>
        <xdr:cNvPr id="11" name="Wykres 5">
          <a:extLst>
            <a:ext uri="{FF2B5EF4-FFF2-40B4-BE49-F238E27FC236}">
              <a16:creationId xmlns:a16="http://schemas.microsoft.com/office/drawing/2014/main" id="{791BB64E-B132-930F-0AC8-1172C74C8136}"/>
            </a:ext>
            <a:ext uri="{147F2762-F138-4A5C-976F-8EAC2B608ADB}">
              <a16:predDERef xmlns:a16="http://schemas.microsoft.com/office/drawing/2014/main" pred="{D4A3A319-4ECC-299C-91BC-81E3F79BF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47625</xdr:colOff>
      <xdr:row>128</xdr:row>
      <xdr:rowOff>161925</xdr:rowOff>
    </xdr:from>
    <xdr:to>
      <xdr:col>12</xdr:col>
      <xdr:colOff>352425</xdr:colOff>
      <xdr:row>143</xdr:row>
      <xdr:rowOff>47625</xdr:rowOff>
    </xdr:to>
    <xdr:graphicFrame macro="">
      <xdr:nvGraphicFramePr>
        <xdr:cNvPr id="14" name="Wykres 6">
          <a:extLst>
            <a:ext uri="{FF2B5EF4-FFF2-40B4-BE49-F238E27FC236}">
              <a16:creationId xmlns:a16="http://schemas.microsoft.com/office/drawing/2014/main" id="{A623F96A-02EB-B971-90B0-6FB95D4687B3}"/>
            </a:ext>
            <a:ext uri="{147F2762-F138-4A5C-976F-8EAC2B608ADB}">
              <a16:predDERef xmlns:a16="http://schemas.microsoft.com/office/drawing/2014/main" pred="{791BB64E-B132-930F-0AC8-1172C74C8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428625</xdr:colOff>
      <xdr:row>184</xdr:row>
      <xdr:rowOff>161925</xdr:rowOff>
    </xdr:from>
    <xdr:to>
      <xdr:col>12</xdr:col>
      <xdr:colOff>114300</xdr:colOff>
      <xdr:row>198</xdr:row>
      <xdr:rowOff>38100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3D8AFC3-50D0-3965-0110-EB2E6CE0D7A3}"/>
            </a:ext>
            <a:ext uri="{147F2762-F138-4A5C-976F-8EAC2B608ADB}">
              <a16:predDERef xmlns:a16="http://schemas.microsoft.com/office/drawing/2014/main" pred="{A623F96A-02EB-B971-90B0-6FB95D468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200025</xdr:colOff>
      <xdr:row>17</xdr:row>
      <xdr:rowOff>142875</xdr:rowOff>
    </xdr:from>
    <xdr:to>
      <xdr:col>10</xdr:col>
      <xdr:colOff>457200</xdr:colOff>
      <xdr:row>19</xdr:row>
      <xdr:rowOff>28575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366A63EB-2CF9-BA50-6304-48E307E5E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21536345">
          <a:off x="6648450" y="4772025"/>
          <a:ext cx="257175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50</xdr:row>
      <xdr:rowOff>152400</xdr:rowOff>
    </xdr:from>
    <xdr:to>
      <xdr:col>2</xdr:col>
      <xdr:colOff>361950</xdr:colOff>
      <xdr:row>52</xdr:row>
      <xdr:rowOff>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1D3F37FC-8C43-E618-CF2C-F009F1EE8097}"/>
            </a:ext>
            <a:ext uri="{147F2762-F138-4A5C-976F-8EAC2B608ADB}">
              <a16:predDERef xmlns:a16="http://schemas.microsoft.com/office/drawing/2014/main" pred="{7BC2923B-C94D-4248-8BA9-AA1CC82AB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0" y="11020425"/>
          <a:ext cx="1524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121</xdr:row>
      <xdr:rowOff>152400</xdr:rowOff>
    </xdr:from>
    <xdr:to>
      <xdr:col>2</xdr:col>
      <xdr:colOff>361950</xdr:colOff>
      <xdr:row>123</xdr:row>
      <xdr:rowOff>0</xdr:rowOff>
    </xdr:to>
    <xdr:pic>
      <xdr:nvPicPr>
        <xdr:cNvPr id="9" name="Obraz 5">
          <a:extLst>
            <a:ext uri="{FF2B5EF4-FFF2-40B4-BE49-F238E27FC236}">
              <a16:creationId xmlns:a16="http://schemas.microsoft.com/office/drawing/2014/main" id="{85F49387-7D1F-45DF-AE71-F267A5DD384F}"/>
            </a:ext>
            <a:ext uri="{147F2762-F138-4A5C-976F-8EAC2B608ADB}">
              <a16:predDERef xmlns:a16="http://schemas.microsoft.com/office/drawing/2014/main" pred="{5DE82373-4F79-4922-8781-E6260DB78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0" y="11020425"/>
          <a:ext cx="1524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200025</xdr:colOff>
      <xdr:row>88</xdr:row>
      <xdr:rowOff>142875</xdr:rowOff>
    </xdr:from>
    <xdr:to>
      <xdr:col>10</xdr:col>
      <xdr:colOff>457200</xdr:colOff>
      <xdr:row>90</xdr:row>
      <xdr:rowOff>28575</xdr:rowOff>
    </xdr:to>
    <xdr:pic>
      <xdr:nvPicPr>
        <xdr:cNvPr id="3" name="Obraz 1">
          <a:extLst>
            <a:ext uri="{FF2B5EF4-FFF2-40B4-BE49-F238E27FC236}">
              <a16:creationId xmlns:a16="http://schemas.microsoft.com/office/drawing/2014/main" id="{8061C9FF-BE70-4DBE-86C2-78C672999A2B}"/>
            </a:ext>
            <a:ext uri="{147F2762-F138-4A5C-976F-8EAC2B608ADB}">
              <a16:predDERef xmlns:a16="http://schemas.microsoft.com/office/drawing/2014/main" pred="{31CA29AD-12BD-3AB8-C70B-7B0D20634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21536345">
          <a:off x="6648450" y="4010025"/>
          <a:ext cx="257175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121</xdr:row>
      <xdr:rowOff>152400</xdr:rowOff>
    </xdr:from>
    <xdr:to>
      <xdr:col>2</xdr:col>
      <xdr:colOff>361950</xdr:colOff>
      <xdr:row>123</xdr:row>
      <xdr:rowOff>0</xdr:rowOff>
    </xdr:to>
    <xdr:pic>
      <xdr:nvPicPr>
        <xdr:cNvPr id="4" name="Obraz 5">
          <a:extLst>
            <a:ext uri="{FF2B5EF4-FFF2-40B4-BE49-F238E27FC236}">
              <a16:creationId xmlns:a16="http://schemas.microsoft.com/office/drawing/2014/main" id="{8862C32C-A216-43E0-BDE3-9798DFEE6189}"/>
            </a:ext>
            <a:ext uri="{147F2762-F138-4A5C-976F-8EAC2B608ADB}">
              <a16:predDERef xmlns:a16="http://schemas.microsoft.com/office/drawing/2014/main" pred="{8061C9FF-BE70-4DBE-86C2-78C672999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1175" y="10791825"/>
          <a:ext cx="1524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200025</xdr:colOff>
      <xdr:row>159</xdr:row>
      <xdr:rowOff>142875</xdr:rowOff>
    </xdr:from>
    <xdr:to>
      <xdr:col>10</xdr:col>
      <xdr:colOff>457200</xdr:colOff>
      <xdr:row>161</xdr:row>
      <xdr:rowOff>28575</xdr:rowOff>
    </xdr:to>
    <xdr:pic>
      <xdr:nvPicPr>
        <xdr:cNvPr id="8" name="Obraz 1">
          <a:extLst>
            <a:ext uri="{FF2B5EF4-FFF2-40B4-BE49-F238E27FC236}">
              <a16:creationId xmlns:a16="http://schemas.microsoft.com/office/drawing/2014/main" id="{88DFBDFB-CD64-467D-8DAA-9D107DD355FB}"/>
            </a:ext>
            <a:ext uri="{147F2762-F138-4A5C-976F-8EAC2B608ADB}">
              <a16:predDERef xmlns:a16="http://schemas.microsoft.com/office/drawing/2014/main" pred="{8862C32C-A216-43E0-BDE3-9798DFEE6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21536345">
          <a:off x="6648450" y="18811875"/>
          <a:ext cx="257175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192</xdr:row>
      <xdr:rowOff>152400</xdr:rowOff>
    </xdr:from>
    <xdr:to>
      <xdr:col>2</xdr:col>
      <xdr:colOff>361950</xdr:colOff>
      <xdr:row>194</xdr:row>
      <xdr:rowOff>0</xdr:rowOff>
    </xdr:to>
    <xdr:pic>
      <xdr:nvPicPr>
        <xdr:cNvPr id="10" name="Obraz 5">
          <a:extLst>
            <a:ext uri="{FF2B5EF4-FFF2-40B4-BE49-F238E27FC236}">
              <a16:creationId xmlns:a16="http://schemas.microsoft.com/office/drawing/2014/main" id="{8274D3E2-C3F4-40B7-A9A8-7F5EEDEDB914}"/>
            </a:ext>
            <a:ext uri="{147F2762-F138-4A5C-976F-8EAC2B608ADB}">
              <a16:predDERef xmlns:a16="http://schemas.microsoft.com/office/drawing/2014/main" pred="{88DFBDFB-CD64-467D-8DAA-9D107DD35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1175" y="26355675"/>
          <a:ext cx="1524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192</xdr:row>
      <xdr:rowOff>152400</xdr:rowOff>
    </xdr:from>
    <xdr:to>
      <xdr:col>2</xdr:col>
      <xdr:colOff>361950</xdr:colOff>
      <xdr:row>194</xdr:row>
      <xdr:rowOff>0</xdr:rowOff>
    </xdr:to>
    <xdr:pic>
      <xdr:nvPicPr>
        <xdr:cNvPr id="14" name="Obraz 5">
          <a:extLst>
            <a:ext uri="{FF2B5EF4-FFF2-40B4-BE49-F238E27FC236}">
              <a16:creationId xmlns:a16="http://schemas.microsoft.com/office/drawing/2014/main" id="{D31189EA-988A-43B6-BBB1-ACAE398B70B4}"/>
            </a:ext>
            <a:ext uri="{147F2762-F138-4A5C-976F-8EAC2B608ADB}">
              <a16:predDERef xmlns:a16="http://schemas.microsoft.com/office/drawing/2014/main" pred="{8274D3E2-C3F4-40B7-A9A8-7F5EEDEDB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1175" y="26355675"/>
          <a:ext cx="1524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200025</xdr:colOff>
      <xdr:row>230</xdr:row>
      <xdr:rowOff>142875</xdr:rowOff>
    </xdr:from>
    <xdr:to>
      <xdr:col>10</xdr:col>
      <xdr:colOff>457200</xdr:colOff>
      <xdr:row>232</xdr:row>
      <xdr:rowOff>28575</xdr:rowOff>
    </xdr:to>
    <xdr:pic>
      <xdr:nvPicPr>
        <xdr:cNvPr id="18" name="Obraz 1">
          <a:extLst>
            <a:ext uri="{FF2B5EF4-FFF2-40B4-BE49-F238E27FC236}">
              <a16:creationId xmlns:a16="http://schemas.microsoft.com/office/drawing/2014/main" id="{59159177-9916-47DB-AEBE-892FC9983327}"/>
            </a:ext>
            <a:ext uri="{147F2762-F138-4A5C-976F-8EAC2B608ADB}">
              <a16:predDERef xmlns:a16="http://schemas.microsoft.com/office/drawing/2014/main" pred="{D31189EA-988A-43B6-BBB1-ACAE398B7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21536345">
          <a:off x="6648450" y="34356675"/>
          <a:ext cx="257175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264</xdr:row>
      <xdr:rowOff>152400</xdr:rowOff>
    </xdr:from>
    <xdr:to>
      <xdr:col>2</xdr:col>
      <xdr:colOff>361950</xdr:colOff>
      <xdr:row>266</xdr:row>
      <xdr:rowOff>0</xdr:rowOff>
    </xdr:to>
    <xdr:pic>
      <xdr:nvPicPr>
        <xdr:cNvPr id="20" name="Obraz 5">
          <a:extLst>
            <a:ext uri="{FF2B5EF4-FFF2-40B4-BE49-F238E27FC236}">
              <a16:creationId xmlns:a16="http://schemas.microsoft.com/office/drawing/2014/main" id="{C3BBCE72-4B15-42EE-8FA2-4734C3AF1BFB}"/>
            </a:ext>
            <a:ext uri="{147F2762-F138-4A5C-976F-8EAC2B608ADB}">
              <a16:predDERef xmlns:a16="http://schemas.microsoft.com/office/drawing/2014/main" pred="{59159177-9916-47DB-AEBE-892FC9983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1175" y="41281350"/>
          <a:ext cx="1524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264</xdr:row>
      <xdr:rowOff>152400</xdr:rowOff>
    </xdr:from>
    <xdr:to>
      <xdr:col>2</xdr:col>
      <xdr:colOff>361950</xdr:colOff>
      <xdr:row>266</xdr:row>
      <xdr:rowOff>0</xdr:rowOff>
    </xdr:to>
    <xdr:pic>
      <xdr:nvPicPr>
        <xdr:cNvPr id="21" name="Obraz 5">
          <a:extLst>
            <a:ext uri="{FF2B5EF4-FFF2-40B4-BE49-F238E27FC236}">
              <a16:creationId xmlns:a16="http://schemas.microsoft.com/office/drawing/2014/main" id="{578C435D-3338-4866-A81A-7B5B2C35D36A}"/>
            </a:ext>
            <a:ext uri="{147F2762-F138-4A5C-976F-8EAC2B608ADB}">
              <a16:predDERef xmlns:a16="http://schemas.microsoft.com/office/drawing/2014/main" pred="{C3BBCE72-4B15-42EE-8FA2-4734C3AF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1175" y="41281350"/>
          <a:ext cx="152400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34</xdr:row>
      <xdr:rowOff>38100</xdr:rowOff>
    </xdr:from>
    <xdr:to>
      <xdr:col>11</xdr:col>
      <xdr:colOff>485775</xdr:colOff>
      <xdr:row>47</xdr:row>
      <xdr:rowOff>133350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D938F9A3-B6E3-491C-CAD0-E98E385E8972}"/>
            </a:ext>
            <a:ext uri="{147F2762-F138-4A5C-976F-8EAC2B608ADB}">
              <a16:predDERef xmlns:a16="http://schemas.microsoft.com/office/drawing/2014/main" pred="{578C435D-3338-4866-A81A-7B5B2C35D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71800" y="7286625"/>
          <a:ext cx="4572000" cy="2771775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105</xdr:row>
      <xdr:rowOff>57150</xdr:rowOff>
    </xdr:from>
    <xdr:to>
      <xdr:col>11</xdr:col>
      <xdr:colOff>457200</xdr:colOff>
      <xdr:row>118</xdr:row>
      <xdr:rowOff>152400</xdr:rowOff>
    </xdr:to>
    <xdr:pic>
      <xdr:nvPicPr>
        <xdr:cNvPr id="23" name="Obraz 22">
          <a:extLst>
            <a:ext uri="{FF2B5EF4-FFF2-40B4-BE49-F238E27FC236}">
              <a16:creationId xmlns:a16="http://schemas.microsoft.com/office/drawing/2014/main" id="{41C5141E-3F9A-C6AA-2263-B3F229179979}"/>
            </a:ext>
            <a:ext uri="{147F2762-F138-4A5C-976F-8EAC2B608ADB}">
              <a16:predDERef xmlns:a16="http://schemas.microsoft.com/office/drawing/2014/main" pred="{D938F9A3-B6E3-491C-CAD0-E98E385E8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43225" y="22869525"/>
          <a:ext cx="4572000" cy="2771775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176</xdr:row>
      <xdr:rowOff>57150</xdr:rowOff>
    </xdr:from>
    <xdr:to>
      <xdr:col>11</xdr:col>
      <xdr:colOff>447675</xdr:colOff>
      <xdr:row>189</xdr:row>
      <xdr:rowOff>152400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E5781BC3-1E90-C6A4-FA5D-5559D25C3686}"/>
            </a:ext>
            <a:ext uri="{147F2762-F138-4A5C-976F-8EAC2B608ADB}">
              <a16:predDERef xmlns:a16="http://schemas.microsoft.com/office/drawing/2014/main" pred="{41C5141E-3F9A-C6AA-2263-B3F229179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33700" y="37795200"/>
          <a:ext cx="4572000" cy="277177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247</xdr:row>
      <xdr:rowOff>38100</xdr:rowOff>
    </xdr:from>
    <xdr:to>
      <xdr:col>11</xdr:col>
      <xdr:colOff>466725</xdr:colOff>
      <xdr:row>260</xdr:row>
      <xdr:rowOff>133350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3C5F7640-CE5A-9AA5-2D37-DC46190FBB80}"/>
            </a:ext>
            <a:ext uri="{147F2762-F138-4A5C-976F-8EAC2B608ADB}">
              <a16:predDERef xmlns:a16="http://schemas.microsoft.com/office/drawing/2014/main" pred="{E5781BC3-1E90-C6A4-FA5D-5559D25C3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52750" y="52701825"/>
          <a:ext cx="4572000" cy="2771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F57C-2A23-4706-B441-5F091F4BF790}">
  <dimension ref="A1:T72"/>
  <sheetViews>
    <sheetView tabSelected="1" workbookViewId="0">
      <selection activeCell="D50" sqref="D50"/>
    </sheetView>
  </sheetViews>
  <sheetFormatPr defaultRowHeight="14.5"/>
  <cols>
    <col min="1" max="1" width="11.81640625" customWidth="1"/>
    <col min="2" max="2" width="14.26953125" bestFit="1" customWidth="1"/>
    <col min="3" max="3" width="20.453125" bestFit="1" customWidth="1"/>
    <col min="4" max="4" width="24.7265625" bestFit="1" customWidth="1"/>
    <col min="5" max="5" width="18.54296875" bestFit="1" customWidth="1"/>
    <col min="6" max="6" width="28.453125" style="94" bestFit="1" customWidth="1"/>
    <col min="7" max="7" width="26.81640625" customWidth="1"/>
    <col min="8" max="8" width="10.54296875" bestFit="1" customWidth="1"/>
    <col min="9" max="9" width="11.1796875" customWidth="1"/>
    <col min="10" max="10" width="11.54296875" bestFit="1" customWidth="1"/>
    <col min="11" max="11" width="10" customWidth="1"/>
  </cols>
  <sheetData>
    <row r="1" spans="1:20">
      <c r="A1" s="624" t="s">
        <v>0</v>
      </c>
      <c r="B1" s="624"/>
      <c r="C1" s="624"/>
      <c r="D1" s="624"/>
      <c r="E1" s="624"/>
      <c r="F1" s="624"/>
      <c r="G1" s="624"/>
    </row>
    <row r="2" spans="1:20" ht="43.5">
      <c r="A2" s="360" t="s">
        <v>1</v>
      </c>
      <c r="B2" s="360" t="s">
        <v>2</v>
      </c>
      <c r="C2" s="360" t="s">
        <v>3</v>
      </c>
      <c r="D2" s="360" t="s">
        <v>4</v>
      </c>
      <c r="E2" s="360" t="s">
        <v>5</v>
      </c>
      <c r="F2" s="360" t="s">
        <v>6</v>
      </c>
      <c r="G2" s="360" t="s">
        <v>7</v>
      </c>
    </row>
    <row r="3" spans="1:20">
      <c r="A3" s="568">
        <v>2010</v>
      </c>
      <c r="B3" s="597">
        <v>4793</v>
      </c>
      <c r="C3" s="596">
        <v>5540</v>
      </c>
      <c r="D3" s="569">
        <v>3814.08</v>
      </c>
      <c r="E3" s="569">
        <v>2121.9</v>
      </c>
      <c r="F3" s="569">
        <v>102.6</v>
      </c>
      <c r="G3" s="570">
        <v>594.54999999999995</v>
      </c>
    </row>
    <row r="4" spans="1:20">
      <c r="A4" s="568">
        <v>2011</v>
      </c>
      <c r="B4" s="597">
        <v>5029</v>
      </c>
      <c r="C4" s="596">
        <v>5132</v>
      </c>
      <c r="D4" s="569">
        <v>3987.13</v>
      </c>
      <c r="E4" s="569">
        <v>2113.6</v>
      </c>
      <c r="F4" s="569">
        <v>104.3</v>
      </c>
      <c r="G4" s="570">
        <v>619.97</v>
      </c>
      <c r="T4" s="84"/>
    </row>
    <row r="5" spans="1:20">
      <c r="A5" s="568">
        <v>2012</v>
      </c>
      <c r="B5" s="597">
        <v>4712</v>
      </c>
      <c r="C5" s="596">
        <v>5443</v>
      </c>
      <c r="D5" s="569">
        <v>4119.68</v>
      </c>
      <c r="E5" s="569">
        <v>2102.8000000000002</v>
      </c>
      <c r="F5" s="569">
        <v>103.7</v>
      </c>
      <c r="G5" s="570">
        <v>660.41</v>
      </c>
      <c r="P5" s="84"/>
    </row>
    <row r="6" spans="1:20">
      <c r="A6" s="568">
        <v>2013</v>
      </c>
      <c r="B6" s="597">
        <v>5117</v>
      </c>
      <c r="C6" s="596">
        <v>5291</v>
      </c>
      <c r="D6" s="569">
        <v>4256.82</v>
      </c>
      <c r="E6" s="569">
        <v>2092.4</v>
      </c>
      <c r="F6" s="569">
        <v>100.9</v>
      </c>
      <c r="G6" s="570">
        <v>675.09</v>
      </c>
      <c r="R6" t="s">
        <v>8</v>
      </c>
    </row>
    <row r="7" spans="1:20">
      <c r="A7" s="568">
        <v>2014</v>
      </c>
      <c r="B7" s="597">
        <v>5264</v>
      </c>
      <c r="C7" s="596">
        <v>5563</v>
      </c>
      <c r="D7" s="569">
        <v>4354.3999999999996</v>
      </c>
      <c r="E7" s="569">
        <v>2083.5</v>
      </c>
      <c r="F7" s="569">
        <v>100</v>
      </c>
      <c r="G7" s="570">
        <v>689.2</v>
      </c>
    </row>
    <row r="8" spans="1:20">
      <c r="A8" s="571">
        <v>2015</v>
      </c>
      <c r="B8" s="598">
        <v>5373</v>
      </c>
      <c r="C8" s="599">
        <v>6074</v>
      </c>
      <c r="D8" s="572">
        <v>4549.1099999999997</v>
      </c>
      <c r="E8" s="572">
        <v>2070.6999999999998</v>
      </c>
      <c r="F8" s="572">
        <v>99.1</v>
      </c>
      <c r="G8" s="573">
        <v>694.32</v>
      </c>
    </row>
    <row r="9" spans="1:20">
      <c r="A9" s="574">
        <v>2016</v>
      </c>
      <c r="B9" s="600">
        <v>5470</v>
      </c>
      <c r="C9" s="601">
        <v>6262</v>
      </c>
      <c r="D9" s="575">
        <v>4770.9399999999996</v>
      </c>
      <c r="E9" s="575">
        <v>2063.1999999999998</v>
      </c>
      <c r="F9" s="575">
        <v>99.4</v>
      </c>
      <c r="G9" s="576">
        <v>710.03</v>
      </c>
    </row>
    <row r="10" spans="1:20">
      <c r="A10" s="574">
        <v>2017</v>
      </c>
      <c r="B10" s="600">
        <v>5654</v>
      </c>
      <c r="C10" s="601">
        <v>6697</v>
      </c>
      <c r="D10" s="575">
        <v>5062.37</v>
      </c>
      <c r="E10" s="575">
        <v>2056.6</v>
      </c>
      <c r="F10" s="575">
        <v>102</v>
      </c>
      <c r="G10" s="576">
        <v>735.01</v>
      </c>
    </row>
    <row r="11" spans="1:20">
      <c r="A11" s="574">
        <v>2018</v>
      </c>
      <c r="B11" s="600">
        <v>6122</v>
      </c>
      <c r="C11" s="601">
        <v>7578</v>
      </c>
      <c r="D11" s="575">
        <v>5355.57</v>
      </c>
      <c r="E11" s="575">
        <v>2048.1999999999998</v>
      </c>
      <c r="F11" s="575">
        <v>101.6</v>
      </c>
      <c r="G11" s="576">
        <v>707.52</v>
      </c>
    </row>
    <row r="12" spans="1:20">
      <c r="A12" s="574">
        <v>2019</v>
      </c>
      <c r="B12" s="600">
        <v>6379</v>
      </c>
      <c r="C12" s="601">
        <v>3658</v>
      </c>
      <c r="D12" s="575">
        <v>5713.03</v>
      </c>
      <c r="E12" s="575">
        <v>2042</v>
      </c>
      <c r="F12" s="575">
        <v>102.3</v>
      </c>
      <c r="G12" s="576">
        <v>743.66</v>
      </c>
    </row>
    <row r="13" spans="1:20">
      <c r="A13" s="574">
        <v>2020</v>
      </c>
      <c r="B13" s="600">
        <v>6802</v>
      </c>
      <c r="C13" s="601">
        <v>4556</v>
      </c>
      <c r="D13" s="575">
        <v>6104.97</v>
      </c>
      <c r="E13" s="575">
        <v>2091.5</v>
      </c>
      <c r="F13" s="575">
        <v>103.4</v>
      </c>
      <c r="G13" s="576">
        <v>798.52</v>
      </c>
    </row>
    <row r="14" spans="1:20">
      <c r="A14" s="574">
        <v>2021</v>
      </c>
      <c r="B14" s="600">
        <v>7554</v>
      </c>
      <c r="C14" s="601">
        <v>6478</v>
      </c>
      <c r="D14" s="575">
        <v>6662.69</v>
      </c>
      <c r="E14" s="575">
        <v>2081.1</v>
      </c>
      <c r="F14" s="575">
        <v>105.1</v>
      </c>
      <c r="G14" s="576">
        <v>899.1</v>
      </c>
    </row>
    <row r="15" spans="1:20">
      <c r="A15" s="577">
        <v>2022</v>
      </c>
      <c r="B15" s="602">
        <v>8254</v>
      </c>
      <c r="C15" s="602">
        <v>6004</v>
      </c>
      <c r="D15" s="578">
        <v>7362.74</v>
      </c>
      <c r="E15" s="578">
        <v>2066.8000000000002</v>
      </c>
      <c r="F15" s="578">
        <v>114.4</v>
      </c>
      <c r="G15" s="578">
        <v>1492.75</v>
      </c>
    </row>
    <row r="16" spans="1:20">
      <c r="B16" s="1"/>
      <c r="C16" s="1"/>
      <c r="D16" s="1"/>
      <c r="E16" s="1"/>
      <c r="F16" s="1"/>
      <c r="G16" s="1"/>
      <c r="H16" s="1"/>
    </row>
    <row r="17" spans="1:7">
      <c r="A17" s="625" t="s">
        <v>9</v>
      </c>
      <c r="B17" s="625"/>
      <c r="C17" s="625"/>
      <c r="D17" s="625"/>
      <c r="E17" s="625"/>
      <c r="F17" s="625"/>
      <c r="G17" s="625"/>
    </row>
    <row r="18" spans="1:7" ht="43.5">
      <c r="A18" s="361" t="s">
        <v>1</v>
      </c>
      <c r="B18" s="362" t="s">
        <v>2</v>
      </c>
      <c r="C18" s="362" t="s">
        <v>3</v>
      </c>
      <c r="D18" s="362" t="s">
        <v>4</v>
      </c>
      <c r="E18" s="362" t="s">
        <v>5</v>
      </c>
      <c r="F18" s="362" t="s">
        <v>6</v>
      </c>
      <c r="G18" s="362" t="s">
        <v>7</v>
      </c>
    </row>
    <row r="19" spans="1:7">
      <c r="A19" s="568">
        <v>2010</v>
      </c>
      <c r="B19" s="579">
        <v>8421</v>
      </c>
      <c r="C19" s="580">
        <v>9868</v>
      </c>
      <c r="D19" s="581">
        <v>4694.47</v>
      </c>
      <c r="E19" s="581">
        <v>3286.9</v>
      </c>
      <c r="F19" s="569">
        <v>102.6</v>
      </c>
      <c r="G19" s="582">
        <v>635.89</v>
      </c>
    </row>
    <row r="20" spans="1:7">
      <c r="A20" s="568">
        <v>2011</v>
      </c>
      <c r="B20" s="579">
        <v>8245</v>
      </c>
      <c r="C20" s="580">
        <v>10801</v>
      </c>
      <c r="D20" s="581">
        <v>4936.3599999999997</v>
      </c>
      <c r="E20" s="581">
        <v>3303.1</v>
      </c>
      <c r="F20" s="569">
        <v>104.3</v>
      </c>
      <c r="G20" s="582">
        <v>655.35</v>
      </c>
    </row>
    <row r="21" spans="1:7">
      <c r="A21" s="568">
        <v>2012</v>
      </c>
      <c r="B21" s="579">
        <v>8022</v>
      </c>
      <c r="C21" s="580">
        <v>10604</v>
      </c>
      <c r="D21" s="581">
        <v>5077.53</v>
      </c>
      <c r="E21" s="581">
        <v>3316.7</v>
      </c>
      <c r="F21" s="569">
        <v>103.7</v>
      </c>
      <c r="G21" s="582">
        <v>695.27</v>
      </c>
    </row>
    <row r="22" spans="1:7">
      <c r="A22" s="568">
        <v>2013</v>
      </c>
      <c r="B22" s="579">
        <v>7421</v>
      </c>
      <c r="C22" s="580">
        <v>12948</v>
      </c>
      <c r="D22" s="581">
        <v>5226.05</v>
      </c>
      <c r="E22" s="581">
        <v>3333.9</v>
      </c>
      <c r="F22" s="569">
        <v>100.9</v>
      </c>
      <c r="G22" s="582">
        <v>705.68</v>
      </c>
    </row>
    <row r="23" spans="1:7">
      <c r="A23" s="568">
        <v>2014</v>
      </c>
      <c r="B23" s="579">
        <v>7685</v>
      </c>
      <c r="C23" s="580">
        <v>13937</v>
      </c>
      <c r="D23" s="581">
        <v>5385.8</v>
      </c>
      <c r="E23" s="581">
        <v>3355.2</v>
      </c>
      <c r="F23" s="569">
        <v>100</v>
      </c>
      <c r="G23" s="582">
        <v>725.79</v>
      </c>
    </row>
    <row r="24" spans="1:7">
      <c r="A24" s="568">
        <v>2015</v>
      </c>
      <c r="B24" s="579">
        <v>7664</v>
      </c>
      <c r="C24" s="580">
        <v>21919</v>
      </c>
      <c r="D24" s="581">
        <v>5591.46</v>
      </c>
      <c r="E24" s="581">
        <v>3372.4</v>
      </c>
      <c r="F24" s="569">
        <v>99.1</v>
      </c>
      <c r="G24" s="582">
        <v>730.25</v>
      </c>
    </row>
    <row r="25" spans="1:7">
      <c r="A25" s="568">
        <v>2016</v>
      </c>
      <c r="B25" s="579">
        <v>7783</v>
      </c>
      <c r="C25" s="580">
        <v>24736</v>
      </c>
      <c r="D25" s="581">
        <v>5739.61</v>
      </c>
      <c r="E25" s="581">
        <v>3391</v>
      </c>
      <c r="F25" s="569">
        <v>99.4</v>
      </c>
      <c r="G25" s="582">
        <v>714.93</v>
      </c>
    </row>
    <row r="26" spans="1:7">
      <c r="A26" s="568">
        <v>2017</v>
      </c>
      <c r="B26" s="579">
        <v>8200</v>
      </c>
      <c r="C26" s="580">
        <v>23332</v>
      </c>
      <c r="D26" s="581">
        <v>6059.04</v>
      </c>
      <c r="E26" s="581">
        <v>3411.6</v>
      </c>
      <c r="F26" s="569">
        <v>102</v>
      </c>
      <c r="G26" s="582">
        <v>736.97</v>
      </c>
    </row>
    <row r="27" spans="1:7">
      <c r="A27" s="568">
        <v>2018</v>
      </c>
      <c r="B27" s="579">
        <v>8769</v>
      </c>
      <c r="C27" s="580">
        <v>23199</v>
      </c>
      <c r="D27" s="581">
        <v>6432.78</v>
      </c>
      <c r="E27" s="581">
        <v>3437.4</v>
      </c>
      <c r="F27" s="569">
        <v>101.6</v>
      </c>
      <c r="G27" s="582">
        <v>693.93</v>
      </c>
    </row>
    <row r="28" spans="1:7">
      <c r="A28" s="568">
        <v>2019</v>
      </c>
      <c r="B28" s="579">
        <v>9073</v>
      </c>
      <c r="C28" s="580">
        <v>22921</v>
      </c>
      <c r="D28" s="581">
        <v>6802.6</v>
      </c>
      <c r="E28" s="581">
        <v>3461.9</v>
      </c>
      <c r="F28" s="569">
        <v>102.3</v>
      </c>
      <c r="G28" s="582">
        <v>767.28</v>
      </c>
    </row>
    <row r="29" spans="1:7">
      <c r="A29" s="568">
        <v>2020</v>
      </c>
      <c r="B29" s="579">
        <v>9901</v>
      </c>
      <c r="C29" s="580">
        <v>21693</v>
      </c>
      <c r="D29" s="581">
        <v>7147.46</v>
      </c>
      <c r="E29" s="581">
        <v>3599.4</v>
      </c>
      <c r="F29" s="569">
        <v>103.4</v>
      </c>
      <c r="G29" s="582">
        <v>851.91</v>
      </c>
    </row>
    <row r="30" spans="1:7">
      <c r="A30" s="568">
        <v>2021</v>
      </c>
      <c r="B30" s="579">
        <v>11077</v>
      </c>
      <c r="C30" s="580">
        <v>21287</v>
      </c>
      <c r="D30" s="581">
        <v>7687.58</v>
      </c>
      <c r="E30" s="581">
        <v>3601.9</v>
      </c>
      <c r="F30" s="569">
        <v>105.1</v>
      </c>
      <c r="G30" s="582">
        <v>940.32</v>
      </c>
    </row>
    <row r="31" spans="1:7">
      <c r="A31" s="583">
        <v>2022</v>
      </c>
      <c r="B31" s="584">
        <v>12323</v>
      </c>
      <c r="C31" s="585">
        <v>22756</v>
      </c>
      <c r="D31" s="586">
        <v>8540.11</v>
      </c>
      <c r="E31" s="586">
        <v>3600.1</v>
      </c>
      <c r="F31" s="595">
        <v>114.4</v>
      </c>
      <c r="G31" s="587">
        <v>1492.75</v>
      </c>
    </row>
    <row r="32" spans="1:7">
      <c r="B32" s="1"/>
      <c r="C32" s="1"/>
      <c r="D32" s="1"/>
      <c r="E32" s="1"/>
      <c r="F32" s="1"/>
      <c r="G32" s="1"/>
    </row>
    <row r="33" spans="1:7">
      <c r="A33" s="626" t="s">
        <v>10</v>
      </c>
      <c r="B33" s="626"/>
      <c r="C33" s="626"/>
      <c r="D33" s="626"/>
      <c r="E33" s="626"/>
      <c r="F33" s="626"/>
      <c r="G33" s="626"/>
    </row>
    <row r="34" spans="1:7" ht="43.5">
      <c r="A34" s="363" t="s">
        <v>1</v>
      </c>
      <c r="B34" s="364" t="s">
        <v>2</v>
      </c>
      <c r="C34" s="364" t="s">
        <v>3</v>
      </c>
      <c r="D34" s="364" t="s">
        <v>4</v>
      </c>
      <c r="E34" s="364" t="s">
        <v>5</v>
      </c>
      <c r="F34" s="364" t="s">
        <v>6</v>
      </c>
      <c r="G34" s="364" t="s">
        <v>7</v>
      </c>
    </row>
    <row r="35" spans="1:7">
      <c r="A35" s="568">
        <v>2010</v>
      </c>
      <c r="B35" s="579">
        <v>4461</v>
      </c>
      <c r="C35" s="580">
        <v>3189</v>
      </c>
      <c r="D35" s="581">
        <v>4108.37</v>
      </c>
      <c r="E35" s="581">
        <v>1757.9</v>
      </c>
      <c r="F35" s="569">
        <v>102.6</v>
      </c>
      <c r="G35" s="582">
        <v>616</v>
      </c>
    </row>
    <row r="36" spans="1:7">
      <c r="A36" s="568">
        <v>2011</v>
      </c>
      <c r="B36" s="579">
        <v>4977</v>
      </c>
      <c r="C36" s="580">
        <v>5719</v>
      </c>
      <c r="D36" s="581">
        <v>4327.3500000000004</v>
      </c>
      <c r="E36" s="581">
        <v>1758</v>
      </c>
      <c r="F36" s="569">
        <v>104.3</v>
      </c>
      <c r="G36" s="582">
        <v>639.79999999999995</v>
      </c>
    </row>
    <row r="37" spans="1:7">
      <c r="A37" s="568">
        <v>2012</v>
      </c>
      <c r="B37" s="579">
        <v>5261</v>
      </c>
      <c r="C37" s="580">
        <v>6737</v>
      </c>
      <c r="D37" s="581">
        <v>4411.71</v>
      </c>
      <c r="E37" s="581">
        <v>1757.6</v>
      </c>
      <c r="F37" s="569">
        <v>103.7</v>
      </c>
      <c r="G37" s="582">
        <v>678.61</v>
      </c>
    </row>
    <row r="38" spans="1:7">
      <c r="A38" s="568">
        <v>2013</v>
      </c>
      <c r="B38" s="579">
        <v>5277</v>
      </c>
      <c r="C38" s="580">
        <v>7154</v>
      </c>
      <c r="D38" s="581">
        <v>4562.66</v>
      </c>
      <c r="E38" s="581">
        <v>1761.8</v>
      </c>
      <c r="F38" s="593">
        <v>100.9</v>
      </c>
      <c r="G38" s="582">
        <v>711.38</v>
      </c>
    </row>
    <row r="39" spans="1:7">
      <c r="A39" s="568">
        <v>2014</v>
      </c>
      <c r="B39" s="579">
        <v>5346</v>
      </c>
      <c r="C39" s="580">
        <v>6053</v>
      </c>
      <c r="D39" s="581">
        <v>4814.1400000000003</v>
      </c>
      <c r="E39" s="581">
        <v>1761.7</v>
      </c>
      <c r="F39" s="569">
        <v>100</v>
      </c>
      <c r="G39" s="582">
        <v>708.71</v>
      </c>
    </row>
    <row r="40" spans="1:7">
      <c r="A40" s="568">
        <v>2015</v>
      </c>
      <c r="B40" s="579">
        <v>5403</v>
      </c>
      <c r="C40" s="580">
        <v>7261</v>
      </c>
      <c r="D40" s="581">
        <v>4992.1400000000003</v>
      </c>
      <c r="E40" s="581">
        <v>1764.6</v>
      </c>
      <c r="F40" s="569">
        <v>99.1</v>
      </c>
      <c r="G40" s="582">
        <v>709.02</v>
      </c>
    </row>
    <row r="41" spans="1:7">
      <c r="A41" s="568">
        <v>2016</v>
      </c>
      <c r="B41" s="579">
        <v>5719</v>
      </c>
      <c r="C41" s="580">
        <v>8144</v>
      </c>
      <c r="D41" s="581">
        <v>5118.59</v>
      </c>
      <c r="E41" s="581">
        <v>1770.3</v>
      </c>
      <c r="F41" s="569">
        <v>99.4</v>
      </c>
      <c r="G41" s="582">
        <v>719.49</v>
      </c>
    </row>
    <row r="42" spans="1:7">
      <c r="A42" s="568">
        <v>2017</v>
      </c>
      <c r="B42" s="579">
        <v>6478</v>
      </c>
      <c r="C42" s="580">
        <v>8892</v>
      </c>
      <c r="D42" s="581">
        <v>5312.48</v>
      </c>
      <c r="E42" s="581">
        <v>1772.2</v>
      </c>
      <c r="F42" s="569">
        <v>102</v>
      </c>
      <c r="G42" s="582">
        <v>737.85</v>
      </c>
    </row>
    <row r="43" spans="1:7">
      <c r="A43" s="568">
        <v>2018</v>
      </c>
      <c r="B43" s="579">
        <v>6795</v>
      </c>
      <c r="C43" s="580">
        <v>10034</v>
      </c>
      <c r="D43" s="581">
        <v>5642</v>
      </c>
      <c r="E43" s="581">
        <v>1781.3</v>
      </c>
      <c r="F43" s="569">
        <v>101.6</v>
      </c>
      <c r="G43" s="582">
        <v>705.06</v>
      </c>
    </row>
    <row r="44" spans="1:7">
      <c r="A44" s="568">
        <v>2019</v>
      </c>
      <c r="B44" s="579">
        <v>7519</v>
      </c>
      <c r="C44" s="580">
        <v>10084</v>
      </c>
      <c r="D44" s="581">
        <v>6154.35</v>
      </c>
      <c r="E44" s="581">
        <v>1797.6</v>
      </c>
      <c r="F44" s="569">
        <v>102.3</v>
      </c>
      <c r="G44" s="582">
        <v>745.99</v>
      </c>
    </row>
    <row r="45" spans="1:7">
      <c r="A45" s="568">
        <v>2020</v>
      </c>
      <c r="B45" s="579">
        <v>8401</v>
      </c>
      <c r="C45" s="580">
        <v>8480</v>
      </c>
      <c r="D45" s="581">
        <v>6490.53</v>
      </c>
      <c r="E45" s="581">
        <v>1857.3</v>
      </c>
      <c r="F45" s="569">
        <v>103.4</v>
      </c>
      <c r="G45" s="582">
        <v>834.13</v>
      </c>
    </row>
    <row r="46" spans="1:7">
      <c r="A46" s="568">
        <v>2021</v>
      </c>
      <c r="B46" s="579">
        <v>9346</v>
      </c>
      <c r="C46" s="580">
        <v>9709</v>
      </c>
      <c r="D46" s="581">
        <v>7084.42</v>
      </c>
      <c r="E46" s="581">
        <v>1856.3</v>
      </c>
      <c r="F46" s="569">
        <v>105.1</v>
      </c>
      <c r="G46" s="582">
        <v>1005.44</v>
      </c>
    </row>
    <row r="47" spans="1:7">
      <c r="A47" s="588">
        <v>2022</v>
      </c>
      <c r="B47" s="589">
        <v>9929</v>
      </c>
      <c r="C47" s="590">
        <v>9200</v>
      </c>
      <c r="D47" s="591">
        <v>7876.68</v>
      </c>
      <c r="E47" s="591">
        <v>1829.3</v>
      </c>
      <c r="F47" s="594">
        <v>114.4</v>
      </c>
      <c r="G47" s="592">
        <v>1379.72</v>
      </c>
    </row>
    <row r="48" spans="1:7">
      <c r="B48" s="1"/>
      <c r="C48" s="1"/>
      <c r="D48" s="1"/>
      <c r="E48" s="1"/>
      <c r="F48" s="1"/>
      <c r="G48" s="1"/>
    </row>
    <row r="49" spans="1:10">
      <c r="A49" s="627" t="s">
        <v>11</v>
      </c>
      <c r="B49" s="627"/>
      <c r="C49" s="627"/>
      <c r="D49" s="627"/>
      <c r="E49" s="627"/>
      <c r="F49" s="627"/>
      <c r="G49" s="627"/>
    </row>
    <row r="50" spans="1:10" ht="43.5">
      <c r="A50" s="365" t="s">
        <v>1</v>
      </c>
      <c r="B50" s="366" t="s">
        <v>2</v>
      </c>
      <c r="C50" s="366" t="s">
        <v>3</v>
      </c>
      <c r="D50" s="366" t="s">
        <v>4</v>
      </c>
      <c r="E50" s="366" t="s">
        <v>5</v>
      </c>
      <c r="F50" s="366" t="s">
        <v>6</v>
      </c>
      <c r="G50" s="366" t="s">
        <v>7</v>
      </c>
    </row>
    <row r="51" spans="1:10">
      <c r="A51" s="568">
        <v>2010</v>
      </c>
      <c r="B51" s="579">
        <v>4090</v>
      </c>
      <c r="C51" s="580">
        <v>2769</v>
      </c>
      <c r="D51" s="581">
        <v>3243.15</v>
      </c>
      <c r="E51" s="581">
        <v>2491.5</v>
      </c>
      <c r="F51" s="569">
        <v>102.6</v>
      </c>
      <c r="G51" s="582">
        <v>617.62</v>
      </c>
    </row>
    <row r="52" spans="1:10">
      <c r="A52" s="568">
        <v>2011</v>
      </c>
      <c r="B52" s="579">
        <v>3870</v>
      </c>
      <c r="C52" s="580">
        <v>3417</v>
      </c>
      <c r="D52" s="581">
        <v>3427.06</v>
      </c>
      <c r="E52" s="581">
        <v>2472.5</v>
      </c>
      <c r="F52" s="569">
        <v>104.3</v>
      </c>
      <c r="G52" s="582">
        <v>635.54</v>
      </c>
    </row>
    <row r="53" spans="1:10">
      <c r="A53" s="568">
        <v>2012</v>
      </c>
      <c r="B53" s="579">
        <v>3725</v>
      </c>
      <c r="C53" s="580">
        <v>3662</v>
      </c>
      <c r="D53" s="581">
        <v>3568.84</v>
      </c>
      <c r="E53" s="581">
        <v>2451.6999999999998</v>
      </c>
      <c r="F53" s="569">
        <v>103.7</v>
      </c>
      <c r="G53" s="582">
        <v>682.66</v>
      </c>
    </row>
    <row r="54" spans="1:10">
      <c r="A54" s="568">
        <v>2013</v>
      </c>
      <c r="B54" s="579">
        <v>3580</v>
      </c>
      <c r="C54" s="580">
        <v>8586</v>
      </c>
      <c r="D54" s="581">
        <v>3710.91</v>
      </c>
      <c r="E54" s="581">
        <v>2425.6999999999998</v>
      </c>
      <c r="F54" s="569">
        <v>100.9</v>
      </c>
      <c r="G54" s="582">
        <v>713.64</v>
      </c>
    </row>
    <row r="55" spans="1:10">
      <c r="A55" s="568">
        <v>2014</v>
      </c>
      <c r="B55" s="579">
        <v>3478</v>
      </c>
      <c r="C55" s="580">
        <v>6926</v>
      </c>
      <c r="D55" s="581">
        <v>3837.47</v>
      </c>
      <c r="E55" s="581">
        <v>2407.5</v>
      </c>
      <c r="F55" s="569">
        <v>100</v>
      </c>
      <c r="G55" s="582">
        <v>713.36</v>
      </c>
    </row>
    <row r="56" spans="1:10">
      <c r="A56" s="568">
        <v>2015</v>
      </c>
      <c r="B56" s="579">
        <v>3543</v>
      </c>
      <c r="C56" s="580">
        <v>6249</v>
      </c>
      <c r="D56" s="581">
        <v>4047.78</v>
      </c>
      <c r="E56" s="581">
        <v>2390.4</v>
      </c>
      <c r="F56" s="569">
        <v>99.1</v>
      </c>
      <c r="G56" s="582">
        <v>725.45</v>
      </c>
    </row>
    <row r="57" spans="1:10">
      <c r="A57" s="568">
        <v>2016</v>
      </c>
      <c r="B57" s="579">
        <v>3700</v>
      </c>
      <c r="C57" s="580">
        <v>6068</v>
      </c>
      <c r="D57" s="581">
        <v>4230.12</v>
      </c>
      <c r="E57" s="581">
        <v>2375.1</v>
      </c>
      <c r="F57" s="569">
        <v>99.4</v>
      </c>
      <c r="G57" s="582">
        <v>706.13</v>
      </c>
    </row>
    <row r="58" spans="1:10">
      <c r="A58" s="568">
        <v>2017</v>
      </c>
      <c r="B58" s="579">
        <v>3898</v>
      </c>
      <c r="C58" s="580">
        <v>6117</v>
      </c>
      <c r="D58" s="581">
        <v>4462.5</v>
      </c>
      <c r="E58" s="581">
        <v>2354.4</v>
      </c>
      <c r="F58" s="569">
        <v>102</v>
      </c>
      <c r="G58" s="582">
        <v>709.57</v>
      </c>
    </row>
    <row r="59" spans="1:10">
      <c r="A59" s="568">
        <v>2018</v>
      </c>
      <c r="B59" s="579">
        <v>4306</v>
      </c>
      <c r="C59" s="580">
        <v>7767</v>
      </c>
      <c r="D59" s="581">
        <v>4779.47</v>
      </c>
      <c r="E59" s="581">
        <v>2336.9</v>
      </c>
      <c r="F59" s="569">
        <v>101.6</v>
      </c>
      <c r="G59" s="582">
        <v>674.73</v>
      </c>
    </row>
    <row r="60" spans="1:10">
      <c r="A60" s="568">
        <v>2019</v>
      </c>
      <c r="B60" s="579">
        <v>4693</v>
      </c>
      <c r="C60" s="580">
        <v>7754</v>
      </c>
      <c r="D60" s="581">
        <v>5174.84</v>
      </c>
      <c r="E60" s="581">
        <v>2318.6</v>
      </c>
      <c r="F60" s="569">
        <v>102.3</v>
      </c>
      <c r="G60" s="582">
        <v>716.68</v>
      </c>
    </row>
    <row r="61" spans="1:10">
      <c r="A61" s="568">
        <v>2020</v>
      </c>
      <c r="B61" s="579">
        <v>5198</v>
      </c>
      <c r="C61" s="580">
        <v>8642</v>
      </c>
      <c r="D61" s="581">
        <v>5510.99</v>
      </c>
      <c r="E61" s="581">
        <v>2295</v>
      </c>
      <c r="F61" s="569">
        <v>103.4</v>
      </c>
      <c r="G61" s="582">
        <v>802.11</v>
      </c>
    </row>
    <row r="62" spans="1:10">
      <c r="A62" s="568">
        <v>2021</v>
      </c>
      <c r="B62" s="579">
        <v>5859</v>
      </c>
      <c r="C62" s="580">
        <v>9772</v>
      </c>
      <c r="D62" s="581">
        <v>6062.04</v>
      </c>
      <c r="E62" s="581">
        <v>2267.1999999999998</v>
      </c>
      <c r="F62" s="569">
        <v>105.1</v>
      </c>
      <c r="G62" s="582">
        <v>934.38</v>
      </c>
    </row>
    <row r="63" spans="1:10">
      <c r="A63" s="603">
        <v>2022</v>
      </c>
      <c r="B63" s="604">
        <v>6741</v>
      </c>
      <c r="C63" s="605">
        <v>7184</v>
      </c>
      <c r="D63" s="606">
        <v>6629.23</v>
      </c>
      <c r="E63" s="606">
        <v>2245.3000000000002</v>
      </c>
      <c r="F63" s="608">
        <v>114.4</v>
      </c>
      <c r="G63" s="607">
        <v>1424.83</v>
      </c>
    </row>
    <row r="64" spans="1:10">
      <c r="E64" s="47"/>
      <c r="F64" s="93"/>
      <c r="G64" s="86"/>
      <c r="H64" s="86"/>
      <c r="I64" s="86"/>
      <c r="J64" s="86"/>
    </row>
    <row r="65" spans="5:11">
      <c r="E65" s="47"/>
      <c r="F65" s="95"/>
      <c r="G65" s="47"/>
      <c r="H65" s="47"/>
      <c r="I65" s="47"/>
    </row>
    <row r="67" spans="5:11" ht="14.5" customHeight="1">
      <c r="G67" s="86"/>
      <c r="H67" s="509"/>
      <c r="I67" s="509"/>
      <c r="J67" s="509"/>
      <c r="K67" s="509"/>
    </row>
    <row r="68" spans="5:11">
      <c r="H68" s="129"/>
      <c r="I68" s="129"/>
      <c r="J68" s="129"/>
      <c r="K68" s="129"/>
    </row>
    <row r="69" spans="5:11">
      <c r="H69" s="507"/>
      <c r="I69" s="507"/>
      <c r="J69" s="507"/>
      <c r="K69" s="507"/>
    </row>
    <row r="70" spans="5:11">
      <c r="H70" s="507"/>
      <c r="I70" s="507"/>
      <c r="J70" s="507"/>
      <c r="K70" s="507"/>
    </row>
    <row r="71" spans="5:11">
      <c r="H71" s="22"/>
      <c r="I71" s="22"/>
      <c r="J71" s="22"/>
      <c r="K71" s="22"/>
    </row>
    <row r="72" spans="5:11">
      <c r="F72" s="93"/>
      <c r="G72" s="86"/>
      <c r="H72" s="508"/>
      <c r="I72" s="508"/>
      <c r="J72" s="507"/>
      <c r="K72" s="507"/>
    </row>
  </sheetData>
  <mergeCells count="4">
    <mergeCell ref="A1:G1"/>
    <mergeCell ref="A17:G17"/>
    <mergeCell ref="A33:G33"/>
    <mergeCell ref="A49:G4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2892-C1DF-40AF-970E-EEF252AD651A}">
  <dimension ref="A1:AO299"/>
  <sheetViews>
    <sheetView workbookViewId="0">
      <selection activeCell="D164" sqref="D164:H165"/>
    </sheetView>
  </sheetViews>
  <sheetFormatPr defaultColWidth="9.1796875" defaultRowHeight="14.5"/>
  <cols>
    <col min="1" max="1" width="10" style="68" customWidth="1"/>
    <col min="2" max="2" width="8.1796875" style="68" customWidth="1"/>
    <col min="3" max="3" width="12.26953125" style="68" customWidth="1"/>
    <col min="4" max="4" width="10.7265625" style="68" customWidth="1"/>
    <col min="5" max="5" width="15.453125" style="68" customWidth="1"/>
    <col min="6" max="6" width="11.7265625" style="68" customWidth="1"/>
    <col min="7" max="7" width="17.453125" style="68" customWidth="1"/>
    <col min="8" max="8" width="16" style="68" customWidth="1"/>
    <col min="9" max="9" width="13" style="68" customWidth="1"/>
    <col min="10" max="10" width="5.54296875" style="68" customWidth="1"/>
    <col min="11" max="11" width="10" style="68" customWidth="1"/>
    <col min="12" max="12" width="12.26953125" style="68" customWidth="1"/>
    <col min="13" max="13" width="9.7265625" style="68" customWidth="1"/>
    <col min="14" max="14" width="15.26953125" style="68" customWidth="1"/>
    <col min="15" max="15" width="15.453125" style="68" customWidth="1"/>
    <col min="16" max="16" width="16.453125" style="68" customWidth="1"/>
    <col min="17" max="17" width="15.81640625" style="68" customWidth="1"/>
    <col min="18" max="18" width="16" style="68" customWidth="1"/>
    <col min="19" max="19" width="11" style="68" customWidth="1"/>
    <col min="20" max="20" width="1.54296875" style="68" customWidth="1"/>
    <col min="21" max="21" width="7.7265625" style="68" customWidth="1"/>
    <col min="22" max="22" width="11.1796875" style="68" customWidth="1"/>
    <col min="23" max="23" width="12.1796875" style="68" bestFit="1" customWidth="1"/>
    <col min="24" max="24" width="14.81640625" style="68" customWidth="1"/>
    <col min="25" max="25" width="15.453125" style="68" customWidth="1"/>
    <col min="26" max="26" width="15.26953125" style="68" customWidth="1"/>
    <col min="27" max="27" width="17.453125" style="68" customWidth="1"/>
    <col min="28" max="28" width="16" style="68" customWidth="1"/>
    <col min="29" max="29" width="8.81640625" style="68" customWidth="1"/>
    <col min="30" max="30" width="4.7265625" style="68" customWidth="1"/>
    <col min="31" max="31" width="10.453125" style="68" customWidth="1"/>
    <col min="32" max="32" width="9.26953125" style="68" bestFit="1" customWidth="1"/>
    <col min="33" max="33" width="12.1796875" style="68" bestFit="1" customWidth="1"/>
    <col min="34" max="34" width="15" style="68" customWidth="1"/>
    <col min="35" max="35" width="15.453125" style="68" customWidth="1"/>
    <col min="36" max="36" width="16" style="68" customWidth="1"/>
    <col min="37" max="37" width="17.7265625" style="68" customWidth="1"/>
    <col min="38" max="38" width="16" style="68" customWidth="1"/>
    <col min="39" max="16384" width="9.1796875" style="68"/>
  </cols>
  <sheetData>
    <row r="1" spans="1:41" ht="15" customHeight="1">
      <c r="A1" s="693" t="s">
        <v>12</v>
      </c>
      <c r="B1" s="694"/>
      <c r="C1" s="694"/>
      <c r="D1" s="694"/>
      <c r="E1" s="694"/>
      <c r="F1" s="694"/>
      <c r="G1" s="694"/>
      <c r="H1" s="694"/>
      <c r="I1" s="694"/>
      <c r="J1" s="694"/>
      <c r="K1" s="694"/>
      <c r="L1" s="694"/>
      <c r="M1" s="694"/>
      <c r="N1" s="694"/>
      <c r="O1" s="694"/>
      <c r="P1" s="694"/>
      <c r="Q1" s="694"/>
      <c r="R1" s="694"/>
      <c r="S1" s="694"/>
      <c r="T1" s="694"/>
      <c r="U1" s="694"/>
      <c r="V1" s="694"/>
      <c r="W1" s="694"/>
      <c r="X1" s="694"/>
      <c r="Y1" s="694"/>
      <c r="Z1" s="694"/>
      <c r="AA1" s="694"/>
      <c r="AB1" s="694"/>
      <c r="AC1" s="694"/>
      <c r="AD1" s="694"/>
      <c r="AE1" s="694"/>
      <c r="AF1" s="694"/>
      <c r="AG1" s="694"/>
      <c r="AH1" s="694"/>
      <c r="AI1" s="694"/>
      <c r="AJ1" s="694"/>
      <c r="AK1" s="694"/>
      <c r="AL1" s="694"/>
      <c r="AM1" s="74"/>
      <c r="AN1" s="74"/>
      <c r="AO1" s="565"/>
    </row>
    <row r="2" spans="1:41" ht="15" customHeight="1">
      <c r="A2" s="695"/>
      <c r="B2" s="696"/>
      <c r="C2" s="696"/>
      <c r="D2" s="696"/>
      <c r="E2" s="696"/>
      <c r="F2" s="696"/>
      <c r="G2" s="696"/>
      <c r="H2" s="696"/>
      <c r="I2" s="696"/>
      <c r="J2" s="696"/>
      <c r="K2" s="696"/>
      <c r="L2" s="696"/>
      <c r="M2" s="696"/>
      <c r="N2" s="696"/>
      <c r="O2" s="696"/>
      <c r="P2" s="696"/>
      <c r="Q2" s="696"/>
      <c r="R2" s="696"/>
      <c r="S2" s="696"/>
      <c r="T2" s="696"/>
      <c r="U2" s="696"/>
      <c r="V2" s="696"/>
      <c r="W2" s="696"/>
      <c r="X2" s="696"/>
      <c r="Y2" s="696"/>
      <c r="Z2" s="696"/>
      <c r="AA2" s="696"/>
      <c r="AB2" s="696"/>
      <c r="AC2" s="696"/>
      <c r="AD2" s="696"/>
      <c r="AE2" s="696"/>
      <c r="AF2" s="696"/>
      <c r="AG2" s="696"/>
      <c r="AH2" s="696"/>
      <c r="AI2" s="696"/>
      <c r="AJ2" s="696"/>
      <c r="AK2" s="696"/>
      <c r="AL2" s="696"/>
      <c r="AM2" s="75"/>
      <c r="AN2" s="75"/>
      <c r="AO2" s="566"/>
    </row>
    <row r="3" spans="1:41">
      <c r="B3" s="690" t="s">
        <v>0</v>
      </c>
      <c r="C3" s="690"/>
      <c r="D3" s="690"/>
      <c r="E3" s="690"/>
      <c r="F3" s="690"/>
      <c r="G3" s="690"/>
      <c r="H3" s="690"/>
      <c r="J3" s="262"/>
      <c r="L3" s="690" t="s">
        <v>9</v>
      </c>
      <c r="M3" s="690"/>
      <c r="N3" s="690"/>
      <c r="O3" s="690"/>
      <c r="P3" s="690"/>
      <c r="Q3" s="690"/>
      <c r="R3" s="690"/>
      <c r="T3" s="262"/>
      <c r="V3" s="692" t="s">
        <v>10</v>
      </c>
      <c r="W3" s="692"/>
      <c r="X3" s="692"/>
      <c r="Y3" s="692"/>
      <c r="Z3" s="692"/>
      <c r="AA3" s="692"/>
      <c r="AB3" s="692"/>
      <c r="AD3" s="262"/>
      <c r="AF3" s="692" t="s">
        <v>11</v>
      </c>
      <c r="AG3" s="692"/>
      <c r="AH3" s="692"/>
      <c r="AI3" s="692"/>
      <c r="AJ3" s="692"/>
      <c r="AK3" s="692"/>
      <c r="AL3" s="691"/>
      <c r="AO3" s="262"/>
    </row>
    <row r="4" spans="1:41">
      <c r="B4" s="690"/>
      <c r="C4" s="690"/>
      <c r="D4" s="690"/>
      <c r="E4" s="690"/>
      <c r="F4" s="690"/>
      <c r="G4" s="690"/>
      <c r="H4" s="690"/>
      <c r="I4" s="367"/>
      <c r="J4" s="269"/>
      <c r="L4" s="690"/>
      <c r="M4" s="690"/>
      <c r="N4" s="690"/>
      <c r="O4" s="690"/>
      <c r="P4" s="690"/>
      <c r="Q4" s="690"/>
      <c r="R4" s="690"/>
      <c r="S4" s="367"/>
      <c r="T4" s="272"/>
      <c r="V4" s="692"/>
      <c r="W4" s="692"/>
      <c r="X4" s="692"/>
      <c r="Y4" s="692"/>
      <c r="Z4" s="692"/>
      <c r="AA4" s="692"/>
      <c r="AB4" s="692"/>
      <c r="AC4" s="367"/>
      <c r="AD4" s="262"/>
      <c r="AF4" s="692"/>
      <c r="AG4" s="692"/>
      <c r="AH4" s="692"/>
      <c r="AI4" s="692"/>
      <c r="AJ4" s="692"/>
      <c r="AK4" s="692"/>
      <c r="AL4" s="692"/>
      <c r="AO4" s="262"/>
    </row>
    <row r="5" spans="1:41" ht="59.25" customHeight="1">
      <c r="B5" s="368" t="s">
        <v>1</v>
      </c>
      <c r="C5" s="369" t="s">
        <v>2</v>
      </c>
      <c r="D5" s="369" t="s">
        <v>3</v>
      </c>
      <c r="E5" s="369" t="s">
        <v>13</v>
      </c>
      <c r="F5" s="369" t="s">
        <v>5</v>
      </c>
      <c r="G5" s="370" t="s">
        <v>6</v>
      </c>
      <c r="H5" s="371" t="s">
        <v>7</v>
      </c>
      <c r="I5" s="372"/>
      <c r="J5" s="270"/>
      <c r="L5" s="373" t="s">
        <v>1</v>
      </c>
      <c r="M5" s="374" t="s">
        <v>2</v>
      </c>
      <c r="N5" s="374" t="s">
        <v>3</v>
      </c>
      <c r="O5" s="374" t="s">
        <v>13</v>
      </c>
      <c r="P5" s="374" t="s">
        <v>5</v>
      </c>
      <c r="Q5" s="375" t="s">
        <v>6</v>
      </c>
      <c r="R5" s="376" t="s">
        <v>7</v>
      </c>
      <c r="S5" s="372"/>
      <c r="T5" s="262"/>
      <c r="V5" s="377" t="s">
        <v>1</v>
      </c>
      <c r="W5" s="378" t="s">
        <v>2</v>
      </c>
      <c r="X5" s="378" t="s">
        <v>3</v>
      </c>
      <c r="Y5" s="378" t="s">
        <v>13</v>
      </c>
      <c r="Z5" s="378" t="s">
        <v>5</v>
      </c>
      <c r="AA5" s="378" t="s">
        <v>6</v>
      </c>
      <c r="AB5" s="379" t="s">
        <v>7</v>
      </c>
      <c r="AC5" s="372"/>
      <c r="AD5" s="262"/>
      <c r="AF5" s="380" t="s">
        <v>1</v>
      </c>
      <c r="AG5" s="381" t="s">
        <v>2</v>
      </c>
      <c r="AH5" s="381" t="s">
        <v>3</v>
      </c>
      <c r="AI5" s="381" t="s">
        <v>13</v>
      </c>
      <c r="AJ5" s="381" t="s">
        <v>5</v>
      </c>
      <c r="AK5" s="381" t="s">
        <v>6</v>
      </c>
      <c r="AL5" s="382" t="s">
        <v>7</v>
      </c>
      <c r="AO5" s="262"/>
    </row>
    <row r="6" spans="1:41">
      <c r="B6" s="190">
        <v>2010</v>
      </c>
      <c r="C6" s="242">
        <v>4793</v>
      </c>
      <c r="D6" s="66">
        <v>5540</v>
      </c>
      <c r="E6" s="67">
        <v>3814.08</v>
      </c>
      <c r="F6" s="67">
        <v>2121.9</v>
      </c>
      <c r="G6" s="100">
        <v>102.6</v>
      </c>
      <c r="H6" s="85">
        <v>594.54999999999995</v>
      </c>
      <c r="I6" s="106"/>
      <c r="J6" s="383"/>
      <c r="L6" s="190">
        <v>2010</v>
      </c>
      <c r="M6" s="65">
        <v>8421</v>
      </c>
      <c r="N6" s="65">
        <v>9868</v>
      </c>
      <c r="O6" s="65">
        <v>4694.47</v>
      </c>
      <c r="P6" s="89">
        <v>3286.9</v>
      </c>
      <c r="Q6" s="100">
        <v>102.6</v>
      </c>
      <c r="R6" s="90">
        <v>635.89</v>
      </c>
      <c r="S6" s="107"/>
      <c r="T6" s="273"/>
      <c r="V6" s="190">
        <v>2010</v>
      </c>
      <c r="W6" s="65">
        <v>4461</v>
      </c>
      <c r="X6" s="65">
        <v>3189</v>
      </c>
      <c r="Y6" s="65">
        <v>4108.37</v>
      </c>
      <c r="Z6" s="65">
        <v>1757.9</v>
      </c>
      <c r="AA6" s="100">
        <v>102.6</v>
      </c>
      <c r="AB6" s="88">
        <v>616</v>
      </c>
      <c r="AC6" s="244"/>
      <c r="AD6" s="262"/>
      <c r="AF6" s="190">
        <v>2010</v>
      </c>
      <c r="AG6" s="66">
        <v>4090</v>
      </c>
      <c r="AH6" s="66">
        <v>2769</v>
      </c>
      <c r="AI6" s="66">
        <v>3243.15</v>
      </c>
      <c r="AJ6" s="66">
        <v>2491.5</v>
      </c>
      <c r="AK6" s="100">
        <v>102.6</v>
      </c>
      <c r="AL6" s="85">
        <v>617.62</v>
      </c>
      <c r="AO6" s="262"/>
    </row>
    <row r="7" spans="1:41">
      <c r="B7" s="190">
        <v>2011</v>
      </c>
      <c r="C7" s="242">
        <v>5029</v>
      </c>
      <c r="D7" s="66">
        <v>5132</v>
      </c>
      <c r="E7" s="67">
        <v>3987.13</v>
      </c>
      <c r="F7" s="67">
        <v>2113.6</v>
      </c>
      <c r="G7" s="100">
        <v>104.3</v>
      </c>
      <c r="H7" s="85">
        <v>619.97</v>
      </c>
      <c r="I7" s="106"/>
      <c r="J7" s="383"/>
      <c r="L7" s="190">
        <v>2011</v>
      </c>
      <c r="M7" s="65">
        <v>8245</v>
      </c>
      <c r="N7" s="65">
        <v>10801</v>
      </c>
      <c r="O7" s="65">
        <v>4936.3599999999997</v>
      </c>
      <c r="P7" s="89">
        <v>3303.1</v>
      </c>
      <c r="Q7" s="100">
        <v>104.3</v>
      </c>
      <c r="R7" s="90">
        <v>655.35</v>
      </c>
      <c r="S7" s="107"/>
      <c r="T7" s="262"/>
      <c r="V7" s="190">
        <v>2011</v>
      </c>
      <c r="W7" s="65">
        <v>4977</v>
      </c>
      <c r="X7" s="65">
        <v>5719</v>
      </c>
      <c r="Y7" s="65">
        <v>4327.3500000000004</v>
      </c>
      <c r="Z7" s="65">
        <v>1758</v>
      </c>
      <c r="AA7" s="100">
        <v>104.3</v>
      </c>
      <c r="AB7" s="88">
        <v>639.79999999999995</v>
      </c>
      <c r="AC7" s="244"/>
      <c r="AD7" s="262"/>
      <c r="AF7" s="190">
        <v>2011</v>
      </c>
      <c r="AG7" s="66">
        <v>3870</v>
      </c>
      <c r="AH7" s="66">
        <v>3417</v>
      </c>
      <c r="AI7" s="66">
        <v>3427.06</v>
      </c>
      <c r="AJ7" s="66">
        <v>2472.5</v>
      </c>
      <c r="AK7" s="100">
        <v>104.3</v>
      </c>
      <c r="AL7" s="85">
        <v>635.54</v>
      </c>
      <c r="AO7" s="262"/>
    </row>
    <row r="8" spans="1:41">
      <c r="B8" s="190">
        <v>2012</v>
      </c>
      <c r="C8" s="242">
        <v>4712</v>
      </c>
      <c r="D8" s="66">
        <v>5443</v>
      </c>
      <c r="E8" s="67">
        <v>4119.68</v>
      </c>
      <c r="F8" s="67">
        <v>2102.8000000000002</v>
      </c>
      <c r="G8" s="100">
        <v>103.7</v>
      </c>
      <c r="H8" s="85">
        <v>660.41</v>
      </c>
      <c r="I8" s="106"/>
      <c r="J8" s="383"/>
      <c r="L8" s="190">
        <v>2012</v>
      </c>
      <c r="M8" s="65">
        <v>8022</v>
      </c>
      <c r="N8" s="65">
        <v>10604</v>
      </c>
      <c r="O8" s="65">
        <v>5077.53</v>
      </c>
      <c r="P8" s="89">
        <v>3316.7</v>
      </c>
      <c r="Q8" s="100">
        <v>103.7</v>
      </c>
      <c r="R8" s="90">
        <v>695.27</v>
      </c>
      <c r="S8" s="107"/>
      <c r="T8" s="262"/>
      <c r="V8" s="190">
        <v>2012</v>
      </c>
      <c r="W8" s="65">
        <v>5261</v>
      </c>
      <c r="X8" s="65">
        <v>6737</v>
      </c>
      <c r="Y8" s="65">
        <v>4411.71</v>
      </c>
      <c r="Z8" s="65">
        <v>1757.6</v>
      </c>
      <c r="AA8" s="100">
        <v>103.7</v>
      </c>
      <c r="AB8" s="88">
        <v>678.61</v>
      </c>
      <c r="AC8" s="244"/>
      <c r="AD8" s="262"/>
      <c r="AF8" s="190">
        <v>2012</v>
      </c>
      <c r="AG8" s="66">
        <v>3725</v>
      </c>
      <c r="AH8" s="66">
        <v>3662</v>
      </c>
      <c r="AI8" s="66">
        <v>3568.84</v>
      </c>
      <c r="AJ8" s="66">
        <v>2451.6999999999998</v>
      </c>
      <c r="AK8" s="100">
        <v>103.7</v>
      </c>
      <c r="AL8" s="85">
        <v>682.66</v>
      </c>
      <c r="AO8" s="262"/>
    </row>
    <row r="9" spans="1:41">
      <c r="B9" s="190">
        <v>2013</v>
      </c>
      <c r="C9" s="242">
        <v>5117</v>
      </c>
      <c r="D9" s="66">
        <v>5291</v>
      </c>
      <c r="E9" s="67">
        <v>4256.82</v>
      </c>
      <c r="F9" s="67">
        <v>2092.4</v>
      </c>
      <c r="G9" s="100">
        <v>100.9</v>
      </c>
      <c r="H9" s="85">
        <v>675.09</v>
      </c>
      <c r="I9" s="106"/>
      <c r="J9" s="383"/>
      <c r="L9" s="190">
        <v>2013</v>
      </c>
      <c r="M9" s="65">
        <v>7421</v>
      </c>
      <c r="N9" s="65">
        <v>12948</v>
      </c>
      <c r="O9" s="65">
        <v>5226.05</v>
      </c>
      <c r="P9" s="89">
        <v>3333.9</v>
      </c>
      <c r="Q9" s="100">
        <v>100.9</v>
      </c>
      <c r="R9" s="90">
        <v>705.68</v>
      </c>
      <c r="S9" s="107"/>
      <c r="T9" s="262"/>
      <c r="V9" s="190">
        <v>2013</v>
      </c>
      <c r="W9" s="65">
        <v>5277</v>
      </c>
      <c r="X9" s="65">
        <v>7154</v>
      </c>
      <c r="Y9" s="65">
        <v>4562.66</v>
      </c>
      <c r="Z9" s="65">
        <v>1761.8</v>
      </c>
      <c r="AA9" s="100">
        <v>100.9</v>
      </c>
      <c r="AB9" s="88">
        <v>711.38</v>
      </c>
      <c r="AC9" s="244"/>
      <c r="AD9" s="262"/>
      <c r="AF9" s="190">
        <v>2013</v>
      </c>
      <c r="AG9" s="66">
        <v>3580</v>
      </c>
      <c r="AH9" s="66">
        <v>8586</v>
      </c>
      <c r="AI9" s="66">
        <v>3710.91</v>
      </c>
      <c r="AJ9" s="66">
        <v>2425.6999999999998</v>
      </c>
      <c r="AK9" s="100">
        <v>100.9</v>
      </c>
      <c r="AL9" s="85">
        <v>713.64</v>
      </c>
      <c r="AO9" s="262"/>
    </row>
    <row r="10" spans="1:41">
      <c r="B10" s="190">
        <v>2014</v>
      </c>
      <c r="C10" s="242">
        <v>5264</v>
      </c>
      <c r="D10" s="66">
        <v>5563</v>
      </c>
      <c r="E10" s="67">
        <v>4354.3999999999996</v>
      </c>
      <c r="F10" s="67">
        <v>2083.5</v>
      </c>
      <c r="G10" s="100">
        <v>100</v>
      </c>
      <c r="H10" s="85">
        <v>689.2</v>
      </c>
      <c r="I10" s="106"/>
      <c r="J10" s="383"/>
      <c r="L10" s="190">
        <v>2014</v>
      </c>
      <c r="M10" s="65">
        <v>7685</v>
      </c>
      <c r="N10" s="65">
        <v>13937</v>
      </c>
      <c r="O10" s="65">
        <v>5385.8</v>
      </c>
      <c r="P10" s="89">
        <v>3355.2</v>
      </c>
      <c r="Q10" s="100">
        <v>100</v>
      </c>
      <c r="R10" s="90">
        <v>725.79</v>
      </c>
      <c r="S10" s="107"/>
      <c r="T10" s="262"/>
      <c r="V10" s="190">
        <v>2014</v>
      </c>
      <c r="W10" s="65">
        <v>5346</v>
      </c>
      <c r="X10" s="65">
        <v>6053</v>
      </c>
      <c r="Y10" s="65">
        <v>4814.1400000000003</v>
      </c>
      <c r="Z10" s="65">
        <v>1761.7</v>
      </c>
      <c r="AA10" s="100">
        <v>100</v>
      </c>
      <c r="AB10" s="88">
        <v>708.71</v>
      </c>
      <c r="AC10" s="244"/>
      <c r="AD10" s="262"/>
      <c r="AF10" s="190">
        <v>2014</v>
      </c>
      <c r="AG10" s="66">
        <v>3478</v>
      </c>
      <c r="AH10" s="66">
        <v>6926</v>
      </c>
      <c r="AI10" s="66">
        <v>3837.47</v>
      </c>
      <c r="AJ10" s="66">
        <v>2407.5</v>
      </c>
      <c r="AK10" s="100">
        <v>100</v>
      </c>
      <c r="AL10" s="85">
        <v>713.36</v>
      </c>
      <c r="AO10" s="262"/>
    </row>
    <row r="11" spans="1:41">
      <c r="B11" s="190">
        <v>2015</v>
      </c>
      <c r="C11" s="242">
        <v>5373</v>
      </c>
      <c r="D11" s="66">
        <v>6074</v>
      </c>
      <c r="E11" s="67">
        <v>4549.1099999999997</v>
      </c>
      <c r="F11" s="67">
        <v>2070.6999999999998</v>
      </c>
      <c r="G11" s="100">
        <v>99.1</v>
      </c>
      <c r="H11" s="85">
        <v>694.32</v>
      </c>
      <c r="I11" s="106"/>
      <c r="J11" s="383"/>
      <c r="L11" s="190">
        <v>2015</v>
      </c>
      <c r="M11" s="65">
        <v>7664</v>
      </c>
      <c r="N11" s="65">
        <v>21919</v>
      </c>
      <c r="O11" s="65">
        <v>5591.46</v>
      </c>
      <c r="P11" s="89">
        <v>3372.4</v>
      </c>
      <c r="Q11" s="100">
        <v>99.1</v>
      </c>
      <c r="R11" s="90">
        <v>730.25</v>
      </c>
      <c r="S11" s="107"/>
      <c r="T11" s="262"/>
      <c r="V11" s="190">
        <v>2015</v>
      </c>
      <c r="W11" s="65">
        <v>5403</v>
      </c>
      <c r="X11" s="65">
        <v>7261</v>
      </c>
      <c r="Y11" s="65">
        <v>4992.1400000000003</v>
      </c>
      <c r="Z11" s="65">
        <v>1764.6</v>
      </c>
      <c r="AA11" s="100">
        <v>99.1</v>
      </c>
      <c r="AB11" s="88">
        <v>709.02</v>
      </c>
      <c r="AC11" s="244"/>
      <c r="AD11" s="262"/>
      <c r="AF11" s="190">
        <v>2015</v>
      </c>
      <c r="AG11" s="66">
        <v>3543</v>
      </c>
      <c r="AH11" s="66">
        <v>6249</v>
      </c>
      <c r="AI11" s="66">
        <v>4047.78</v>
      </c>
      <c r="AJ11" s="66">
        <v>2390.4</v>
      </c>
      <c r="AK11" s="100">
        <v>99.1</v>
      </c>
      <c r="AL11" s="85">
        <v>725.45</v>
      </c>
      <c r="AO11" s="262"/>
    </row>
    <row r="12" spans="1:41">
      <c r="B12" s="190">
        <v>2016</v>
      </c>
      <c r="C12" s="242">
        <v>5470</v>
      </c>
      <c r="D12" s="66">
        <v>6262</v>
      </c>
      <c r="E12" s="67">
        <v>4770.9399999999996</v>
      </c>
      <c r="F12" s="67">
        <v>2063.1999999999998</v>
      </c>
      <c r="G12" s="100">
        <v>99.4</v>
      </c>
      <c r="H12" s="85">
        <v>710.03</v>
      </c>
      <c r="I12" s="106"/>
      <c r="J12" s="383"/>
      <c r="L12" s="190">
        <v>2016</v>
      </c>
      <c r="M12" s="65">
        <v>7783</v>
      </c>
      <c r="N12" s="65">
        <v>24736</v>
      </c>
      <c r="O12" s="65">
        <v>5739.61</v>
      </c>
      <c r="P12" s="89">
        <v>3391</v>
      </c>
      <c r="Q12" s="100">
        <v>99.4</v>
      </c>
      <c r="R12" s="90">
        <v>714.93</v>
      </c>
      <c r="S12" s="107"/>
      <c r="T12" s="262"/>
      <c r="V12" s="190">
        <v>2016</v>
      </c>
      <c r="W12" s="65">
        <v>5719</v>
      </c>
      <c r="X12" s="65">
        <v>8144</v>
      </c>
      <c r="Y12" s="65">
        <v>5118.59</v>
      </c>
      <c r="Z12" s="65">
        <v>1770.3</v>
      </c>
      <c r="AA12" s="100">
        <v>99.4</v>
      </c>
      <c r="AB12" s="88">
        <v>719.49</v>
      </c>
      <c r="AC12" s="244"/>
      <c r="AD12" s="262"/>
      <c r="AF12" s="190">
        <v>2016</v>
      </c>
      <c r="AG12" s="66">
        <v>3700</v>
      </c>
      <c r="AH12" s="66">
        <v>6068</v>
      </c>
      <c r="AI12" s="66">
        <v>4230.12</v>
      </c>
      <c r="AJ12" s="66">
        <v>2375.1</v>
      </c>
      <c r="AK12" s="100">
        <v>99.4</v>
      </c>
      <c r="AL12" s="85">
        <v>706.13</v>
      </c>
      <c r="AO12" s="262"/>
    </row>
    <row r="13" spans="1:41">
      <c r="B13" s="190">
        <v>2017</v>
      </c>
      <c r="C13" s="242">
        <v>5654</v>
      </c>
      <c r="D13" s="66">
        <v>6697</v>
      </c>
      <c r="E13" s="67">
        <v>5062.37</v>
      </c>
      <c r="F13" s="67">
        <v>2056.6</v>
      </c>
      <c r="G13" s="100">
        <v>102</v>
      </c>
      <c r="H13" s="85">
        <v>735.01</v>
      </c>
      <c r="I13" s="106"/>
      <c r="J13" s="383"/>
      <c r="L13" s="190">
        <v>2017</v>
      </c>
      <c r="M13" s="65">
        <v>8200</v>
      </c>
      <c r="N13" s="65">
        <v>23332</v>
      </c>
      <c r="O13" s="65">
        <v>6059.04</v>
      </c>
      <c r="P13" s="89">
        <v>3411.6</v>
      </c>
      <c r="Q13" s="100">
        <v>102</v>
      </c>
      <c r="R13" s="90">
        <v>736.97</v>
      </c>
      <c r="S13" s="107"/>
      <c r="T13" s="262"/>
      <c r="V13" s="190">
        <v>2017</v>
      </c>
      <c r="W13" s="65">
        <v>6478</v>
      </c>
      <c r="X13" s="65">
        <v>8892</v>
      </c>
      <c r="Y13" s="65">
        <v>5312.48</v>
      </c>
      <c r="Z13" s="65">
        <v>1772.2</v>
      </c>
      <c r="AA13" s="100">
        <v>102</v>
      </c>
      <c r="AB13" s="88">
        <v>737.85</v>
      </c>
      <c r="AC13" s="244"/>
      <c r="AD13" s="262"/>
      <c r="AF13" s="190">
        <v>2017</v>
      </c>
      <c r="AG13" s="66">
        <v>3898</v>
      </c>
      <c r="AH13" s="66">
        <v>6117</v>
      </c>
      <c r="AI13" s="66">
        <v>4462.5</v>
      </c>
      <c r="AJ13" s="66">
        <v>2354.4</v>
      </c>
      <c r="AK13" s="100">
        <v>102</v>
      </c>
      <c r="AL13" s="85">
        <v>709.57</v>
      </c>
      <c r="AO13" s="262"/>
    </row>
    <row r="14" spans="1:41">
      <c r="B14" s="190">
        <v>2018</v>
      </c>
      <c r="C14" s="242">
        <v>6122</v>
      </c>
      <c r="D14" s="66">
        <v>7578</v>
      </c>
      <c r="E14" s="67">
        <v>5355.57</v>
      </c>
      <c r="F14" s="67">
        <v>2048.1999999999998</v>
      </c>
      <c r="G14" s="100">
        <v>101.6</v>
      </c>
      <c r="H14" s="85">
        <v>707.52</v>
      </c>
      <c r="I14" s="106"/>
      <c r="J14" s="383"/>
      <c r="L14" s="190">
        <v>2018</v>
      </c>
      <c r="M14" s="65">
        <v>8769</v>
      </c>
      <c r="N14" s="65">
        <v>23199</v>
      </c>
      <c r="O14" s="65">
        <v>6432.78</v>
      </c>
      <c r="P14" s="89">
        <v>3437.4</v>
      </c>
      <c r="Q14" s="100">
        <v>101.6</v>
      </c>
      <c r="R14" s="90">
        <v>693.93</v>
      </c>
      <c r="S14" s="107"/>
      <c r="T14" s="262"/>
      <c r="V14" s="190">
        <v>2018</v>
      </c>
      <c r="W14" s="65">
        <v>6795</v>
      </c>
      <c r="X14" s="65">
        <v>10034</v>
      </c>
      <c r="Y14" s="65">
        <v>5642</v>
      </c>
      <c r="Z14" s="65">
        <v>1781.3</v>
      </c>
      <c r="AA14" s="100">
        <v>101.6</v>
      </c>
      <c r="AB14" s="88">
        <v>705.06</v>
      </c>
      <c r="AC14" s="244"/>
      <c r="AD14" s="262"/>
      <c r="AF14" s="190">
        <v>2018</v>
      </c>
      <c r="AG14" s="66">
        <v>4306</v>
      </c>
      <c r="AH14" s="66">
        <v>7767</v>
      </c>
      <c r="AI14" s="66">
        <v>4779.47</v>
      </c>
      <c r="AJ14" s="66">
        <v>2336.9</v>
      </c>
      <c r="AK14" s="100">
        <v>101.6</v>
      </c>
      <c r="AL14" s="85">
        <v>674.73</v>
      </c>
      <c r="AO14" s="262"/>
    </row>
    <row r="15" spans="1:41">
      <c r="B15" s="190">
        <v>2019</v>
      </c>
      <c r="C15" s="242">
        <v>6379</v>
      </c>
      <c r="D15" s="66">
        <v>3658</v>
      </c>
      <c r="E15" s="67">
        <v>5713.03</v>
      </c>
      <c r="F15" s="67">
        <v>2042</v>
      </c>
      <c r="G15" s="100">
        <v>102.3</v>
      </c>
      <c r="H15" s="85">
        <v>743.66</v>
      </c>
      <c r="I15" s="106"/>
      <c r="J15" s="383"/>
      <c r="L15" s="190">
        <v>2019</v>
      </c>
      <c r="M15" s="65">
        <v>9073</v>
      </c>
      <c r="N15" s="65">
        <v>22921</v>
      </c>
      <c r="O15" s="65">
        <v>6802.6</v>
      </c>
      <c r="P15" s="89">
        <v>3461.9</v>
      </c>
      <c r="Q15" s="100">
        <v>102.3</v>
      </c>
      <c r="R15" s="90">
        <v>767.28</v>
      </c>
      <c r="S15" s="107"/>
      <c r="T15" s="262"/>
      <c r="V15" s="190">
        <v>2019</v>
      </c>
      <c r="W15" s="65">
        <v>7519</v>
      </c>
      <c r="X15" s="65">
        <v>10084</v>
      </c>
      <c r="Y15" s="65">
        <v>6154.35</v>
      </c>
      <c r="Z15" s="65">
        <v>1797.6</v>
      </c>
      <c r="AA15" s="100">
        <v>102.3</v>
      </c>
      <c r="AB15" s="88">
        <v>745.99</v>
      </c>
      <c r="AC15" s="244"/>
      <c r="AD15" s="262"/>
      <c r="AF15" s="190">
        <v>2019</v>
      </c>
      <c r="AG15" s="66">
        <v>4693</v>
      </c>
      <c r="AH15" s="66">
        <v>7754</v>
      </c>
      <c r="AI15" s="66">
        <v>5174.84</v>
      </c>
      <c r="AJ15" s="66">
        <v>2318.6</v>
      </c>
      <c r="AK15" s="100">
        <v>102.3</v>
      </c>
      <c r="AL15" s="85">
        <v>716.68</v>
      </c>
      <c r="AO15" s="262"/>
    </row>
    <row r="16" spans="1:41">
      <c r="B16" s="190">
        <v>2020</v>
      </c>
      <c r="C16" s="242">
        <v>6802</v>
      </c>
      <c r="D16" s="66">
        <v>4556</v>
      </c>
      <c r="E16" s="67">
        <v>6104.97</v>
      </c>
      <c r="F16" s="67">
        <v>2091.5</v>
      </c>
      <c r="G16" s="100">
        <v>103.4</v>
      </c>
      <c r="H16" s="85">
        <v>798.52</v>
      </c>
      <c r="I16" s="106"/>
      <c r="J16" s="383"/>
      <c r="L16" s="190">
        <v>2020</v>
      </c>
      <c r="M16" s="65">
        <v>9901</v>
      </c>
      <c r="N16" s="65">
        <v>21693</v>
      </c>
      <c r="O16" s="65">
        <v>7147.46</v>
      </c>
      <c r="P16" s="89">
        <v>3599.4</v>
      </c>
      <c r="Q16" s="100">
        <v>103.4</v>
      </c>
      <c r="R16" s="90">
        <v>851.91</v>
      </c>
      <c r="S16" s="107"/>
      <c r="T16" s="262"/>
      <c r="V16" s="190">
        <v>2020</v>
      </c>
      <c r="W16" s="65">
        <v>8401</v>
      </c>
      <c r="X16" s="65">
        <v>8480</v>
      </c>
      <c r="Y16" s="65">
        <v>6490.53</v>
      </c>
      <c r="Z16" s="65">
        <v>1857.3</v>
      </c>
      <c r="AA16" s="100">
        <v>103.4</v>
      </c>
      <c r="AB16" s="88">
        <v>834.13</v>
      </c>
      <c r="AC16" s="244"/>
      <c r="AD16" s="262"/>
      <c r="AF16" s="190">
        <v>2020</v>
      </c>
      <c r="AG16" s="66">
        <v>5198</v>
      </c>
      <c r="AH16" s="66">
        <v>8642</v>
      </c>
      <c r="AI16" s="66">
        <v>5510.99</v>
      </c>
      <c r="AJ16" s="66">
        <v>2295</v>
      </c>
      <c r="AK16" s="100">
        <v>103.4</v>
      </c>
      <c r="AL16" s="85">
        <v>802.11</v>
      </c>
      <c r="AO16" s="262"/>
    </row>
    <row r="17" spans="1:41">
      <c r="B17" s="241">
        <v>2021</v>
      </c>
      <c r="C17" s="243">
        <v>7554</v>
      </c>
      <c r="D17" s="91">
        <v>6478</v>
      </c>
      <c r="E17" s="101">
        <v>6662.69</v>
      </c>
      <c r="F17" s="101">
        <v>2081.1</v>
      </c>
      <c r="G17" s="102">
        <v>105.1</v>
      </c>
      <c r="H17" s="92">
        <v>899.1</v>
      </c>
      <c r="I17" s="106"/>
      <c r="J17" s="383"/>
      <c r="L17" s="241">
        <v>2021</v>
      </c>
      <c r="M17" s="103">
        <v>11077</v>
      </c>
      <c r="N17" s="103">
        <v>21287</v>
      </c>
      <c r="O17" s="103">
        <v>7687.58</v>
      </c>
      <c r="P17" s="104">
        <v>3601.9</v>
      </c>
      <c r="Q17" s="102">
        <v>105.1</v>
      </c>
      <c r="R17" s="105">
        <v>940.32</v>
      </c>
      <c r="S17" s="107"/>
      <c r="T17" s="262"/>
      <c r="V17" s="241">
        <v>2021</v>
      </c>
      <c r="W17" s="103">
        <v>9346</v>
      </c>
      <c r="X17" s="103">
        <v>9709</v>
      </c>
      <c r="Y17" s="103">
        <v>7084.42</v>
      </c>
      <c r="Z17" s="103">
        <v>1856.3</v>
      </c>
      <c r="AA17" s="102">
        <v>105.1</v>
      </c>
      <c r="AB17" s="109">
        <v>1005.44</v>
      </c>
      <c r="AC17" s="244"/>
      <c r="AD17" s="262"/>
      <c r="AF17" s="241">
        <v>2021</v>
      </c>
      <c r="AG17" s="91">
        <v>5859</v>
      </c>
      <c r="AH17" s="91">
        <v>9772</v>
      </c>
      <c r="AI17" s="91">
        <v>6062.04</v>
      </c>
      <c r="AJ17" s="91">
        <v>2267.1999999999998</v>
      </c>
      <c r="AK17" s="102">
        <v>105.1</v>
      </c>
      <c r="AL17" s="92">
        <v>934.38</v>
      </c>
      <c r="AO17" s="262"/>
    </row>
    <row r="18" spans="1:41" s="183" customFormat="1" ht="17.5">
      <c r="B18" s="367"/>
      <c r="C18" s="316" t="s">
        <v>14</v>
      </c>
      <c r="D18" s="317" t="s">
        <v>15</v>
      </c>
      <c r="E18" s="318" t="s">
        <v>16</v>
      </c>
      <c r="F18" s="319" t="s">
        <v>17</v>
      </c>
      <c r="G18" s="319" t="s">
        <v>18</v>
      </c>
      <c r="H18" s="319" t="s">
        <v>19</v>
      </c>
      <c r="I18" s="384"/>
      <c r="J18" s="271"/>
      <c r="L18" s="367"/>
      <c r="M18" s="316" t="s">
        <v>14</v>
      </c>
      <c r="N18" s="317" t="s">
        <v>15</v>
      </c>
      <c r="O18" s="318" t="s">
        <v>16</v>
      </c>
      <c r="P18" s="319" t="s">
        <v>17</v>
      </c>
      <c r="Q18" s="319" t="s">
        <v>18</v>
      </c>
      <c r="R18" s="319" t="s">
        <v>19</v>
      </c>
      <c r="S18" s="385"/>
      <c r="T18" s="267"/>
      <c r="V18" s="367"/>
      <c r="W18" s="316" t="s">
        <v>14</v>
      </c>
      <c r="X18" s="317" t="s">
        <v>15</v>
      </c>
      <c r="Y18" s="318" t="s">
        <v>16</v>
      </c>
      <c r="Z18" s="319" t="s">
        <v>17</v>
      </c>
      <c r="AA18" s="319" t="s">
        <v>18</v>
      </c>
      <c r="AB18" s="319" t="s">
        <v>19</v>
      </c>
      <c r="AC18" s="386"/>
      <c r="AD18" s="267"/>
      <c r="AF18" s="367"/>
      <c r="AG18" s="316" t="s">
        <v>14</v>
      </c>
      <c r="AH18" s="317" t="s">
        <v>15</v>
      </c>
      <c r="AI18" s="318" t="s">
        <v>16</v>
      </c>
      <c r="AJ18" s="319" t="s">
        <v>17</v>
      </c>
      <c r="AK18" s="319" t="s">
        <v>18</v>
      </c>
      <c r="AL18" s="319" t="s">
        <v>19</v>
      </c>
      <c r="AO18" s="267"/>
    </row>
    <row r="19" spans="1:41">
      <c r="B19" s="268">
        <v>2022</v>
      </c>
      <c r="C19" s="387">
        <v>8254</v>
      </c>
      <c r="D19" s="388"/>
      <c r="E19" s="389"/>
      <c r="F19" s="389"/>
      <c r="G19" s="71"/>
      <c r="H19" s="390"/>
      <c r="I19" s="390"/>
      <c r="J19" s="391"/>
      <c r="L19" s="268">
        <v>2022</v>
      </c>
      <c r="M19" s="108">
        <v>12323</v>
      </c>
      <c r="N19" s="71"/>
      <c r="O19" s="71"/>
      <c r="P19" s="71"/>
      <c r="Q19" s="71"/>
      <c r="R19" s="71"/>
      <c r="S19" s="71"/>
      <c r="T19" s="262"/>
      <c r="V19" s="268">
        <v>2022</v>
      </c>
      <c r="W19" s="108">
        <v>9929</v>
      </c>
      <c r="X19" s="71"/>
      <c r="Y19" s="71"/>
      <c r="Z19" s="71"/>
      <c r="AA19" s="71"/>
      <c r="AB19" s="71"/>
      <c r="AC19" s="71"/>
      <c r="AD19" s="262"/>
      <c r="AF19" s="268">
        <v>2022</v>
      </c>
      <c r="AG19" s="108">
        <v>6741</v>
      </c>
      <c r="AH19" s="71"/>
      <c r="AI19" s="71"/>
      <c r="AJ19" s="71"/>
      <c r="AK19" s="71"/>
      <c r="AL19" s="71"/>
      <c r="AO19" s="262"/>
    </row>
    <row r="20" spans="1:41">
      <c r="B20" s="388" t="s">
        <v>20</v>
      </c>
      <c r="F20" s="69"/>
      <c r="J20" s="262"/>
      <c r="L20" s="388" t="s">
        <v>20</v>
      </c>
      <c r="T20" s="262"/>
      <c r="V20" s="388" t="s">
        <v>20</v>
      </c>
      <c r="W20" s="70"/>
      <c r="X20" s="70"/>
      <c r="AD20" s="262"/>
      <c r="AF20" s="388" t="s">
        <v>20</v>
      </c>
      <c r="AO20" s="262"/>
    </row>
    <row r="21" spans="1:41">
      <c r="D21" s="70"/>
      <c r="J21" s="262"/>
      <c r="T21" s="262"/>
      <c r="AD21" s="262"/>
      <c r="AO21" s="262"/>
    </row>
    <row r="22" spans="1:41" ht="15" customHeight="1">
      <c r="A22" s="693" t="s">
        <v>21</v>
      </c>
      <c r="B22" s="694"/>
      <c r="C22" s="694"/>
      <c r="D22" s="694"/>
      <c r="E22" s="694"/>
      <c r="F22" s="694"/>
      <c r="G22" s="694"/>
      <c r="H22" s="694"/>
      <c r="I22" s="694"/>
      <c r="J22" s="694"/>
      <c r="K22" s="694"/>
      <c r="L22" s="694"/>
      <c r="M22" s="694"/>
      <c r="N22" s="694"/>
      <c r="O22" s="694"/>
      <c r="P22" s="694"/>
      <c r="Q22" s="694"/>
      <c r="R22" s="694"/>
      <c r="S22" s="694"/>
      <c r="T22" s="694"/>
      <c r="U22" s="694"/>
      <c r="V22" s="694"/>
      <c r="W22" s="694"/>
      <c r="X22" s="694"/>
      <c r="Y22" s="694"/>
      <c r="Z22" s="694"/>
      <c r="AA22" s="694"/>
      <c r="AB22" s="694"/>
      <c r="AC22" s="694"/>
      <c r="AD22" s="694"/>
      <c r="AE22" s="694"/>
      <c r="AF22" s="694"/>
      <c r="AG22" s="694"/>
      <c r="AH22" s="694"/>
      <c r="AI22" s="694"/>
      <c r="AJ22" s="694"/>
      <c r="AK22" s="694"/>
      <c r="AL22" s="694"/>
      <c r="AM22" s="74"/>
      <c r="AN22" s="74"/>
      <c r="AO22" s="565"/>
    </row>
    <row r="23" spans="1:41" ht="15" customHeight="1">
      <c r="A23" s="695"/>
      <c r="B23" s="696"/>
      <c r="C23" s="696"/>
      <c r="D23" s="696"/>
      <c r="E23" s="696"/>
      <c r="F23" s="696"/>
      <c r="G23" s="696"/>
      <c r="H23" s="696"/>
      <c r="I23" s="696"/>
      <c r="J23" s="696"/>
      <c r="K23" s="696"/>
      <c r="L23" s="696"/>
      <c r="M23" s="696"/>
      <c r="N23" s="696"/>
      <c r="O23" s="696"/>
      <c r="P23" s="696"/>
      <c r="Q23" s="696"/>
      <c r="R23" s="696"/>
      <c r="S23" s="696"/>
      <c r="T23" s="696"/>
      <c r="U23" s="696"/>
      <c r="V23" s="696"/>
      <c r="W23" s="696"/>
      <c r="X23" s="696"/>
      <c r="Y23" s="696"/>
      <c r="Z23" s="696"/>
      <c r="AA23" s="696"/>
      <c r="AB23" s="696"/>
      <c r="AC23" s="696"/>
      <c r="AD23" s="696"/>
      <c r="AE23" s="696"/>
      <c r="AF23" s="696"/>
      <c r="AG23" s="696"/>
      <c r="AH23" s="696"/>
      <c r="AI23" s="696"/>
      <c r="AJ23" s="696"/>
      <c r="AK23" s="696"/>
      <c r="AL23" s="696"/>
      <c r="AM23" s="75"/>
      <c r="AN23" s="75"/>
      <c r="AO23" s="566"/>
    </row>
    <row r="24" spans="1:41">
      <c r="B24" s="689" t="s">
        <v>0</v>
      </c>
      <c r="C24" s="689"/>
      <c r="D24" s="689"/>
      <c r="E24" s="689"/>
      <c r="F24" s="689"/>
      <c r="G24" s="689"/>
      <c r="H24" s="689"/>
      <c r="I24" s="72"/>
      <c r="J24" s="260"/>
      <c r="K24" s="72"/>
      <c r="L24" s="689" t="s">
        <v>9</v>
      </c>
      <c r="M24" s="689"/>
      <c r="N24" s="689"/>
      <c r="O24" s="689"/>
      <c r="P24" s="689"/>
      <c r="Q24" s="689"/>
      <c r="R24" s="689"/>
      <c r="T24" s="262"/>
      <c r="V24" s="691" t="s">
        <v>10</v>
      </c>
      <c r="W24" s="691"/>
      <c r="X24" s="691"/>
      <c r="Y24" s="691"/>
      <c r="Z24" s="691"/>
      <c r="AA24" s="691"/>
      <c r="AB24" s="691"/>
      <c r="AD24" s="262"/>
      <c r="AF24" s="691" t="s">
        <v>11</v>
      </c>
      <c r="AG24" s="691"/>
      <c r="AH24" s="691"/>
      <c r="AI24" s="691"/>
      <c r="AJ24" s="691"/>
      <c r="AK24" s="691"/>
      <c r="AL24" s="691"/>
      <c r="AO24" s="262"/>
    </row>
    <row r="25" spans="1:41">
      <c r="B25" s="690"/>
      <c r="C25" s="690"/>
      <c r="D25" s="690"/>
      <c r="E25" s="690"/>
      <c r="F25" s="690"/>
      <c r="G25" s="690"/>
      <c r="H25" s="690"/>
      <c r="I25" s="367"/>
      <c r="J25" s="260"/>
      <c r="L25" s="690"/>
      <c r="M25" s="690"/>
      <c r="N25" s="690"/>
      <c r="O25" s="690"/>
      <c r="P25" s="690"/>
      <c r="Q25" s="690"/>
      <c r="R25" s="690"/>
      <c r="S25" s="367"/>
      <c r="T25" s="262"/>
      <c r="V25" s="692"/>
      <c r="W25" s="692"/>
      <c r="X25" s="692"/>
      <c r="Y25" s="692"/>
      <c r="Z25" s="692"/>
      <c r="AA25" s="692"/>
      <c r="AB25" s="692"/>
      <c r="AC25" s="367"/>
      <c r="AD25" s="262"/>
      <c r="AF25" s="692"/>
      <c r="AG25" s="692"/>
      <c r="AH25" s="692"/>
      <c r="AI25" s="692"/>
      <c r="AJ25" s="692"/>
      <c r="AK25" s="692"/>
      <c r="AL25" s="692"/>
      <c r="AO25" s="262"/>
    </row>
    <row r="26" spans="1:41" s="183" customFormat="1" ht="17.5">
      <c r="C26" s="392" t="s">
        <v>22</v>
      </c>
      <c r="D26" s="338" t="s">
        <v>23</v>
      </c>
      <c r="E26" s="338" t="s">
        <v>24</v>
      </c>
      <c r="F26" s="338" t="s">
        <v>25</v>
      </c>
      <c r="G26" s="338" t="s">
        <v>26</v>
      </c>
      <c r="H26" s="338" t="s">
        <v>27</v>
      </c>
      <c r="I26" s="69"/>
      <c r="J26" s="261"/>
      <c r="L26" s="184"/>
      <c r="M26" s="392" t="s">
        <v>22</v>
      </c>
      <c r="N26" s="338" t="s">
        <v>23</v>
      </c>
      <c r="O26" s="338" t="s">
        <v>24</v>
      </c>
      <c r="P26" s="338" t="s">
        <v>25</v>
      </c>
      <c r="Q26" s="338" t="s">
        <v>26</v>
      </c>
      <c r="R26" s="338" t="s">
        <v>27</v>
      </c>
      <c r="S26" s="69"/>
      <c r="T26" s="267"/>
      <c r="W26" s="392" t="s">
        <v>22</v>
      </c>
      <c r="X26" s="338" t="s">
        <v>23</v>
      </c>
      <c r="Y26" s="338" t="s">
        <v>24</v>
      </c>
      <c r="Z26" s="338" t="s">
        <v>25</v>
      </c>
      <c r="AA26" s="338" t="s">
        <v>26</v>
      </c>
      <c r="AB26" s="338" t="s">
        <v>27</v>
      </c>
      <c r="AC26" s="69"/>
      <c r="AD26" s="267"/>
      <c r="AG26" s="392" t="s">
        <v>22</v>
      </c>
      <c r="AH26" s="338" t="s">
        <v>23</v>
      </c>
      <c r="AI26" s="338" t="s">
        <v>24</v>
      </c>
      <c r="AJ26" s="338" t="s">
        <v>25</v>
      </c>
      <c r="AK26" s="338" t="s">
        <v>26</v>
      </c>
      <c r="AL26" s="338" t="s">
        <v>27</v>
      </c>
      <c r="AO26" s="267"/>
    </row>
    <row r="27" spans="1:41" ht="65.25" customHeight="1">
      <c r="B27" s="368" t="s">
        <v>1</v>
      </c>
      <c r="C27" s="369" t="s">
        <v>2</v>
      </c>
      <c r="D27" s="369" t="s">
        <v>3</v>
      </c>
      <c r="E27" s="369" t="s">
        <v>13</v>
      </c>
      <c r="F27" s="369" t="s">
        <v>5</v>
      </c>
      <c r="G27" s="370" t="s">
        <v>6</v>
      </c>
      <c r="H27" s="371" t="s">
        <v>7</v>
      </c>
      <c r="I27" s="372"/>
      <c r="J27" s="262"/>
      <c r="L27" s="373" t="s">
        <v>1</v>
      </c>
      <c r="M27" s="374" t="s">
        <v>2</v>
      </c>
      <c r="N27" s="374" t="s">
        <v>3</v>
      </c>
      <c r="O27" s="374" t="s">
        <v>13</v>
      </c>
      <c r="P27" s="374" t="s">
        <v>5</v>
      </c>
      <c r="Q27" s="375" t="s">
        <v>6</v>
      </c>
      <c r="R27" s="376" t="s">
        <v>7</v>
      </c>
      <c r="S27" s="372"/>
      <c r="T27" s="262"/>
      <c r="V27" s="377" t="s">
        <v>1</v>
      </c>
      <c r="W27" s="378" t="s">
        <v>2</v>
      </c>
      <c r="X27" s="378" t="s">
        <v>3</v>
      </c>
      <c r="Y27" s="378" t="s">
        <v>13</v>
      </c>
      <c r="Z27" s="378" t="s">
        <v>5</v>
      </c>
      <c r="AA27" s="378" t="s">
        <v>6</v>
      </c>
      <c r="AB27" s="379" t="s">
        <v>7</v>
      </c>
      <c r="AC27" s="372"/>
      <c r="AD27" s="262"/>
      <c r="AF27" s="380" t="s">
        <v>1</v>
      </c>
      <c r="AG27" s="610" t="s">
        <v>2</v>
      </c>
      <c r="AH27" s="610" t="s">
        <v>3</v>
      </c>
      <c r="AI27" s="610" t="s">
        <v>13</v>
      </c>
      <c r="AJ27" s="610" t="s">
        <v>5</v>
      </c>
      <c r="AK27" s="610" t="s">
        <v>6</v>
      </c>
      <c r="AL27" s="611" t="s">
        <v>7</v>
      </c>
      <c r="AO27" s="262"/>
    </row>
    <row r="28" spans="1:41">
      <c r="B28" s="190">
        <v>2010</v>
      </c>
      <c r="C28" s="76">
        <f>LN(C6)</f>
        <v>8.4749117991596314</v>
      </c>
      <c r="D28" s="76">
        <f t="shared" ref="D28:H28" si="0">LN(D6)</f>
        <v>8.6197497797413298</v>
      </c>
      <c r="E28" s="76">
        <f t="shared" si="0"/>
        <v>8.2464547612943431</v>
      </c>
      <c r="F28" s="76">
        <f t="shared" si="0"/>
        <v>7.6600671927100539</v>
      </c>
      <c r="G28" s="76">
        <f t="shared" si="0"/>
        <v>4.6308379327366689</v>
      </c>
      <c r="H28" s="77">
        <f t="shared" si="0"/>
        <v>6.3878048168835875</v>
      </c>
      <c r="I28" s="128"/>
      <c r="J28" s="262"/>
      <c r="L28" s="190">
        <v>2010</v>
      </c>
      <c r="M28" s="80">
        <f t="shared" ref="M28:R39" si="1">LN(M6)</f>
        <v>9.0384838650299919</v>
      </c>
      <c r="N28" s="80">
        <f t="shared" si="1"/>
        <v>9.1970524776492475</v>
      </c>
      <c r="O28" s="80">
        <f t="shared" si="1"/>
        <v>8.4541404992212659</v>
      </c>
      <c r="P28" s="80">
        <f t="shared" si="1"/>
        <v>8.0977001503234298</v>
      </c>
      <c r="Q28" s="80">
        <f t="shared" si="1"/>
        <v>4.6308379327366689</v>
      </c>
      <c r="R28" s="81">
        <f t="shared" si="1"/>
        <v>6.4550255924066695</v>
      </c>
      <c r="S28" s="174"/>
      <c r="T28" s="262"/>
      <c r="V28" s="190">
        <v>2010</v>
      </c>
      <c r="W28" s="80">
        <f t="shared" ref="W28:AB39" si="2">LN(W6)</f>
        <v>8.4031282351282641</v>
      </c>
      <c r="X28" s="80">
        <f t="shared" si="2"/>
        <v>8.0674626670100569</v>
      </c>
      <c r="Y28" s="80">
        <f t="shared" si="2"/>
        <v>8.3207816351522439</v>
      </c>
      <c r="Z28" s="80">
        <f t="shared" si="2"/>
        <v>7.471875193805845</v>
      </c>
      <c r="AA28" s="80">
        <f t="shared" si="2"/>
        <v>4.6308379327366689</v>
      </c>
      <c r="AB28" s="81">
        <f t="shared" si="2"/>
        <v>6.4232469635335194</v>
      </c>
      <c r="AC28" s="174"/>
      <c r="AD28" s="262"/>
      <c r="AF28" s="609">
        <v>2010</v>
      </c>
      <c r="AG28" s="76">
        <f>LN(AG6)</f>
        <v>8.3163002490368481</v>
      </c>
      <c r="AH28" s="76">
        <f t="shared" ref="AG28:AL39" si="3">LN(AH6)</f>
        <v>7.9262415231709618</v>
      </c>
      <c r="AI28" s="76">
        <f>LN(AI6)</f>
        <v>8.0843003587066686</v>
      </c>
      <c r="AJ28" s="76">
        <f t="shared" si="3"/>
        <v>7.8206402177214596</v>
      </c>
      <c r="AK28" s="76">
        <f t="shared" si="3"/>
        <v>4.6308379327366689</v>
      </c>
      <c r="AL28" s="77">
        <f>LN(AL6)</f>
        <v>6.4258733816059239</v>
      </c>
      <c r="AO28" s="262"/>
    </row>
    <row r="29" spans="1:41">
      <c r="B29" s="190">
        <v>2011</v>
      </c>
      <c r="C29" s="76">
        <f t="shared" ref="C29:H29" si="4">LN(C7)</f>
        <v>8.5229764361719642</v>
      </c>
      <c r="D29" s="76">
        <f t="shared" si="4"/>
        <v>8.5432507257355272</v>
      </c>
      <c r="E29" s="76">
        <f t="shared" si="4"/>
        <v>8.2908269528191934</v>
      </c>
      <c r="F29" s="76">
        <f t="shared" si="4"/>
        <v>7.6561479337680609</v>
      </c>
      <c r="G29" s="76">
        <f t="shared" si="4"/>
        <v>4.6472713620067267</v>
      </c>
      <c r="H29" s="77">
        <f t="shared" si="4"/>
        <v>6.42967108977167</v>
      </c>
      <c r="I29" s="128"/>
      <c r="J29" s="262"/>
      <c r="L29" s="190">
        <v>2011</v>
      </c>
      <c r="M29" s="80">
        <f t="shared" si="1"/>
        <v>9.0173622349936995</v>
      </c>
      <c r="N29" s="80">
        <f t="shared" si="1"/>
        <v>9.2873940014184733</v>
      </c>
      <c r="O29" s="80">
        <f t="shared" si="1"/>
        <v>8.5043834964751337</v>
      </c>
      <c r="P29" s="80">
        <f t="shared" si="1"/>
        <v>8.1026167004396097</v>
      </c>
      <c r="Q29" s="80">
        <f t="shared" si="1"/>
        <v>4.6472713620067267</v>
      </c>
      <c r="R29" s="81">
        <f t="shared" si="1"/>
        <v>6.485169444065555</v>
      </c>
      <c r="S29" s="174"/>
      <c r="T29" s="262"/>
      <c r="V29" s="190">
        <v>2011</v>
      </c>
      <c r="W29" s="80">
        <f t="shared" si="2"/>
        <v>8.5125825788585541</v>
      </c>
      <c r="X29" s="80">
        <f t="shared" si="2"/>
        <v>8.6515492439153157</v>
      </c>
      <c r="Y29" s="80">
        <f t="shared" si="2"/>
        <v>8.3727106244045615</v>
      </c>
      <c r="Z29" s="80">
        <f t="shared" si="2"/>
        <v>7.4719320782451222</v>
      </c>
      <c r="AA29" s="80">
        <f t="shared" si="2"/>
        <v>4.6472713620067267</v>
      </c>
      <c r="AB29" s="81">
        <f t="shared" si="2"/>
        <v>6.4611556275154172</v>
      </c>
      <c r="AC29" s="174"/>
      <c r="AD29" s="262"/>
      <c r="AF29" s="609">
        <v>2011</v>
      </c>
      <c r="AG29" s="76">
        <f t="shared" si="3"/>
        <v>8.261009786023827</v>
      </c>
      <c r="AH29" s="76">
        <f t="shared" si="3"/>
        <v>8.136518252115291</v>
      </c>
      <c r="AI29" s="76">
        <f t="shared" si="3"/>
        <v>8.1394580297458567</v>
      </c>
      <c r="AJ29" s="76">
        <f t="shared" si="3"/>
        <v>7.8129850634968676</v>
      </c>
      <c r="AK29" s="76">
        <f t="shared" si="3"/>
        <v>4.6472713620067267</v>
      </c>
      <c r="AL29" s="77">
        <f t="shared" si="3"/>
        <v>6.4544750312136179</v>
      </c>
      <c r="AO29" s="262"/>
    </row>
    <row r="30" spans="1:41">
      <c r="B30" s="190">
        <v>2012</v>
      </c>
      <c r="C30" s="76">
        <f t="shared" ref="C30:H30" si="5">LN(C8)</f>
        <v>8.4578677253314218</v>
      </c>
      <c r="D30" s="76">
        <f t="shared" si="5"/>
        <v>8.6020856584342003</v>
      </c>
      <c r="E30" s="76">
        <f t="shared" si="5"/>
        <v>8.3235307694241971</v>
      </c>
      <c r="F30" s="76">
        <f t="shared" si="5"/>
        <v>7.6510250689452928</v>
      </c>
      <c r="G30" s="76">
        <f t="shared" si="5"/>
        <v>4.6415021152354816</v>
      </c>
      <c r="H30" s="77">
        <f t="shared" si="5"/>
        <v>6.4928608542693063</v>
      </c>
      <c r="I30" s="128"/>
      <c r="J30" s="393"/>
      <c r="L30" s="190">
        <v>2012</v>
      </c>
      <c r="M30" s="80">
        <f t="shared" si="1"/>
        <v>8.9899430463299979</v>
      </c>
      <c r="N30" s="80">
        <f t="shared" si="1"/>
        <v>9.2689865674089162</v>
      </c>
      <c r="O30" s="80">
        <f t="shared" si="1"/>
        <v>8.5325802018565824</v>
      </c>
      <c r="P30" s="80">
        <f t="shared" si="1"/>
        <v>8.1067255916852812</v>
      </c>
      <c r="Q30" s="80">
        <f t="shared" si="1"/>
        <v>4.6415021152354816</v>
      </c>
      <c r="R30" s="81">
        <f t="shared" si="1"/>
        <v>6.5443002593310311</v>
      </c>
      <c r="S30" s="174"/>
      <c r="T30" s="262"/>
      <c r="V30" s="190">
        <v>2012</v>
      </c>
      <c r="W30" s="80">
        <f t="shared" si="2"/>
        <v>8.5680764017308064</v>
      </c>
      <c r="X30" s="80">
        <f t="shared" si="2"/>
        <v>8.8153700009606606</v>
      </c>
      <c r="Y30" s="80">
        <f t="shared" si="2"/>
        <v>8.3920176483853499</v>
      </c>
      <c r="Z30" s="80">
        <f t="shared" si="2"/>
        <v>7.4717045210704001</v>
      </c>
      <c r="AA30" s="80">
        <f t="shared" si="2"/>
        <v>4.6415021152354816</v>
      </c>
      <c r="AB30" s="81">
        <f t="shared" si="2"/>
        <v>6.5200465884631855</v>
      </c>
      <c r="AC30" s="174"/>
      <c r="AD30" s="262"/>
      <c r="AF30" s="609">
        <v>2012</v>
      </c>
      <c r="AG30" s="76">
        <f t="shared" si="3"/>
        <v>8.2228221308136593</v>
      </c>
      <c r="AH30" s="76">
        <f t="shared" si="3"/>
        <v>8.2057647252344559</v>
      </c>
      <c r="AI30" s="76">
        <f t="shared" si="3"/>
        <v>8.1799958920005142</v>
      </c>
      <c r="AJ30" s="76">
        <f t="shared" si="3"/>
        <v>7.8045369404680667</v>
      </c>
      <c r="AK30" s="76">
        <f t="shared" si="3"/>
        <v>4.6415021152354816</v>
      </c>
      <c r="AL30" s="77">
        <f t="shared" si="3"/>
        <v>6.5259969318186046</v>
      </c>
      <c r="AO30" s="262"/>
    </row>
    <row r="31" spans="1:41">
      <c r="B31" s="190">
        <v>2013</v>
      </c>
      <c r="C31" s="76">
        <f t="shared" ref="C31:H31" si="6">LN(C9)</f>
        <v>8.5403236088050924</v>
      </c>
      <c r="D31" s="76">
        <f t="shared" si="6"/>
        <v>8.5737625429041309</v>
      </c>
      <c r="E31" s="76">
        <f t="shared" si="6"/>
        <v>8.356277681636092</v>
      </c>
      <c r="F31" s="76">
        <f t="shared" si="6"/>
        <v>7.6460670114964557</v>
      </c>
      <c r="G31" s="76">
        <f t="shared" si="6"/>
        <v>4.6141299273595635</v>
      </c>
      <c r="H31" s="77">
        <f t="shared" si="6"/>
        <v>6.5148460153177643</v>
      </c>
      <c r="I31" s="128"/>
      <c r="J31" s="393"/>
      <c r="L31" s="190">
        <v>2013</v>
      </c>
      <c r="M31" s="80">
        <f t="shared" si="1"/>
        <v>8.912069097970134</v>
      </c>
      <c r="N31" s="80">
        <f t="shared" si="1"/>
        <v>9.4686966150461345</v>
      </c>
      <c r="O31" s="80">
        <f t="shared" si="1"/>
        <v>8.5614110135816706</v>
      </c>
      <c r="P31" s="80">
        <f t="shared" si="1"/>
        <v>8.1118980688597109</v>
      </c>
      <c r="Q31" s="80">
        <f t="shared" si="1"/>
        <v>4.6141299273595635</v>
      </c>
      <c r="R31" s="81">
        <f t="shared" si="1"/>
        <v>6.5591618769505118</v>
      </c>
      <c r="S31" s="174"/>
      <c r="T31" s="262"/>
      <c r="V31" s="190">
        <v>2013</v>
      </c>
      <c r="W31" s="80">
        <f t="shared" si="2"/>
        <v>8.571113033405668</v>
      </c>
      <c r="X31" s="80">
        <f t="shared" si="2"/>
        <v>8.8754269198189633</v>
      </c>
      <c r="Y31" s="80">
        <f t="shared" si="2"/>
        <v>8.4256610657690132</v>
      </c>
      <c r="Z31" s="80">
        <f t="shared" si="2"/>
        <v>7.4740912926756957</v>
      </c>
      <c r="AA31" s="80">
        <f t="shared" si="2"/>
        <v>4.6141299273595635</v>
      </c>
      <c r="AB31" s="81">
        <f t="shared" si="2"/>
        <v>6.567206745540302</v>
      </c>
      <c r="AC31" s="174"/>
      <c r="AD31" s="262"/>
      <c r="AF31" s="609">
        <v>2013</v>
      </c>
      <c r="AG31" s="76">
        <f t="shared" si="3"/>
        <v>8.1831180793947453</v>
      </c>
      <c r="AH31" s="76">
        <f t="shared" si="3"/>
        <v>9.057888248784506</v>
      </c>
      <c r="AI31" s="76">
        <f t="shared" si="3"/>
        <v>8.2190324085433879</v>
      </c>
      <c r="AJ31" s="76">
        <f t="shared" si="3"/>
        <v>7.7938754215111752</v>
      </c>
      <c r="AK31" s="76">
        <f t="shared" si="3"/>
        <v>4.6141299273595635</v>
      </c>
      <c r="AL31" s="77">
        <f t="shared" si="3"/>
        <v>6.5703786335065022</v>
      </c>
      <c r="AO31" s="262"/>
    </row>
    <row r="32" spans="1:41">
      <c r="B32" s="190">
        <v>2014</v>
      </c>
      <c r="C32" s="76">
        <f t="shared" ref="C32:H32" si="7">LN(C10)</f>
        <v>8.5686464730051526</v>
      </c>
      <c r="D32" s="76">
        <f t="shared" si="7"/>
        <v>8.6238928100752936</v>
      </c>
      <c r="E32" s="76">
        <f t="shared" si="7"/>
        <v>8.3789421071199897</v>
      </c>
      <c r="F32" s="76">
        <f>LN(F10)</f>
        <v>7.6418044508625078</v>
      </c>
      <c r="G32" s="76">
        <f t="shared" si="7"/>
        <v>4.6051701859880918</v>
      </c>
      <c r="H32" s="77">
        <f t="shared" si="7"/>
        <v>6.5355315046537745</v>
      </c>
      <c r="I32" s="128"/>
      <c r="J32" s="393"/>
      <c r="L32" s="190">
        <v>2014</v>
      </c>
      <c r="M32" s="80">
        <f t="shared" si="1"/>
        <v>8.9470256559726966</v>
      </c>
      <c r="N32" s="80">
        <f t="shared" si="1"/>
        <v>9.5423024531195093</v>
      </c>
      <c r="O32" s="80">
        <f t="shared" si="1"/>
        <v>8.5915211393735085</v>
      </c>
      <c r="P32" s="80">
        <f t="shared" si="1"/>
        <v>8.1182666601476559</v>
      </c>
      <c r="Q32" s="80">
        <f t="shared" si="1"/>
        <v>4.6051701859880918</v>
      </c>
      <c r="R32" s="81">
        <f t="shared" si="1"/>
        <v>6.5872607167838062</v>
      </c>
      <c r="S32" s="174"/>
      <c r="T32" s="262"/>
      <c r="V32" s="190">
        <v>2014</v>
      </c>
      <c r="W32" s="80">
        <f t="shared" si="2"/>
        <v>8.5841038966988634</v>
      </c>
      <c r="X32" s="80">
        <f t="shared" si="2"/>
        <v>8.7083092958916879</v>
      </c>
      <c r="Y32" s="80">
        <f t="shared" si="2"/>
        <v>8.479312699764769</v>
      </c>
      <c r="Z32" s="80">
        <f t="shared" si="2"/>
        <v>7.4740345309330944</v>
      </c>
      <c r="AA32" s="80">
        <f t="shared" si="2"/>
        <v>4.6051701859880918</v>
      </c>
      <c r="AB32" s="81">
        <f t="shared" si="2"/>
        <v>6.5634464160595414</v>
      </c>
      <c r="AC32" s="174"/>
      <c r="AD32" s="262"/>
      <c r="AF32" s="609">
        <v>2014</v>
      </c>
      <c r="AG32" s="76">
        <f t="shared" si="3"/>
        <v>8.1542126949142286</v>
      </c>
      <c r="AH32" s="76">
        <f t="shared" si="3"/>
        <v>8.8430377249623664</v>
      </c>
      <c r="AI32" s="76">
        <f t="shared" si="3"/>
        <v>8.252568574275319</v>
      </c>
      <c r="AJ32" s="76">
        <f t="shared" si="3"/>
        <v>7.7863441436722809</v>
      </c>
      <c r="AK32" s="76">
        <f t="shared" si="3"/>
        <v>4.6051701859880918</v>
      </c>
      <c r="AL32" s="77">
        <f t="shared" si="3"/>
        <v>6.569986201826624</v>
      </c>
      <c r="AO32" s="262"/>
    </row>
    <row r="33" spans="1:41">
      <c r="B33" s="190">
        <v>2015</v>
      </c>
      <c r="C33" s="76">
        <f t="shared" ref="C33:H33" si="8">LN(C11)</f>
        <v>8.5891416907288214</v>
      </c>
      <c r="D33" s="76">
        <f t="shared" si="8"/>
        <v>8.7117726456056932</v>
      </c>
      <c r="E33" s="76">
        <f t="shared" si="8"/>
        <v>8.4226868884163562</v>
      </c>
      <c r="F33" s="76">
        <f t="shared" si="8"/>
        <v>7.6356419933459794</v>
      </c>
      <c r="G33" s="76">
        <f t="shared" si="8"/>
        <v>4.5961294413359424</v>
      </c>
      <c r="H33" s="77">
        <f t="shared" si="8"/>
        <v>6.5429329493359898</v>
      </c>
      <c r="I33" s="128"/>
      <c r="J33" s="393"/>
      <c r="L33" s="190">
        <v>2015</v>
      </c>
      <c r="M33" s="80">
        <f t="shared" si="1"/>
        <v>8.9442893196506965</v>
      </c>
      <c r="N33" s="80">
        <f t="shared" si="1"/>
        <v>9.9951091195833524</v>
      </c>
      <c r="O33" s="80">
        <f t="shared" si="1"/>
        <v>8.6289957127271943</v>
      </c>
      <c r="P33" s="80">
        <f t="shared" si="1"/>
        <v>8.1233799360485204</v>
      </c>
      <c r="Q33" s="80">
        <f t="shared" si="1"/>
        <v>4.5961294413359424</v>
      </c>
      <c r="R33" s="81">
        <f t="shared" si="1"/>
        <v>6.5933869412678501</v>
      </c>
      <c r="S33" s="174"/>
      <c r="T33" s="262"/>
      <c r="V33" s="190">
        <v>2015</v>
      </c>
      <c r="W33" s="80">
        <f t="shared" si="2"/>
        <v>8.5947096338440652</v>
      </c>
      <c r="X33" s="80">
        <f t="shared" si="2"/>
        <v>8.8902728393802466</v>
      </c>
      <c r="Y33" s="80">
        <f t="shared" si="2"/>
        <v>8.5156199545278088</v>
      </c>
      <c r="Z33" s="80">
        <f t="shared" si="2"/>
        <v>7.4756793147880041</v>
      </c>
      <c r="AA33" s="80">
        <f t="shared" si="2"/>
        <v>4.5961294413359424</v>
      </c>
      <c r="AB33" s="81">
        <f t="shared" si="2"/>
        <v>6.5638837348789796</v>
      </c>
      <c r="AC33" s="174"/>
      <c r="AD33" s="262"/>
      <c r="AF33" s="609">
        <v>2015</v>
      </c>
      <c r="AG33" s="76">
        <f t="shared" si="3"/>
        <v>8.1727291048654713</v>
      </c>
      <c r="AH33" s="76">
        <f t="shared" si="3"/>
        <v>8.7401767299290825</v>
      </c>
      <c r="AI33" s="76">
        <f t="shared" si="3"/>
        <v>8.3059238616643185</v>
      </c>
      <c r="AJ33" s="76">
        <f t="shared" si="3"/>
        <v>7.7792159949384985</v>
      </c>
      <c r="AK33" s="76">
        <f t="shared" si="3"/>
        <v>4.5961294413359424</v>
      </c>
      <c r="AL33" s="77">
        <f t="shared" si="3"/>
        <v>6.5867921519616939</v>
      </c>
      <c r="AO33" s="262"/>
    </row>
    <row r="34" spans="1:41">
      <c r="B34" s="190">
        <v>2016</v>
      </c>
      <c r="C34" s="76">
        <f t="shared" ref="C34:H34" si="9">LN(C12)</f>
        <v>8.607033895416027</v>
      </c>
      <c r="D34" s="76">
        <f t="shared" si="9"/>
        <v>8.7422549018863513</v>
      </c>
      <c r="E34" s="76">
        <f t="shared" si="9"/>
        <v>8.470298629457151</v>
      </c>
      <c r="F34" s="76">
        <f t="shared" si="9"/>
        <v>7.6320134545671348</v>
      </c>
      <c r="G34" s="76">
        <f t="shared" si="9"/>
        <v>4.5991521136625284</v>
      </c>
      <c r="H34" s="77">
        <f t="shared" si="9"/>
        <v>6.5653072226638329</v>
      </c>
      <c r="I34" s="128"/>
      <c r="J34" s="393"/>
      <c r="L34" s="190">
        <v>2016</v>
      </c>
      <c r="M34" s="80">
        <f t="shared" si="1"/>
        <v>8.9596971469593889</v>
      </c>
      <c r="N34" s="80">
        <f t="shared" si="1"/>
        <v>10.116014951387148</v>
      </c>
      <c r="O34" s="80">
        <f t="shared" si="1"/>
        <v>8.6551465427544265</v>
      </c>
      <c r="P34" s="80">
        <f t="shared" si="1"/>
        <v>8.128880142125638</v>
      </c>
      <c r="Q34" s="80">
        <f t="shared" si="1"/>
        <v>4.5991521136625284</v>
      </c>
      <c r="R34" s="81">
        <f t="shared" si="1"/>
        <v>6.5721846358033824</v>
      </c>
      <c r="S34" s="174"/>
      <c r="T34" s="262"/>
      <c r="V34" s="190">
        <v>2016</v>
      </c>
      <c r="W34" s="80">
        <f t="shared" si="2"/>
        <v>8.6515492439153157</v>
      </c>
      <c r="X34" s="80">
        <f t="shared" si="2"/>
        <v>9.0050367387903041</v>
      </c>
      <c r="Y34" s="80">
        <f t="shared" si="2"/>
        <v>8.5406342894815914</v>
      </c>
      <c r="Z34" s="80">
        <f t="shared" si="2"/>
        <v>7.478904302731233</v>
      </c>
      <c r="AA34" s="80">
        <f t="shared" si="2"/>
        <v>4.5991521136625284</v>
      </c>
      <c r="AB34" s="81">
        <f t="shared" si="2"/>
        <v>6.5785426276901839</v>
      </c>
      <c r="AC34" s="174"/>
      <c r="AD34" s="262"/>
      <c r="AF34" s="190">
        <v>2016</v>
      </c>
      <c r="AG34" s="612">
        <f t="shared" si="3"/>
        <v>8.2160880986323157</v>
      </c>
      <c r="AH34" s="612">
        <f t="shared" si="3"/>
        <v>8.7107843404684235</v>
      </c>
      <c r="AI34" s="612">
        <f t="shared" si="3"/>
        <v>8.3499856404322639</v>
      </c>
      <c r="AJ34" s="612">
        <f t="shared" si="3"/>
        <v>7.7727948208454976</v>
      </c>
      <c r="AK34" s="612">
        <f t="shared" si="3"/>
        <v>4.5991521136625284</v>
      </c>
      <c r="AL34" s="613">
        <f t="shared" si="3"/>
        <v>6.5597993565196306</v>
      </c>
      <c r="AO34" s="262"/>
    </row>
    <row r="35" spans="1:41">
      <c r="B35" s="190">
        <v>2017</v>
      </c>
      <c r="C35" s="76">
        <f t="shared" ref="C35:H35" si="10">LN(C13)</f>
        <v>8.6401185382535353</v>
      </c>
      <c r="D35" s="76">
        <f t="shared" si="10"/>
        <v>8.8094149439100509</v>
      </c>
      <c r="E35" s="76">
        <f t="shared" si="10"/>
        <v>8.529590032072738</v>
      </c>
      <c r="F35" s="76">
        <f t="shared" si="10"/>
        <v>7.6288094127950901</v>
      </c>
      <c r="G35" s="76">
        <f t="shared" si="10"/>
        <v>4.6249728132842707</v>
      </c>
      <c r="H35" s="77">
        <f t="shared" si="10"/>
        <v>6.5998841045624603</v>
      </c>
      <c r="I35" s="128"/>
      <c r="J35" s="393"/>
      <c r="L35" s="190">
        <v>2017</v>
      </c>
      <c r="M35" s="80">
        <f t="shared" si="1"/>
        <v>9.0118894332523443</v>
      </c>
      <c r="N35" s="80">
        <f t="shared" si="1"/>
        <v>10.057581087873528</v>
      </c>
      <c r="O35" s="80">
        <f t="shared" si="1"/>
        <v>8.7093066506726604</v>
      </c>
      <c r="P35" s="80">
        <f t="shared" si="1"/>
        <v>8.1349366684449542</v>
      </c>
      <c r="Q35" s="80">
        <f t="shared" si="1"/>
        <v>4.6249728132842707</v>
      </c>
      <c r="R35" s="81">
        <f t="shared" si="1"/>
        <v>6.6025471857977491</v>
      </c>
      <c r="S35" s="174"/>
      <c r="T35" s="262"/>
      <c r="V35" s="190">
        <v>2017</v>
      </c>
      <c r="W35" s="80">
        <f t="shared" si="2"/>
        <v>8.7761670997312748</v>
      </c>
      <c r="X35" s="80">
        <f t="shared" si="2"/>
        <v>9.0929072750840874</v>
      </c>
      <c r="Y35" s="80">
        <f t="shared" si="2"/>
        <v>8.5778140485197039</v>
      </c>
      <c r="Z35" s="80">
        <f t="shared" si="2"/>
        <v>7.479976991613202</v>
      </c>
      <c r="AA35" s="80">
        <f t="shared" si="2"/>
        <v>4.6249728132842707</v>
      </c>
      <c r="AB35" s="81">
        <f t="shared" si="2"/>
        <v>6.6037405519094587</v>
      </c>
      <c r="AC35" s="174"/>
      <c r="AD35" s="262"/>
      <c r="AF35" s="190">
        <v>2017</v>
      </c>
      <c r="AG35" s="76">
        <f t="shared" si="3"/>
        <v>8.268218880067506</v>
      </c>
      <c r="AH35" s="76">
        <f t="shared" si="3"/>
        <v>8.7188270592425656</v>
      </c>
      <c r="AI35" s="76">
        <f t="shared" si="3"/>
        <v>8.4034644260878952</v>
      </c>
      <c r="AJ35" s="76">
        <f t="shared" si="3"/>
        <v>7.7640411969192629</v>
      </c>
      <c r="AK35" s="76">
        <f t="shared" si="3"/>
        <v>4.6249728132842707</v>
      </c>
      <c r="AL35" s="77">
        <f t="shared" si="3"/>
        <v>6.5646591527623119</v>
      </c>
      <c r="AO35" s="262"/>
    </row>
    <row r="36" spans="1:41">
      <c r="B36" s="190">
        <v>2018</v>
      </c>
      <c r="C36" s="76">
        <f t="shared" ref="C36:H36" si="11">LN(C14)</f>
        <v>8.7196441195053573</v>
      </c>
      <c r="D36" s="76">
        <f>LN(D14)</f>
        <v>8.9330045915785465</v>
      </c>
      <c r="E36" s="76">
        <f t="shared" si="11"/>
        <v>8.5858924197942716</v>
      </c>
      <c r="F36" s="76">
        <f t="shared" si="11"/>
        <v>7.6247166376413373</v>
      </c>
      <c r="G36" s="76">
        <f t="shared" si="11"/>
        <v>4.6210435351443815</v>
      </c>
      <c r="H36" s="77">
        <f t="shared" si="11"/>
        <v>6.5617658976690816</v>
      </c>
      <c r="I36" s="128"/>
      <c r="J36" s="393"/>
      <c r="L36" s="190">
        <v>2018</v>
      </c>
      <c r="M36" s="80">
        <f t="shared" si="1"/>
        <v>9.0789780537793554</v>
      </c>
      <c r="N36" s="80">
        <f t="shared" si="1"/>
        <v>10.051864453277146</v>
      </c>
      <c r="O36" s="80">
        <f t="shared" si="1"/>
        <v>8.7691620721630699</v>
      </c>
      <c r="P36" s="80">
        <f t="shared" si="1"/>
        <v>8.1424706506425863</v>
      </c>
      <c r="Q36" s="80">
        <f t="shared" si="1"/>
        <v>4.6210435351443815</v>
      </c>
      <c r="R36" s="81">
        <f t="shared" si="1"/>
        <v>6.5423710908663191</v>
      </c>
      <c r="S36" s="174"/>
      <c r="T36" s="262"/>
      <c r="V36" s="190">
        <v>2018</v>
      </c>
      <c r="W36" s="80">
        <f t="shared" si="2"/>
        <v>8.8239423265852448</v>
      </c>
      <c r="X36" s="80">
        <f t="shared" si="2"/>
        <v>9.2137346050441984</v>
      </c>
      <c r="Y36" s="80">
        <f t="shared" si="2"/>
        <v>8.6379938915619423</v>
      </c>
      <c r="Z36" s="80">
        <f t="shared" si="2"/>
        <v>7.4850987137984388</v>
      </c>
      <c r="AA36" s="80">
        <f t="shared" si="2"/>
        <v>4.6210435351443815</v>
      </c>
      <c r="AB36" s="81">
        <f t="shared" si="2"/>
        <v>6.5582829055739049</v>
      </c>
      <c r="AC36" s="174"/>
      <c r="AD36" s="262"/>
      <c r="AF36" s="190">
        <v>2018</v>
      </c>
      <c r="AG36" s="76">
        <f t="shared" si="3"/>
        <v>8.367764677924308</v>
      </c>
      <c r="AH36" s="76">
        <f t="shared" si="3"/>
        <v>8.9576392684196477</v>
      </c>
      <c r="AI36" s="76">
        <f t="shared" si="3"/>
        <v>8.4720849406769201</v>
      </c>
      <c r="AJ36" s="76">
        <f t="shared" si="3"/>
        <v>7.7565805437217605</v>
      </c>
      <c r="AK36" s="76">
        <f t="shared" si="3"/>
        <v>4.6210435351443815</v>
      </c>
      <c r="AL36" s="77">
        <f t="shared" si="3"/>
        <v>6.5143126108511904</v>
      </c>
      <c r="AO36" s="262"/>
    </row>
    <row r="37" spans="1:41">
      <c r="B37" s="190">
        <v>2019</v>
      </c>
      <c r="C37" s="76">
        <f t="shared" ref="C37:H37" si="12">LN(C15)</f>
        <v>8.7607666242419562</v>
      </c>
      <c r="D37" s="76">
        <f t="shared" si="12"/>
        <v>8.2046718289508114</v>
      </c>
      <c r="E37" s="76">
        <f t="shared" si="12"/>
        <v>8.6505048098921904</v>
      </c>
      <c r="F37" s="76">
        <f t="shared" si="12"/>
        <v>7.6216849987246107</v>
      </c>
      <c r="G37" s="76">
        <f t="shared" si="12"/>
        <v>4.627909672957581</v>
      </c>
      <c r="H37" s="77">
        <f t="shared" si="12"/>
        <v>6.6115839411343709</v>
      </c>
      <c r="I37" s="128"/>
      <c r="J37" s="393"/>
      <c r="L37" s="190">
        <v>2019</v>
      </c>
      <c r="M37" s="80">
        <f t="shared" si="1"/>
        <v>9.1130582491696295</v>
      </c>
      <c r="N37" s="80">
        <f t="shared" si="1"/>
        <v>10.039808799894367</v>
      </c>
      <c r="O37" s="80">
        <f t="shared" si="1"/>
        <v>8.8250601710271166</v>
      </c>
      <c r="P37" s="80">
        <f t="shared" si="1"/>
        <v>8.1495728502814231</v>
      </c>
      <c r="Q37" s="80">
        <f t="shared" si="1"/>
        <v>4.627909672957581</v>
      </c>
      <c r="R37" s="81">
        <f t="shared" si="1"/>
        <v>6.6428517934196956</v>
      </c>
      <c r="S37" s="174"/>
      <c r="T37" s="262"/>
      <c r="V37" s="190">
        <v>2019</v>
      </c>
      <c r="W37" s="80">
        <f t="shared" si="2"/>
        <v>8.9251884293780268</v>
      </c>
      <c r="X37" s="80">
        <f t="shared" si="2"/>
        <v>9.2187052883078113</v>
      </c>
      <c r="Y37" s="80">
        <f t="shared" si="2"/>
        <v>8.7249144278429078</v>
      </c>
      <c r="Z37" s="80">
        <f t="shared" si="2"/>
        <v>7.4942077208711195</v>
      </c>
      <c r="AA37" s="80">
        <f t="shared" si="2"/>
        <v>4.627909672957581</v>
      </c>
      <c r="AB37" s="81">
        <f t="shared" si="2"/>
        <v>6.6147121952881784</v>
      </c>
      <c r="AC37" s="174"/>
      <c r="AD37" s="262"/>
      <c r="AF37" s="190">
        <v>2019</v>
      </c>
      <c r="AG37" s="76">
        <f t="shared" si="3"/>
        <v>8.4538273157944168</v>
      </c>
      <c r="AH37" s="76">
        <f t="shared" si="3"/>
        <v>8.9559641182308738</v>
      </c>
      <c r="AI37" s="76">
        <f t="shared" si="3"/>
        <v>8.551563699781207</v>
      </c>
      <c r="AJ37" s="76">
        <f t="shared" si="3"/>
        <v>7.7487188342363007</v>
      </c>
      <c r="AK37" s="76">
        <f t="shared" si="3"/>
        <v>4.627909672957581</v>
      </c>
      <c r="AL37" s="77">
        <f t="shared" si="3"/>
        <v>6.5746294369316969</v>
      </c>
      <c r="AO37" s="262"/>
    </row>
    <row r="38" spans="1:41">
      <c r="B38" s="190">
        <v>2020</v>
      </c>
      <c r="C38" s="76">
        <f t="shared" ref="C38:H38" si="13">LN(C16)</f>
        <v>8.8249719655671406</v>
      </c>
      <c r="D38" s="76">
        <f t="shared" si="13"/>
        <v>8.4242003245670727</v>
      </c>
      <c r="E38" s="76">
        <f t="shared" si="13"/>
        <v>8.716858472527818</v>
      </c>
      <c r="F38" s="76">
        <f t="shared" si="13"/>
        <v>7.6456367908822527</v>
      </c>
      <c r="G38" s="76">
        <f t="shared" si="13"/>
        <v>4.6386049620743286</v>
      </c>
      <c r="H38" s="77">
        <f t="shared" si="13"/>
        <v>6.6827600143044528</v>
      </c>
      <c r="I38" s="128"/>
      <c r="J38" s="393"/>
      <c r="L38" s="190">
        <v>2020</v>
      </c>
      <c r="M38" s="80">
        <f t="shared" si="1"/>
        <v>9.2003910411225149</v>
      </c>
      <c r="N38" s="80">
        <f t="shared" si="1"/>
        <v>9.984744906843062</v>
      </c>
      <c r="O38" s="80">
        <f t="shared" si="1"/>
        <v>8.8745123278184419</v>
      </c>
      <c r="P38" s="80">
        <f t="shared" si="1"/>
        <v>8.188522443887102</v>
      </c>
      <c r="Q38" s="80">
        <f t="shared" si="1"/>
        <v>4.6386049620743286</v>
      </c>
      <c r="R38" s="81">
        <f t="shared" si="1"/>
        <v>6.7474808874468559</v>
      </c>
      <c r="S38" s="174"/>
      <c r="T38" s="262"/>
      <c r="V38" s="190">
        <v>2020</v>
      </c>
      <c r="W38" s="80">
        <f t="shared" si="2"/>
        <v>9.0361060253648464</v>
      </c>
      <c r="X38" s="80">
        <f t="shared" si="2"/>
        <v>9.045465728785949</v>
      </c>
      <c r="Y38" s="80">
        <f t="shared" si="2"/>
        <v>8.7780994704624185</v>
      </c>
      <c r="Z38" s="80">
        <f t="shared" si="2"/>
        <v>7.5268790991932963</v>
      </c>
      <c r="AA38" s="80">
        <f t="shared" si="2"/>
        <v>4.6386049620743286</v>
      </c>
      <c r="AB38" s="81">
        <f t="shared" si="2"/>
        <v>6.726389265511215</v>
      </c>
      <c r="AC38" s="174"/>
      <c r="AD38" s="262"/>
      <c r="AF38" s="190">
        <v>2020</v>
      </c>
      <c r="AG38" s="76">
        <f t="shared" si="3"/>
        <v>8.5560292152014359</v>
      </c>
      <c r="AH38" s="76">
        <f t="shared" si="3"/>
        <v>9.0643893164918783</v>
      </c>
      <c r="AI38" s="76">
        <f t="shared" si="3"/>
        <v>8.6144995593288769</v>
      </c>
      <c r="AJ38" s="76">
        <f t="shared" si="3"/>
        <v>7.7384881224946458</v>
      </c>
      <c r="AK38" s="76">
        <f t="shared" si="3"/>
        <v>4.6386049620743286</v>
      </c>
      <c r="AL38" s="77">
        <f t="shared" si="3"/>
        <v>6.6872457555685703</v>
      </c>
      <c r="AO38" s="262"/>
    </row>
    <row r="39" spans="1:41" ht="15" customHeight="1">
      <c r="B39" s="241">
        <v>2021</v>
      </c>
      <c r="C39" s="78">
        <f>LN(C17)</f>
        <v>8.9298325032724026</v>
      </c>
      <c r="D39" s="78">
        <f t="shared" ref="D39:H39" si="14">LN(D17)</f>
        <v>8.7761670997312748</v>
      </c>
      <c r="E39" s="78">
        <f t="shared" si="14"/>
        <v>8.8042785858911135</v>
      </c>
      <c r="F39" s="78">
        <f t="shared" si="14"/>
        <v>7.6406518790593649</v>
      </c>
      <c r="G39" s="78">
        <f>LN(G17)</f>
        <v>4.6549122778829055</v>
      </c>
      <c r="H39" s="79">
        <f t="shared" si="14"/>
        <v>6.8013942629907271</v>
      </c>
      <c r="I39" s="128"/>
      <c r="J39" s="393"/>
      <c r="L39" s="241">
        <v>2021</v>
      </c>
      <c r="M39" s="82">
        <f t="shared" si="1"/>
        <v>9.3126261655169333</v>
      </c>
      <c r="N39" s="82">
        <f t="shared" si="1"/>
        <v>9.9658518367326785</v>
      </c>
      <c r="O39" s="82">
        <f t="shared" si="1"/>
        <v>8.9473613185646919</v>
      </c>
      <c r="P39" s="82">
        <f t="shared" si="1"/>
        <v>8.1892167629962724</v>
      </c>
      <c r="Q39" s="82">
        <f t="shared" si="1"/>
        <v>4.6549122778829055</v>
      </c>
      <c r="R39" s="83">
        <f t="shared" si="1"/>
        <v>6.8462202428643399</v>
      </c>
      <c r="S39" s="174"/>
      <c r="T39" s="262"/>
      <c r="V39" s="241">
        <v>2021</v>
      </c>
      <c r="W39" s="82">
        <f t="shared" si="2"/>
        <v>9.1427037232603716</v>
      </c>
      <c r="X39" s="82">
        <f t="shared" si="2"/>
        <v>9.1808085693701447</v>
      </c>
      <c r="Y39" s="82">
        <f t="shared" si="2"/>
        <v>8.865653285682777</v>
      </c>
      <c r="Z39" s="82">
        <f t="shared" si="2"/>
        <v>7.5263405382151776</v>
      </c>
      <c r="AA39" s="82">
        <f t="shared" si="2"/>
        <v>4.6549122778829055</v>
      </c>
      <c r="AB39" s="83">
        <f t="shared" si="2"/>
        <v>6.9131805356272018</v>
      </c>
      <c r="AC39" s="174"/>
      <c r="AD39" s="262"/>
      <c r="AF39" s="241">
        <v>2021</v>
      </c>
      <c r="AG39" s="78">
        <f>LN(AG17)</f>
        <v>8.675734219544788</v>
      </c>
      <c r="AH39" s="78">
        <f t="shared" si="3"/>
        <v>9.1872764323776313</v>
      </c>
      <c r="AI39" s="78">
        <f>LN(AI17)</f>
        <v>8.7098016560783282</v>
      </c>
      <c r="AJ39" s="78">
        <f t="shared" si="3"/>
        <v>7.7263008689364163</v>
      </c>
      <c r="AK39" s="78">
        <f t="shared" si="3"/>
        <v>4.6549122778829055</v>
      </c>
      <c r="AL39" s="79">
        <f t="shared" si="3"/>
        <v>6.8398832077353022</v>
      </c>
      <c r="AO39" s="262"/>
    </row>
    <row r="40" spans="1:41">
      <c r="C40" s="60"/>
      <c r="D40" s="60"/>
      <c r="E40" s="60"/>
      <c r="F40" s="60"/>
      <c r="G40" s="60"/>
      <c r="H40" s="60"/>
      <c r="I40" s="60"/>
      <c r="J40" s="393"/>
      <c r="K40" s="60"/>
      <c r="L40" s="60"/>
      <c r="T40" s="262"/>
      <c r="AD40" s="262"/>
      <c r="AO40" s="262"/>
    </row>
    <row r="41" spans="1:41" ht="14.5" customHeight="1">
      <c r="A41" s="715" t="s">
        <v>28</v>
      </c>
      <c r="B41" s="715"/>
      <c r="C41" s="715"/>
      <c r="D41" s="394" t="s">
        <v>29</v>
      </c>
      <c r="E41" s="394" t="s">
        <v>29</v>
      </c>
      <c r="F41" s="394" t="s">
        <v>29</v>
      </c>
      <c r="G41" s="394" t="s">
        <v>29</v>
      </c>
      <c r="H41" s="394" t="s">
        <v>29</v>
      </c>
      <c r="I41" s="394" t="s">
        <v>29</v>
      </c>
      <c r="J41" s="393" t="s">
        <v>29</v>
      </c>
      <c r="K41" s="715" t="s">
        <v>28</v>
      </c>
      <c r="L41" s="715"/>
      <c r="M41" s="715"/>
      <c r="N41" s="394" t="s">
        <v>29</v>
      </c>
      <c r="O41" s="394" t="s">
        <v>29</v>
      </c>
      <c r="P41" s="394" t="s">
        <v>29</v>
      </c>
      <c r="Q41" s="394" t="s">
        <v>29</v>
      </c>
      <c r="R41" s="394" t="s">
        <v>29</v>
      </c>
      <c r="S41" s="394" t="s">
        <v>29</v>
      </c>
      <c r="T41" s="393" t="s">
        <v>29</v>
      </c>
      <c r="U41" s="60" t="s">
        <v>28</v>
      </c>
      <c r="V41" s="60"/>
      <c r="W41" s="60"/>
      <c r="X41" s="60"/>
      <c r="Y41" s="60"/>
      <c r="Z41" s="60"/>
      <c r="AA41" s="60"/>
      <c r="AB41" s="60"/>
      <c r="AC41" s="60"/>
      <c r="AD41" s="393" t="s">
        <v>29</v>
      </c>
      <c r="AE41" s="22" t="s">
        <v>28</v>
      </c>
      <c r="AF41" s="22"/>
      <c r="AG41" s="22"/>
      <c r="AH41" s="22"/>
      <c r="AI41" s="22"/>
      <c r="AJ41" s="22"/>
      <c r="AK41" s="22"/>
      <c r="AL41" s="22"/>
      <c r="AM41" s="22"/>
      <c r="AO41" s="262"/>
    </row>
    <row r="42" spans="1:41">
      <c r="A42" s="394" t="s">
        <v>29</v>
      </c>
      <c r="B42" s="394" t="s">
        <v>29</v>
      </c>
      <c r="C42" s="394" t="s">
        <v>29</v>
      </c>
      <c r="D42" s="394" t="s">
        <v>29</v>
      </c>
      <c r="E42" s="394" t="s">
        <v>29</v>
      </c>
      <c r="F42" s="394" t="s">
        <v>29</v>
      </c>
      <c r="G42" s="394" t="s">
        <v>29</v>
      </c>
      <c r="H42" s="394" t="s">
        <v>29</v>
      </c>
      <c r="I42" s="394" t="s">
        <v>29</v>
      </c>
      <c r="J42" s="393" t="s">
        <v>29</v>
      </c>
      <c r="K42" s="394" t="s">
        <v>29</v>
      </c>
      <c r="L42" s="394" t="s">
        <v>29</v>
      </c>
      <c r="M42" s="394" t="s">
        <v>29</v>
      </c>
      <c r="N42" s="394" t="s">
        <v>29</v>
      </c>
      <c r="O42" s="394" t="s">
        <v>29</v>
      </c>
      <c r="P42" s="394" t="s">
        <v>29</v>
      </c>
      <c r="Q42" s="394" t="s">
        <v>29</v>
      </c>
      <c r="R42" s="394" t="s">
        <v>29</v>
      </c>
      <c r="S42" s="394" t="s">
        <v>29</v>
      </c>
      <c r="T42" s="393" t="s">
        <v>29</v>
      </c>
      <c r="U42" s="60"/>
      <c r="V42" s="60"/>
      <c r="W42" s="60"/>
      <c r="X42" s="60"/>
      <c r="Y42" s="60"/>
      <c r="Z42" s="60"/>
      <c r="AA42" s="60"/>
      <c r="AB42" s="60"/>
      <c r="AC42" s="60"/>
      <c r="AD42" s="393" t="s">
        <v>29</v>
      </c>
      <c r="AE42" s="60"/>
      <c r="AF42" s="60"/>
      <c r="AG42" s="60"/>
      <c r="AH42" s="60"/>
      <c r="AI42" s="60"/>
      <c r="AJ42" s="60"/>
      <c r="AK42" s="60"/>
      <c r="AL42" s="60"/>
      <c r="AM42" s="60"/>
      <c r="AO42" s="262"/>
    </row>
    <row r="43" spans="1:41">
      <c r="A43" s="635" t="s">
        <v>30</v>
      </c>
      <c r="B43" s="635"/>
      <c r="C43" s="635"/>
      <c r="D43" s="394" t="s">
        <v>29</v>
      </c>
      <c r="E43" s="394" t="s">
        <v>29</v>
      </c>
      <c r="F43" s="394" t="s">
        <v>29</v>
      </c>
      <c r="G43" s="394" t="s">
        <v>29</v>
      </c>
      <c r="H43" s="394" t="s">
        <v>29</v>
      </c>
      <c r="I43" s="394" t="s">
        <v>29</v>
      </c>
      <c r="J43" s="393" t="s">
        <v>29</v>
      </c>
      <c r="K43" s="635" t="s">
        <v>30</v>
      </c>
      <c r="L43" s="635"/>
      <c r="M43" s="635"/>
      <c r="N43" s="394" t="s">
        <v>29</v>
      </c>
      <c r="O43" s="394" t="s">
        <v>29</v>
      </c>
      <c r="P43" s="394" t="s">
        <v>29</v>
      </c>
      <c r="Q43" s="394" t="s">
        <v>29</v>
      </c>
      <c r="R43" s="394" t="s">
        <v>29</v>
      </c>
      <c r="S43" s="394" t="s">
        <v>29</v>
      </c>
      <c r="T43" s="393" t="s">
        <v>29</v>
      </c>
      <c r="U43" s="635" t="s">
        <v>30</v>
      </c>
      <c r="V43" s="635"/>
      <c r="W43" s="635"/>
      <c r="X43" s="60"/>
      <c r="Y43" s="60"/>
      <c r="Z43" s="60"/>
      <c r="AA43" s="60"/>
      <c r="AB43" s="60"/>
      <c r="AC43" s="60"/>
      <c r="AD43" s="393" t="s">
        <v>29</v>
      </c>
      <c r="AE43" s="635" t="s">
        <v>30</v>
      </c>
      <c r="AF43" s="635"/>
      <c r="AG43" s="635"/>
      <c r="AH43" s="60"/>
      <c r="AI43" s="60"/>
      <c r="AJ43" s="60"/>
      <c r="AK43" s="60"/>
      <c r="AL43" s="60"/>
      <c r="AM43" s="60"/>
      <c r="AO43" s="262"/>
    </row>
    <row r="44" spans="1:41">
      <c r="A44" s="631" t="s">
        <v>31</v>
      </c>
      <c r="B44" s="631"/>
      <c r="C44" s="533">
        <v>0.98799999999999999</v>
      </c>
      <c r="D44" s="394" t="s">
        <v>29</v>
      </c>
      <c r="E44" s="394" t="s">
        <v>29</v>
      </c>
      <c r="F44" s="394" t="s">
        <v>29</v>
      </c>
      <c r="G44" s="394" t="s">
        <v>29</v>
      </c>
      <c r="H44" s="394" t="s">
        <v>29</v>
      </c>
      <c r="I44" s="394" t="s">
        <v>29</v>
      </c>
      <c r="J44" s="393" t="s">
        <v>29</v>
      </c>
      <c r="K44" s="631" t="s">
        <v>31</v>
      </c>
      <c r="L44" s="631"/>
      <c r="M44" s="420">
        <v>0.96151205200000001</v>
      </c>
      <c r="N44" s="394" t="s">
        <v>29</v>
      </c>
      <c r="O44" s="394" t="s">
        <v>29</v>
      </c>
      <c r="P44" s="394" t="s">
        <v>29</v>
      </c>
      <c r="Q44" s="394" t="s">
        <v>29</v>
      </c>
      <c r="R44" s="394" t="s">
        <v>29</v>
      </c>
      <c r="S44" s="394" t="s">
        <v>29</v>
      </c>
      <c r="T44" s="393" t="s">
        <v>29</v>
      </c>
      <c r="U44" s="631" t="s">
        <v>31</v>
      </c>
      <c r="V44" s="631"/>
      <c r="W44" s="487">
        <v>0.99801099999999998</v>
      </c>
      <c r="X44" s="60"/>
      <c r="Y44" s="60"/>
      <c r="Z44" s="60"/>
      <c r="AA44" s="60"/>
      <c r="AB44" s="60"/>
      <c r="AC44" s="60"/>
      <c r="AD44" s="393" t="s">
        <v>29</v>
      </c>
      <c r="AE44" s="631" t="s">
        <v>31</v>
      </c>
      <c r="AF44" s="631"/>
      <c r="AG44" s="487">
        <v>0.97722799999999999</v>
      </c>
      <c r="AH44" s="60"/>
      <c r="AI44" s="60"/>
      <c r="AJ44" s="60"/>
      <c r="AK44" s="60"/>
      <c r="AL44" s="60"/>
      <c r="AM44" s="60"/>
      <c r="AO44" s="262"/>
    </row>
    <row r="45" spans="1:41">
      <c r="A45" s="628" t="s">
        <v>32</v>
      </c>
      <c r="B45" s="628"/>
      <c r="C45" s="420">
        <v>0.97619999999999996</v>
      </c>
      <c r="D45" s="394" t="s">
        <v>29</v>
      </c>
      <c r="E45" s="394" t="s">
        <v>29</v>
      </c>
      <c r="F45" s="394" t="s">
        <v>29</v>
      </c>
      <c r="G45" s="394" t="s">
        <v>29</v>
      </c>
      <c r="H45" s="394" t="s">
        <v>29</v>
      </c>
      <c r="I45" s="394" t="s">
        <v>29</v>
      </c>
      <c r="J45" s="393" t="s">
        <v>29</v>
      </c>
      <c r="K45" s="628" t="s">
        <v>32</v>
      </c>
      <c r="L45" s="628"/>
      <c r="M45" s="420">
        <v>0.92450542599999996</v>
      </c>
      <c r="N45" s="394" t="s">
        <v>29</v>
      </c>
      <c r="O45" s="394" t="s">
        <v>29</v>
      </c>
      <c r="P45" s="394" t="s">
        <v>29</v>
      </c>
      <c r="Q45" s="394" t="s">
        <v>29</v>
      </c>
      <c r="R45" s="394" t="s">
        <v>29</v>
      </c>
      <c r="S45" s="394" t="s">
        <v>29</v>
      </c>
      <c r="T45" s="393" t="s">
        <v>29</v>
      </c>
      <c r="U45" s="628" t="s">
        <v>32</v>
      </c>
      <c r="V45" s="628"/>
      <c r="W45" s="487">
        <v>0.99602500000000005</v>
      </c>
      <c r="X45" s="60"/>
      <c r="Y45" s="60"/>
      <c r="Z45" s="60"/>
      <c r="AA45" s="60"/>
      <c r="AB45" s="60"/>
      <c r="AC45" s="60"/>
      <c r="AD45" s="393" t="s">
        <v>29</v>
      </c>
      <c r="AE45" s="628" t="s">
        <v>32</v>
      </c>
      <c r="AF45" s="628"/>
      <c r="AG45" s="487">
        <v>0.95497500000000002</v>
      </c>
      <c r="AH45" s="60"/>
      <c r="AI45" s="60"/>
      <c r="AJ45" s="60"/>
      <c r="AK45" s="60"/>
      <c r="AL45" s="60"/>
      <c r="AM45" s="60"/>
      <c r="AO45" s="262"/>
    </row>
    <row r="46" spans="1:41">
      <c r="A46" s="629" t="s">
        <v>33</v>
      </c>
      <c r="B46" s="628"/>
      <c r="C46" s="420">
        <v>0.95640000000000003</v>
      </c>
      <c r="D46" s="394" t="s">
        <v>29</v>
      </c>
      <c r="E46" s="394" t="s">
        <v>29</v>
      </c>
      <c r="F46" s="394" t="s">
        <v>29</v>
      </c>
      <c r="G46" s="394" t="s">
        <v>29</v>
      </c>
      <c r="H46" s="394" t="s">
        <v>29</v>
      </c>
      <c r="I46" s="394" t="s">
        <v>29</v>
      </c>
      <c r="J46" s="393" t="s">
        <v>29</v>
      </c>
      <c r="K46" s="629" t="s">
        <v>33</v>
      </c>
      <c r="L46" s="628"/>
      <c r="M46" s="420">
        <v>0.86159328199999996</v>
      </c>
      <c r="N46" s="394" t="s">
        <v>29</v>
      </c>
      <c r="O46" s="394" t="s">
        <v>29</v>
      </c>
      <c r="P46" s="394" t="s">
        <v>29</v>
      </c>
      <c r="Q46" s="394" t="s">
        <v>29</v>
      </c>
      <c r="R46" s="394" t="s">
        <v>29</v>
      </c>
      <c r="S46" s="394" t="s">
        <v>29</v>
      </c>
      <c r="T46" s="393" t="s">
        <v>29</v>
      </c>
      <c r="U46" s="629" t="s">
        <v>33</v>
      </c>
      <c r="V46" s="628"/>
      <c r="W46" s="487">
        <v>0.99271299999999996</v>
      </c>
      <c r="X46" s="60"/>
      <c r="Y46" s="60"/>
      <c r="Z46" s="60"/>
      <c r="AA46" s="60"/>
      <c r="AB46" s="60"/>
      <c r="AC46" s="60"/>
      <c r="AD46" s="393" t="s">
        <v>29</v>
      </c>
      <c r="AE46" s="629" t="s">
        <v>33</v>
      </c>
      <c r="AF46" s="628"/>
      <c r="AG46" s="487">
        <v>0.91745500000000002</v>
      </c>
      <c r="AH46" s="60"/>
      <c r="AI46" s="60"/>
      <c r="AJ46" s="60"/>
      <c r="AK46" s="60"/>
      <c r="AL46" s="60"/>
      <c r="AM46" s="60"/>
      <c r="AO46" s="262"/>
    </row>
    <row r="47" spans="1:41">
      <c r="A47" s="628" t="s">
        <v>34</v>
      </c>
      <c r="B47" s="628"/>
      <c r="C47" s="420">
        <v>3.0300000000000001E-2</v>
      </c>
      <c r="D47" s="394" t="s">
        <v>29</v>
      </c>
      <c r="E47" s="394" t="s">
        <v>29</v>
      </c>
      <c r="F47" s="394" t="s">
        <v>29</v>
      </c>
      <c r="G47" s="394" t="s">
        <v>29</v>
      </c>
      <c r="H47" s="394" t="s">
        <v>29</v>
      </c>
      <c r="I47" s="394" t="s">
        <v>29</v>
      </c>
      <c r="J47" s="393" t="s">
        <v>29</v>
      </c>
      <c r="K47" s="628" t="s">
        <v>34</v>
      </c>
      <c r="L47" s="628"/>
      <c r="M47" s="420">
        <v>4.3611826999999999E-2</v>
      </c>
      <c r="N47" s="394" t="s">
        <v>29</v>
      </c>
      <c r="O47" s="394" t="s">
        <v>29</v>
      </c>
      <c r="P47" s="394" t="s">
        <v>29</v>
      </c>
      <c r="Q47" s="394" t="s">
        <v>29</v>
      </c>
      <c r="R47" s="394" t="s">
        <v>29</v>
      </c>
      <c r="S47" s="394" t="s">
        <v>29</v>
      </c>
      <c r="T47" s="393" t="s">
        <v>29</v>
      </c>
      <c r="U47" s="628" t="s">
        <v>34</v>
      </c>
      <c r="V47" s="628"/>
      <c r="W47" s="487">
        <v>1.9293999999999999E-2</v>
      </c>
      <c r="X47" s="60"/>
      <c r="Y47" s="60"/>
      <c r="Z47" s="60"/>
      <c r="AA47" s="60"/>
      <c r="AB47" s="60"/>
      <c r="AC47" s="60"/>
      <c r="AD47" s="393" t="s">
        <v>29</v>
      </c>
      <c r="AE47" s="628" t="s">
        <v>34</v>
      </c>
      <c r="AF47" s="628"/>
      <c r="AG47" s="487">
        <v>4.7190999999999997E-2</v>
      </c>
      <c r="AH47" s="60"/>
      <c r="AI47" s="60"/>
      <c r="AJ47" s="60"/>
      <c r="AK47" s="60"/>
      <c r="AL47" s="60"/>
      <c r="AM47" s="60"/>
      <c r="AO47" s="262"/>
    </row>
    <row r="48" spans="1:41">
      <c r="A48" s="630" t="s">
        <v>35</v>
      </c>
      <c r="B48" s="630"/>
      <c r="C48" s="534">
        <v>12</v>
      </c>
      <c r="D48" s="394" t="s">
        <v>29</v>
      </c>
      <c r="E48" s="394" t="s">
        <v>29</v>
      </c>
      <c r="F48" s="394" t="s">
        <v>29</v>
      </c>
      <c r="G48" s="394" t="s">
        <v>29</v>
      </c>
      <c r="H48" s="394" t="s">
        <v>29</v>
      </c>
      <c r="I48" s="394" t="s">
        <v>29</v>
      </c>
      <c r="J48" s="393" t="s">
        <v>29</v>
      </c>
      <c r="K48" s="630" t="s">
        <v>35</v>
      </c>
      <c r="L48" s="630"/>
      <c r="M48" s="534">
        <v>12</v>
      </c>
      <c r="N48" s="394" t="s">
        <v>29</v>
      </c>
      <c r="O48" s="394" t="s">
        <v>29</v>
      </c>
      <c r="P48" s="394" t="s">
        <v>29</v>
      </c>
      <c r="Q48" s="394" t="s">
        <v>29</v>
      </c>
      <c r="R48" s="394" t="s">
        <v>29</v>
      </c>
      <c r="S48" s="394" t="s">
        <v>29</v>
      </c>
      <c r="T48" s="393" t="s">
        <v>29</v>
      </c>
      <c r="U48" s="630" t="s">
        <v>35</v>
      </c>
      <c r="V48" s="630"/>
      <c r="W48" s="488">
        <v>12</v>
      </c>
      <c r="X48" s="60"/>
      <c r="Y48" s="60"/>
      <c r="Z48" s="60"/>
      <c r="AA48" s="60"/>
      <c r="AB48" s="60"/>
      <c r="AC48" s="60"/>
      <c r="AD48" s="393" t="s">
        <v>29</v>
      </c>
      <c r="AE48" s="630" t="s">
        <v>35</v>
      </c>
      <c r="AF48" s="630"/>
      <c r="AG48" s="488">
        <v>12</v>
      </c>
      <c r="AH48" s="60"/>
      <c r="AI48" s="60"/>
      <c r="AJ48" s="60"/>
      <c r="AK48" s="60"/>
      <c r="AL48" s="60"/>
      <c r="AM48" s="60"/>
      <c r="AO48" s="262"/>
    </row>
    <row r="49" spans="1:41">
      <c r="A49" s="394" t="s">
        <v>29</v>
      </c>
      <c r="B49" s="394" t="s">
        <v>29</v>
      </c>
      <c r="C49" s="394" t="s">
        <v>29</v>
      </c>
      <c r="D49" s="394" t="s">
        <v>29</v>
      </c>
      <c r="E49" s="394" t="s">
        <v>29</v>
      </c>
      <c r="F49" s="394" t="s">
        <v>29</v>
      </c>
      <c r="G49" s="394" t="s">
        <v>29</v>
      </c>
      <c r="H49" s="394" t="s">
        <v>29</v>
      </c>
      <c r="I49" s="394" t="s">
        <v>29</v>
      </c>
      <c r="J49" s="393" t="s">
        <v>29</v>
      </c>
      <c r="K49" s="394" t="s">
        <v>29</v>
      </c>
      <c r="L49" s="394" t="s">
        <v>29</v>
      </c>
      <c r="M49" s="394" t="s">
        <v>29</v>
      </c>
      <c r="N49" s="394" t="s">
        <v>29</v>
      </c>
      <c r="O49" s="394" t="s">
        <v>29</v>
      </c>
      <c r="P49" s="394" t="s">
        <v>29</v>
      </c>
      <c r="Q49" s="394" t="s">
        <v>29</v>
      </c>
      <c r="R49" s="394" t="s">
        <v>29</v>
      </c>
      <c r="S49" s="394" t="s">
        <v>29</v>
      </c>
      <c r="T49" s="393" t="s">
        <v>29</v>
      </c>
      <c r="U49" s="60"/>
      <c r="V49" s="60"/>
      <c r="W49" s="60"/>
      <c r="X49" s="60"/>
      <c r="Y49" s="60"/>
      <c r="Z49" s="60"/>
      <c r="AA49" s="60"/>
      <c r="AB49" s="60"/>
      <c r="AC49" s="60"/>
      <c r="AD49" s="393" t="s">
        <v>29</v>
      </c>
      <c r="AE49" s="60"/>
      <c r="AF49" s="60"/>
      <c r="AG49" s="60"/>
      <c r="AH49" s="60"/>
      <c r="AI49" s="60"/>
      <c r="AJ49" s="60"/>
      <c r="AK49" s="60"/>
      <c r="AL49" s="60"/>
      <c r="AM49" s="60"/>
      <c r="AO49" s="262"/>
    </row>
    <row r="50" spans="1:41">
      <c r="A50" s="394" t="s">
        <v>36</v>
      </c>
      <c r="B50" s="394"/>
      <c r="C50" s="394"/>
      <c r="D50" s="394" t="s">
        <v>29</v>
      </c>
      <c r="E50" s="394" t="s">
        <v>29</v>
      </c>
      <c r="F50" s="394" t="s">
        <v>29</v>
      </c>
      <c r="G50" s="394" t="s">
        <v>29</v>
      </c>
      <c r="H50" s="394" t="s">
        <v>29</v>
      </c>
      <c r="I50" s="394" t="s">
        <v>29</v>
      </c>
      <c r="J50" s="393" t="s">
        <v>29</v>
      </c>
      <c r="K50" s="394" t="s">
        <v>36</v>
      </c>
      <c r="L50" s="394"/>
      <c r="M50" s="394" t="s">
        <v>29</v>
      </c>
      <c r="N50" s="394" t="s">
        <v>29</v>
      </c>
      <c r="O50" s="394" t="s">
        <v>29</v>
      </c>
      <c r="P50" s="394" t="s">
        <v>29</v>
      </c>
      <c r="Q50" s="394" t="s">
        <v>29</v>
      </c>
      <c r="R50" s="394" t="s">
        <v>29</v>
      </c>
      <c r="S50" s="394" t="s">
        <v>29</v>
      </c>
      <c r="T50" s="393" t="s">
        <v>29</v>
      </c>
      <c r="U50" s="60" t="s">
        <v>36</v>
      </c>
      <c r="V50" s="60"/>
      <c r="W50" s="60"/>
      <c r="X50" s="60"/>
      <c r="Y50" s="60"/>
      <c r="Z50" s="60"/>
      <c r="AA50" s="60"/>
      <c r="AB50" s="60"/>
      <c r="AC50" s="60"/>
      <c r="AD50" s="393" t="s">
        <v>29</v>
      </c>
      <c r="AE50" s="60" t="s">
        <v>36</v>
      </c>
      <c r="AF50" s="60"/>
      <c r="AG50" s="60"/>
      <c r="AH50" s="60"/>
      <c r="AI50" s="60"/>
      <c r="AJ50" s="60"/>
      <c r="AK50" s="60"/>
      <c r="AL50" s="60"/>
      <c r="AM50" s="60"/>
      <c r="AO50" s="262"/>
    </row>
    <row r="51" spans="1:41">
      <c r="A51" s="245" t="s">
        <v>29</v>
      </c>
      <c r="B51" s="537" t="s">
        <v>37</v>
      </c>
      <c r="C51" s="537" t="s">
        <v>38</v>
      </c>
      <c r="D51" s="537" t="s">
        <v>39</v>
      </c>
      <c r="E51" s="537" t="s">
        <v>40</v>
      </c>
      <c r="F51" s="537" t="s">
        <v>41</v>
      </c>
      <c r="G51" s="394" t="s">
        <v>29</v>
      </c>
      <c r="H51" s="394" t="s">
        <v>29</v>
      </c>
      <c r="I51" s="394" t="s">
        <v>29</v>
      </c>
      <c r="J51" s="393" t="s">
        <v>29</v>
      </c>
      <c r="K51" s="245" t="s">
        <v>29</v>
      </c>
      <c r="L51" s="537" t="s">
        <v>37</v>
      </c>
      <c r="M51" s="537" t="s">
        <v>38</v>
      </c>
      <c r="N51" s="537" t="s">
        <v>39</v>
      </c>
      <c r="O51" s="537" t="s">
        <v>40</v>
      </c>
      <c r="P51" s="537" t="s">
        <v>41</v>
      </c>
      <c r="Q51" s="394" t="s">
        <v>29</v>
      </c>
      <c r="R51" s="394" t="s">
        <v>29</v>
      </c>
      <c r="S51" s="394" t="s">
        <v>29</v>
      </c>
      <c r="T51" s="393" t="s">
        <v>29</v>
      </c>
      <c r="U51" s="186" t="s">
        <v>29</v>
      </c>
      <c r="V51" s="483" t="s">
        <v>37</v>
      </c>
      <c r="W51" s="483" t="s">
        <v>38</v>
      </c>
      <c r="X51" s="483" t="s">
        <v>39</v>
      </c>
      <c r="Y51" s="483" t="s">
        <v>40</v>
      </c>
      <c r="Z51" s="483" t="s">
        <v>41</v>
      </c>
      <c r="AA51" s="60"/>
      <c r="AB51" s="60"/>
      <c r="AC51" s="60"/>
      <c r="AD51" s="393" t="s">
        <v>29</v>
      </c>
      <c r="AE51" s="186" t="s">
        <v>29</v>
      </c>
      <c r="AF51" s="483" t="s">
        <v>37</v>
      </c>
      <c r="AG51" s="483" t="s">
        <v>38</v>
      </c>
      <c r="AH51" s="483" t="s">
        <v>39</v>
      </c>
      <c r="AI51" s="483" t="s">
        <v>40</v>
      </c>
      <c r="AJ51" s="483" t="s">
        <v>41</v>
      </c>
      <c r="AK51" s="60"/>
      <c r="AL51" s="60"/>
      <c r="AM51" s="60"/>
      <c r="AO51" s="262"/>
    </row>
    <row r="52" spans="1:41">
      <c r="A52" s="394" t="s">
        <v>42</v>
      </c>
      <c r="B52" s="420">
        <v>5</v>
      </c>
      <c r="C52" s="420">
        <v>0.226295839</v>
      </c>
      <c r="D52" s="420">
        <v>4.5259000000000001E-2</v>
      </c>
      <c r="E52" s="420">
        <v>49.278044620000003</v>
      </c>
      <c r="F52" s="538">
        <v>8.5820000000000002E-5</v>
      </c>
      <c r="G52" s="394" t="s">
        <v>29</v>
      </c>
      <c r="H52" s="394" t="s">
        <v>29</v>
      </c>
      <c r="I52" s="394" t="s">
        <v>29</v>
      </c>
      <c r="J52" s="393" t="s">
        <v>29</v>
      </c>
      <c r="K52" s="394" t="s">
        <v>42</v>
      </c>
      <c r="L52" s="420">
        <v>5</v>
      </c>
      <c r="M52" s="420">
        <v>0.13975099999999999</v>
      </c>
      <c r="N52" s="420">
        <v>2.795011E-2</v>
      </c>
      <c r="O52" s="420">
        <v>14.695182000000001</v>
      </c>
      <c r="P52" s="420">
        <v>2.5875270000000001E-3</v>
      </c>
      <c r="Q52" s="394" t="s">
        <v>29</v>
      </c>
      <c r="R52" s="394" t="s">
        <v>29</v>
      </c>
      <c r="S52" s="394" t="s">
        <v>29</v>
      </c>
      <c r="T52" s="393" t="s">
        <v>29</v>
      </c>
      <c r="U52" s="60" t="s">
        <v>42</v>
      </c>
      <c r="V52" s="487">
        <v>5</v>
      </c>
      <c r="W52" s="487">
        <v>0.55974400000000002</v>
      </c>
      <c r="X52" s="487">
        <v>0.11194900000000001</v>
      </c>
      <c r="Y52" s="487">
        <v>300.7174</v>
      </c>
      <c r="Z52" s="555">
        <v>4.0999999999999999E-7</v>
      </c>
      <c r="AA52" s="60"/>
      <c r="AB52" s="60"/>
      <c r="AC52" s="60"/>
      <c r="AD52" s="393" t="s">
        <v>29</v>
      </c>
      <c r="AE52" s="60" t="s">
        <v>42</v>
      </c>
      <c r="AF52" s="487">
        <v>5</v>
      </c>
      <c r="AG52" s="487">
        <v>0.28340799999999999</v>
      </c>
      <c r="AH52" s="487">
        <v>5.6682000000000003E-2</v>
      </c>
      <c r="AI52" s="487">
        <v>25.452000000000002</v>
      </c>
      <c r="AJ52" s="487">
        <v>5.6899999999999995E-4</v>
      </c>
      <c r="AK52" s="60"/>
      <c r="AL52" s="60"/>
      <c r="AM52" s="60"/>
      <c r="AO52" s="262"/>
    </row>
    <row r="53" spans="1:41">
      <c r="A53" s="394" t="s">
        <v>43</v>
      </c>
      <c r="B53" s="420">
        <v>6</v>
      </c>
      <c r="C53" s="420">
        <v>5.5106690000000002E-3</v>
      </c>
      <c r="D53" s="420">
        <v>9.1799999999999998E-4</v>
      </c>
      <c r="E53" s="420" t="s">
        <v>29</v>
      </c>
      <c r="F53" s="420" t="s">
        <v>29</v>
      </c>
      <c r="G53" s="394" t="s">
        <v>29</v>
      </c>
      <c r="H53" s="394" t="s">
        <v>29</v>
      </c>
      <c r="I53" s="394" t="s">
        <v>29</v>
      </c>
      <c r="J53" s="393" t="s">
        <v>29</v>
      </c>
      <c r="K53" s="394" t="s">
        <v>43</v>
      </c>
      <c r="L53" s="420">
        <v>6</v>
      </c>
      <c r="M53" s="420">
        <v>1.1412E-2</v>
      </c>
      <c r="N53" s="420">
        <v>1.901991E-3</v>
      </c>
      <c r="O53" s="420" t="s">
        <v>29</v>
      </c>
      <c r="P53" s="420" t="s">
        <v>29</v>
      </c>
      <c r="Q53" s="394" t="s">
        <v>29</v>
      </c>
      <c r="R53" s="394" t="s">
        <v>29</v>
      </c>
      <c r="S53" s="394" t="s">
        <v>29</v>
      </c>
      <c r="T53" s="393" t="s">
        <v>29</v>
      </c>
      <c r="U53" s="60" t="s">
        <v>43</v>
      </c>
      <c r="V53" s="487">
        <v>6</v>
      </c>
      <c r="W53" s="487">
        <v>2.2339999999999999E-3</v>
      </c>
      <c r="X53" s="487">
        <v>3.7199999999999999E-4</v>
      </c>
      <c r="Y53" s="487"/>
      <c r="Z53" s="487"/>
      <c r="AA53" s="60"/>
      <c r="AB53" s="60"/>
      <c r="AC53" s="60"/>
      <c r="AD53" s="393" t="s">
        <v>29</v>
      </c>
      <c r="AE53" s="60" t="s">
        <v>43</v>
      </c>
      <c r="AF53" s="487">
        <v>6</v>
      </c>
      <c r="AG53" s="487">
        <v>1.3362000000000001E-2</v>
      </c>
      <c r="AH53" s="487">
        <v>2.2269999999999998E-3</v>
      </c>
      <c r="AI53" s="487"/>
      <c r="AJ53" s="487"/>
      <c r="AK53" s="60"/>
      <c r="AL53" s="60"/>
      <c r="AM53" s="60"/>
      <c r="AO53" s="262"/>
    </row>
    <row r="54" spans="1:41">
      <c r="A54" s="395" t="s">
        <v>44</v>
      </c>
      <c r="B54" s="534">
        <v>11</v>
      </c>
      <c r="C54" s="534">
        <v>0.23180650799999999</v>
      </c>
      <c r="D54" s="534" t="s">
        <v>29</v>
      </c>
      <c r="E54" s="534" t="s">
        <v>29</v>
      </c>
      <c r="F54" s="534" t="s">
        <v>29</v>
      </c>
      <c r="G54" s="394" t="s">
        <v>29</v>
      </c>
      <c r="H54" s="394" t="s">
        <v>29</v>
      </c>
      <c r="I54" s="394" t="s">
        <v>29</v>
      </c>
      <c r="J54" s="393" t="s">
        <v>29</v>
      </c>
      <c r="K54" s="395" t="s">
        <v>44</v>
      </c>
      <c r="L54" s="534">
        <v>11</v>
      </c>
      <c r="M54" s="534">
        <v>0.15116299999999999</v>
      </c>
      <c r="N54" s="534" t="s">
        <v>29</v>
      </c>
      <c r="O54" s="534" t="s">
        <v>29</v>
      </c>
      <c r="P54" s="534" t="s">
        <v>29</v>
      </c>
      <c r="Q54" s="394" t="s">
        <v>29</v>
      </c>
      <c r="R54" s="394" t="s">
        <v>29</v>
      </c>
      <c r="S54" s="394" t="s">
        <v>29</v>
      </c>
      <c r="T54" s="393" t="s">
        <v>29</v>
      </c>
      <c r="U54" s="396" t="s">
        <v>44</v>
      </c>
      <c r="V54" s="488">
        <v>11</v>
      </c>
      <c r="W54" s="488">
        <v>0.56197799999999998</v>
      </c>
      <c r="X54" s="488" t="s">
        <v>29</v>
      </c>
      <c r="Y54" s="488" t="s">
        <v>29</v>
      </c>
      <c r="Z54" s="488" t="s">
        <v>29</v>
      </c>
      <c r="AA54" s="60"/>
      <c r="AB54" s="60"/>
      <c r="AC54" s="60"/>
      <c r="AD54" s="393" t="s">
        <v>29</v>
      </c>
      <c r="AE54" s="396" t="s">
        <v>44</v>
      </c>
      <c r="AF54" s="488">
        <v>11</v>
      </c>
      <c r="AG54" s="488">
        <v>0.29676999999999998</v>
      </c>
      <c r="AH54" s="488" t="s">
        <v>29</v>
      </c>
      <c r="AI54" s="488" t="s">
        <v>29</v>
      </c>
      <c r="AJ54" s="488" t="s">
        <v>29</v>
      </c>
      <c r="AK54" s="60"/>
      <c r="AL54" s="60"/>
      <c r="AM54" s="60"/>
      <c r="AO54" s="262"/>
    </row>
    <row r="55" spans="1:41">
      <c r="A55" s="394" t="s">
        <v>29</v>
      </c>
      <c r="B55" s="394" t="s">
        <v>29</v>
      </c>
      <c r="C55" s="394" t="s">
        <v>29</v>
      </c>
      <c r="D55" s="394" t="s">
        <v>29</v>
      </c>
      <c r="E55" s="394" t="s">
        <v>29</v>
      </c>
      <c r="F55" s="394" t="s">
        <v>29</v>
      </c>
      <c r="G55" s="394" t="s">
        <v>29</v>
      </c>
      <c r="H55" s="394" t="s">
        <v>29</v>
      </c>
      <c r="I55" s="394" t="s">
        <v>29</v>
      </c>
      <c r="J55" s="393" t="s">
        <v>29</v>
      </c>
      <c r="K55" s="394" t="s">
        <v>29</v>
      </c>
      <c r="L55" s="394" t="s">
        <v>29</v>
      </c>
      <c r="M55" s="394" t="s">
        <v>29</v>
      </c>
      <c r="N55" s="394" t="s">
        <v>29</v>
      </c>
      <c r="O55" s="394" t="s">
        <v>29</v>
      </c>
      <c r="P55" s="394" t="s">
        <v>29</v>
      </c>
      <c r="Q55" s="394" t="s">
        <v>29</v>
      </c>
      <c r="R55" s="394" t="s">
        <v>29</v>
      </c>
      <c r="S55" s="394" t="s">
        <v>29</v>
      </c>
      <c r="T55" s="393" t="s">
        <v>29</v>
      </c>
      <c r="U55" s="60"/>
      <c r="V55" s="60"/>
      <c r="W55" s="60"/>
      <c r="X55" s="60"/>
      <c r="Y55" s="60"/>
      <c r="Z55" s="60"/>
      <c r="AA55" s="60"/>
      <c r="AB55" s="60"/>
      <c r="AC55" s="60"/>
      <c r="AD55" s="393" t="s">
        <v>29</v>
      </c>
      <c r="AE55" s="60"/>
      <c r="AF55" s="60"/>
      <c r="AG55" s="60"/>
      <c r="AH55" s="60"/>
      <c r="AI55" s="60"/>
      <c r="AJ55" s="60"/>
      <c r="AK55" s="60"/>
      <c r="AL55" s="60"/>
      <c r="AM55" s="60"/>
      <c r="AO55" s="262"/>
    </row>
    <row r="56" spans="1:41">
      <c r="A56" s="245" t="s">
        <v>29</v>
      </c>
      <c r="B56" s="540" t="s">
        <v>45</v>
      </c>
      <c r="C56" s="540" t="s">
        <v>34</v>
      </c>
      <c r="D56" s="537" t="s">
        <v>46</v>
      </c>
      <c r="E56" s="537" t="s">
        <v>47</v>
      </c>
      <c r="F56" s="537" t="s">
        <v>48</v>
      </c>
      <c r="G56" s="537" t="s">
        <v>49</v>
      </c>
      <c r="H56" s="537" t="s">
        <v>50</v>
      </c>
      <c r="I56" s="537" t="s">
        <v>51</v>
      </c>
      <c r="J56" s="393" t="s">
        <v>29</v>
      </c>
      <c r="K56" s="245" t="s">
        <v>29</v>
      </c>
      <c r="L56" s="540" t="s">
        <v>45</v>
      </c>
      <c r="M56" s="540" t="s">
        <v>34</v>
      </c>
      <c r="N56" s="537" t="s">
        <v>46</v>
      </c>
      <c r="O56" s="537" t="s">
        <v>47</v>
      </c>
      <c r="P56" s="537" t="s">
        <v>48</v>
      </c>
      <c r="Q56" s="537" t="s">
        <v>49</v>
      </c>
      <c r="R56" s="537" t="s">
        <v>50</v>
      </c>
      <c r="S56" s="537" t="s">
        <v>51</v>
      </c>
      <c r="T56" s="393" t="s">
        <v>29</v>
      </c>
      <c r="U56" s="186" t="s">
        <v>29</v>
      </c>
      <c r="V56" s="490" t="s">
        <v>45</v>
      </c>
      <c r="W56" s="490" t="s">
        <v>34</v>
      </c>
      <c r="X56" s="484" t="s">
        <v>46</v>
      </c>
      <c r="Y56" s="484" t="s">
        <v>47</v>
      </c>
      <c r="Z56" s="484" t="s">
        <v>48</v>
      </c>
      <c r="AA56" s="484" t="s">
        <v>49</v>
      </c>
      <c r="AB56" s="484" t="s">
        <v>50</v>
      </c>
      <c r="AC56" s="490" t="s">
        <v>51</v>
      </c>
      <c r="AD56" s="393" t="s">
        <v>29</v>
      </c>
      <c r="AE56" s="186" t="s">
        <v>29</v>
      </c>
      <c r="AF56" s="490" t="s">
        <v>45</v>
      </c>
      <c r="AG56" s="490" t="s">
        <v>34</v>
      </c>
      <c r="AH56" s="484" t="s">
        <v>46</v>
      </c>
      <c r="AI56" s="484" t="s">
        <v>47</v>
      </c>
      <c r="AJ56" s="484" t="s">
        <v>48</v>
      </c>
      <c r="AK56" s="484" t="s">
        <v>49</v>
      </c>
      <c r="AL56" s="484" t="s">
        <v>50</v>
      </c>
      <c r="AM56" s="490" t="s">
        <v>51</v>
      </c>
      <c r="AO56" s="262"/>
    </row>
    <row r="57" spans="1:41">
      <c r="A57" s="394" t="s">
        <v>52</v>
      </c>
      <c r="B57" s="420">
        <v>-13.32</v>
      </c>
      <c r="C57" s="420">
        <v>9.2498996309999999</v>
      </c>
      <c r="D57" s="420">
        <v>-1.4403490000000001</v>
      </c>
      <c r="E57" s="420">
        <v>0.199839452</v>
      </c>
      <c r="F57" s="420">
        <v>-35.956768599999997</v>
      </c>
      <c r="G57" s="420">
        <v>9.3106094549999998</v>
      </c>
      <c r="H57" s="420">
        <v>-35.956768599999997</v>
      </c>
      <c r="I57" s="420">
        <v>9.3106094549999998</v>
      </c>
      <c r="J57" s="393" t="s">
        <v>29</v>
      </c>
      <c r="K57" s="394" t="s">
        <v>52</v>
      </c>
      <c r="L57" s="420">
        <v>-25.070293800000002</v>
      </c>
      <c r="M57" s="420">
        <v>14.88594</v>
      </c>
      <c r="N57" s="420">
        <v>-1.684159116</v>
      </c>
      <c r="O57" s="420">
        <v>0.14313480000000001</v>
      </c>
      <c r="P57" s="420">
        <v>-61.494880000000002</v>
      </c>
      <c r="Q57" s="420">
        <v>11.354292450000001</v>
      </c>
      <c r="R57" s="420">
        <v>-61.494999999999997</v>
      </c>
      <c r="S57" s="420">
        <v>11.3543</v>
      </c>
      <c r="T57" s="393" t="s">
        <v>29</v>
      </c>
      <c r="U57" s="60" t="s">
        <v>52</v>
      </c>
      <c r="V57" s="485">
        <v>-19.773499999999999</v>
      </c>
      <c r="W57" s="485">
        <v>6.9417359999999997</v>
      </c>
      <c r="X57" s="485">
        <v>-2.84849</v>
      </c>
      <c r="Y57" s="485">
        <v>2.9239000000000001E-2</v>
      </c>
      <c r="Z57" s="485">
        <v>-36.759300000000003</v>
      </c>
      <c r="AA57" s="485">
        <v>-2.7876500000000002</v>
      </c>
      <c r="AB57" s="485">
        <v>-36.759300000000003</v>
      </c>
      <c r="AC57" s="485">
        <v>-2.7876500000000002</v>
      </c>
      <c r="AD57" s="393" t="s">
        <v>29</v>
      </c>
      <c r="AE57" s="60" t="s">
        <v>52</v>
      </c>
      <c r="AF57" s="485">
        <v>-188.55799999999999</v>
      </c>
      <c r="AG57" s="485">
        <v>69.826650000000001</v>
      </c>
      <c r="AH57" s="485">
        <v>-2.7003699999999999</v>
      </c>
      <c r="AI57" s="485">
        <v>3.5559E-2</v>
      </c>
      <c r="AJ57" s="485">
        <v>-359.41699999999997</v>
      </c>
      <c r="AK57" s="485">
        <v>-17.6981</v>
      </c>
      <c r="AL57" s="485">
        <v>-359.41699999999997</v>
      </c>
      <c r="AM57" s="485">
        <v>-17.6981</v>
      </c>
      <c r="AO57" s="262"/>
    </row>
    <row r="58" spans="1:41">
      <c r="A58" s="394" t="s">
        <v>3</v>
      </c>
      <c r="B58" s="420">
        <v>1.8200000000000001E-2</v>
      </c>
      <c r="C58" s="420">
        <v>5.0933399999999997E-2</v>
      </c>
      <c r="D58" s="420">
        <v>0.35729899999999998</v>
      </c>
      <c r="E58" s="539">
        <v>0.73309959899999999</v>
      </c>
      <c r="F58" s="420">
        <v>-0.1064311</v>
      </c>
      <c r="G58" s="420">
        <v>0.142827976</v>
      </c>
      <c r="H58" s="420">
        <v>-0.106431102</v>
      </c>
      <c r="I58" s="420">
        <v>0.142827976</v>
      </c>
      <c r="J58" s="393" t="s">
        <v>29</v>
      </c>
      <c r="K58" s="394" t="s">
        <v>3</v>
      </c>
      <c r="L58" s="420">
        <v>-5.6351989999999998E-2</v>
      </c>
      <c r="M58" s="420">
        <v>0.117994</v>
      </c>
      <c r="N58" s="420">
        <v>-0.47758340999999999</v>
      </c>
      <c r="O58" s="420">
        <v>0.64984699999999995</v>
      </c>
      <c r="P58" s="420">
        <v>-0.34507297100000001</v>
      </c>
      <c r="Q58" s="420">
        <v>0.232368992</v>
      </c>
      <c r="R58" s="420">
        <v>-0.34510000000000002</v>
      </c>
      <c r="S58" s="420">
        <v>0.23236999999999999</v>
      </c>
      <c r="T58" s="393" t="s">
        <v>29</v>
      </c>
      <c r="U58" s="60" t="s">
        <v>3</v>
      </c>
      <c r="V58" s="485">
        <v>0.111752</v>
      </c>
      <c r="W58" s="485">
        <v>4.1034000000000001E-2</v>
      </c>
      <c r="X58" s="485">
        <v>2.723395</v>
      </c>
      <c r="Y58" s="485">
        <v>3.4486999999999997E-2</v>
      </c>
      <c r="Z58" s="485">
        <v>1.1344999999999999E-2</v>
      </c>
      <c r="AA58" s="485">
        <v>0.21215800000000001</v>
      </c>
      <c r="AB58" s="485">
        <v>1.1344999999999999E-2</v>
      </c>
      <c r="AC58" s="485">
        <v>0.21215800000000001</v>
      </c>
      <c r="AD58" s="393" t="s">
        <v>29</v>
      </c>
      <c r="AE58" s="60" t="s">
        <v>3</v>
      </c>
      <c r="AF58" s="485">
        <v>-2.4080000000000001E-2</v>
      </c>
      <c r="AG58" s="485">
        <v>8.5175000000000001E-2</v>
      </c>
      <c r="AH58" s="485">
        <v>-0.28272000000000003</v>
      </c>
      <c r="AI58" s="485">
        <v>0.78689399999999998</v>
      </c>
      <c r="AJ58" s="485">
        <v>-0.23250000000000001</v>
      </c>
      <c r="AK58" s="485">
        <v>0.184336</v>
      </c>
      <c r="AL58" s="485">
        <v>-0.23250000000000001</v>
      </c>
      <c r="AM58" s="485">
        <v>0.184336</v>
      </c>
      <c r="AO58" s="262"/>
    </row>
    <row r="59" spans="1:41">
      <c r="A59" s="394" t="s">
        <v>13</v>
      </c>
      <c r="B59" s="420">
        <v>1.0373000000000001</v>
      </c>
      <c r="C59" s="420">
        <v>0.22239903599999999</v>
      </c>
      <c r="D59" s="420">
        <v>4.6643030000000003</v>
      </c>
      <c r="E59" s="420">
        <v>3.4518470000000001E-3</v>
      </c>
      <c r="F59" s="420">
        <v>0.49314557999999997</v>
      </c>
      <c r="G59" s="420">
        <v>1.5815272549999999</v>
      </c>
      <c r="H59" s="420">
        <v>0.493145581</v>
      </c>
      <c r="I59" s="420">
        <v>1.5815272549999999</v>
      </c>
      <c r="J59" s="393" t="s">
        <v>29</v>
      </c>
      <c r="K59" s="394" t="s">
        <v>13</v>
      </c>
      <c r="L59" s="420">
        <v>0.235632534</v>
      </c>
      <c r="M59" s="420">
        <v>0.51027400000000001</v>
      </c>
      <c r="N59" s="420">
        <v>0.46177621000000002</v>
      </c>
      <c r="O59" s="539">
        <v>0.66051040000000005</v>
      </c>
      <c r="P59" s="420">
        <v>-1.012963708</v>
      </c>
      <c r="Q59" s="420">
        <v>1.4842287759999999</v>
      </c>
      <c r="R59" s="420">
        <v>-1.0129999999999999</v>
      </c>
      <c r="S59" s="420">
        <v>1.4842299999999999</v>
      </c>
      <c r="T59" s="393" t="s">
        <v>29</v>
      </c>
      <c r="U59" s="60" t="s">
        <v>13</v>
      </c>
      <c r="V59" s="485">
        <v>0.91672799999999999</v>
      </c>
      <c r="W59" s="485">
        <v>0.16092600000000001</v>
      </c>
      <c r="X59" s="485">
        <v>5.6965750000000002</v>
      </c>
      <c r="Y59" s="485">
        <v>1.2639999999999999E-3</v>
      </c>
      <c r="Z59" s="485">
        <v>0.52295599999999998</v>
      </c>
      <c r="AA59" s="485">
        <v>1.3105</v>
      </c>
      <c r="AB59" s="485">
        <v>0.52295599999999998</v>
      </c>
      <c r="AC59" s="485">
        <v>1.3105</v>
      </c>
      <c r="AD59" s="393" t="s">
        <v>29</v>
      </c>
      <c r="AE59" s="60" t="s">
        <v>13</v>
      </c>
      <c r="AF59" s="485">
        <v>3.7820779999999998</v>
      </c>
      <c r="AG59" s="485">
        <v>1.2393050000000001</v>
      </c>
      <c r="AH59" s="485">
        <v>3.0517729999999998</v>
      </c>
      <c r="AI59" s="485">
        <v>2.2460999999999998E-2</v>
      </c>
      <c r="AJ59" s="485">
        <v>0.74960700000000002</v>
      </c>
      <c r="AK59" s="485">
        <v>6.8145480000000003</v>
      </c>
      <c r="AL59" s="485">
        <v>0.74960700000000002</v>
      </c>
      <c r="AM59" s="485">
        <v>6.8145480000000003</v>
      </c>
      <c r="AO59" s="262"/>
    </row>
    <row r="60" spans="1:41">
      <c r="A60" s="394" t="s">
        <v>5</v>
      </c>
      <c r="B60" s="420">
        <v>2.1749000000000001</v>
      </c>
      <c r="C60" s="420">
        <v>1.4390153379999999</v>
      </c>
      <c r="D60" s="420">
        <v>1.5113810000000001</v>
      </c>
      <c r="E60" s="420">
        <v>0.18144336799999999</v>
      </c>
      <c r="F60" s="420">
        <v>-1.3462426999999999</v>
      </c>
      <c r="G60" s="420">
        <v>5.6960446649999996</v>
      </c>
      <c r="H60" s="420">
        <v>-1.346242704</v>
      </c>
      <c r="I60" s="420">
        <v>5.6960446649999996</v>
      </c>
      <c r="J60" s="393" t="s">
        <v>29</v>
      </c>
      <c r="K60" s="394" t="s">
        <v>5</v>
      </c>
      <c r="L60" s="420">
        <v>2.7515222819999998</v>
      </c>
      <c r="M60" s="420">
        <v>2.2683339999999999</v>
      </c>
      <c r="N60" s="420">
        <v>1.2130145059999999</v>
      </c>
      <c r="O60" s="420">
        <v>0.27070929999999999</v>
      </c>
      <c r="P60" s="420">
        <v>-2.7988915400000001</v>
      </c>
      <c r="Q60" s="420">
        <v>8.3019361049999993</v>
      </c>
      <c r="R60" s="420">
        <v>-2.7989000000000002</v>
      </c>
      <c r="S60" s="420">
        <v>8.3019400000000001</v>
      </c>
      <c r="T60" s="393" t="s">
        <v>29</v>
      </c>
      <c r="U60" s="60" t="s">
        <v>5</v>
      </c>
      <c r="V60" s="485">
        <v>1.587259</v>
      </c>
      <c r="W60" s="485">
        <v>1.198877</v>
      </c>
      <c r="X60" s="485">
        <v>1.323955</v>
      </c>
      <c r="Y60" s="485">
        <v>0.23372000000000001</v>
      </c>
      <c r="Z60" s="485">
        <v>-1.34629</v>
      </c>
      <c r="AA60" s="485">
        <v>4.5208050000000002</v>
      </c>
      <c r="AB60" s="485">
        <v>-1.34629</v>
      </c>
      <c r="AC60" s="485">
        <v>4.5208050000000002</v>
      </c>
      <c r="AD60" s="393" t="s">
        <v>29</v>
      </c>
      <c r="AE60" s="60" t="s">
        <v>5</v>
      </c>
      <c r="AF60" s="485">
        <v>20.92268</v>
      </c>
      <c r="AG60" s="485">
        <v>8.3507829999999998</v>
      </c>
      <c r="AH60" s="485">
        <v>2.5054759999999998</v>
      </c>
      <c r="AI60" s="485">
        <v>4.6184999999999997E-2</v>
      </c>
      <c r="AJ60" s="485">
        <v>0.48905300000000002</v>
      </c>
      <c r="AK60" s="485">
        <v>41.356319999999997</v>
      </c>
      <c r="AL60" s="485">
        <v>0.48905300000000002</v>
      </c>
      <c r="AM60" s="485">
        <v>41.356319999999997</v>
      </c>
      <c r="AO60" s="262"/>
    </row>
    <row r="61" spans="1:41">
      <c r="A61" s="394" t="s">
        <v>6</v>
      </c>
      <c r="B61" s="420">
        <v>-0.45200000000000001</v>
      </c>
      <c r="C61" s="420">
        <v>0.75579893499999995</v>
      </c>
      <c r="D61" s="420">
        <v>-0.59787400000000002</v>
      </c>
      <c r="E61" s="420">
        <v>0.57178430599999996</v>
      </c>
      <c r="F61" s="420">
        <v>-2.3012459500000002</v>
      </c>
      <c r="G61" s="420">
        <v>1.39750079</v>
      </c>
      <c r="H61" s="420">
        <v>-2.301245953</v>
      </c>
      <c r="I61" s="420">
        <v>1.39750079</v>
      </c>
      <c r="J61" s="393" t="s">
        <v>29</v>
      </c>
      <c r="K61" s="394" t="s">
        <v>53</v>
      </c>
      <c r="L61" s="420">
        <v>2.5280579699999999</v>
      </c>
      <c r="M61" s="420">
        <v>1.3231550000000001</v>
      </c>
      <c r="N61" s="420">
        <v>1.910629208</v>
      </c>
      <c r="O61" s="420">
        <v>0.1046166</v>
      </c>
      <c r="P61" s="420">
        <v>-0.709584887</v>
      </c>
      <c r="Q61" s="420">
        <v>5.7657008279999999</v>
      </c>
      <c r="R61" s="420">
        <v>-0.70960000000000001</v>
      </c>
      <c r="S61" s="420">
        <v>5.7656999999999998</v>
      </c>
      <c r="T61" s="393" t="s">
        <v>29</v>
      </c>
      <c r="U61" s="60" t="s">
        <v>53</v>
      </c>
      <c r="V61" s="485">
        <v>1.66378</v>
      </c>
      <c r="W61" s="485">
        <v>0.407163</v>
      </c>
      <c r="X61" s="485">
        <v>4.0862749999999997</v>
      </c>
      <c r="Y61" s="485">
        <v>6.4559999999999999E-3</v>
      </c>
      <c r="Z61" s="485">
        <v>0.66748799999999997</v>
      </c>
      <c r="AA61" s="485">
        <v>2.660072</v>
      </c>
      <c r="AB61" s="485">
        <v>0.66748799999999997</v>
      </c>
      <c r="AC61" s="485">
        <v>2.660072</v>
      </c>
      <c r="AD61" s="393" t="s">
        <v>29</v>
      </c>
      <c r="AE61" s="60" t="s">
        <v>53</v>
      </c>
      <c r="AF61" s="485">
        <v>0.43632799999999999</v>
      </c>
      <c r="AG61" s="485">
        <v>1.643659</v>
      </c>
      <c r="AH61" s="485">
        <v>0.26546199999999998</v>
      </c>
      <c r="AI61" s="557">
        <v>0.799539</v>
      </c>
      <c r="AJ61" s="485">
        <v>-3.5855600000000001</v>
      </c>
      <c r="AK61" s="485">
        <v>4.4582160000000002</v>
      </c>
      <c r="AL61" s="485">
        <v>-3.5855600000000001</v>
      </c>
      <c r="AM61" s="485">
        <v>4.4582160000000002</v>
      </c>
      <c r="AO61" s="262"/>
    </row>
    <row r="62" spans="1:41">
      <c r="A62" s="395" t="s">
        <v>7</v>
      </c>
      <c r="B62" s="534">
        <v>-0.23200000000000001</v>
      </c>
      <c r="C62" s="534">
        <v>0.29700864399999999</v>
      </c>
      <c r="D62" s="534">
        <v>-0.78144899999999995</v>
      </c>
      <c r="E62" s="534">
        <v>0.46424776899999998</v>
      </c>
      <c r="F62" s="534">
        <v>-0.95885098999999996</v>
      </c>
      <c r="G62" s="534">
        <v>0.49465694999999998</v>
      </c>
      <c r="H62" s="534">
        <v>-0.95885099200000001</v>
      </c>
      <c r="I62" s="534">
        <v>0.49465694999999998</v>
      </c>
      <c r="J62" s="393" t="s">
        <v>29</v>
      </c>
      <c r="K62" s="395" t="s">
        <v>7</v>
      </c>
      <c r="L62" s="534">
        <v>-0.21977336</v>
      </c>
      <c r="M62" s="534">
        <v>0.35723899999999997</v>
      </c>
      <c r="N62" s="534">
        <v>-0.61519999800000003</v>
      </c>
      <c r="O62" s="534">
        <v>0.56101559999999995</v>
      </c>
      <c r="P62" s="534">
        <v>-1.0939054319999999</v>
      </c>
      <c r="Q62" s="534">
        <v>0.65435870500000004</v>
      </c>
      <c r="R62" s="534">
        <v>-1.0939000000000001</v>
      </c>
      <c r="S62" s="534">
        <v>0.65436000000000005</v>
      </c>
      <c r="T62" s="393" t="s">
        <v>29</v>
      </c>
      <c r="U62" s="396" t="s">
        <v>7</v>
      </c>
      <c r="V62" s="486">
        <v>1.1730000000000001E-2</v>
      </c>
      <c r="W62" s="486">
        <v>0.11619699999999999</v>
      </c>
      <c r="X62" s="486">
        <v>0.100952</v>
      </c>
      <c r="Y62" s="556">
        <v>0.92287799999999998</v>
      </c>
      <c r="Z62" s="486">
        <v>-0.27259</v>
      </c>
      <c r="AA62" s="486">
        <v>0.29605300000000001</v>
      </c>
      <c r="AB62" s="486">
        <v>-0.27259</v>
      </c>
      <c r="AC62" s="486">
        <v>0.29605300000000001</v>
      </c>
      <c r="AD62" s="393" t="s">
        <v>29</v>
      </c>
      <c r="AE62" s="396" t="s">
        <v>7</v>
      </c>
      <c r="AF62" s="486">
        <v>0.118953</v>
      </c>
      <c r="AG62" s="486">
        <v>0.26027</v>
      </c>
      <c r="AH62" s="486">
        <v>0.45703700000000003</v>
      </c>
      <c r="AI62" s="486">
        <v>0.66372399999999998</v>
      </c>
      <c r="AJ62" s="486">
        <v>-0.51790000000000003</v>
      </c>
      <c r="AK62" s="486">
        <v>0.75581100000000001</v>
      </c>
      <c r="AL62" s="486">
        <v>-0.51790000000000003</v>
      </c>
      <c r="AM62" s="486">
        <v>0.75581100000000001</v>
      </c>
      <c r="AO62" s="262"/>
    </row>
    <row r="63" spans="1:41">
      <c r="A63" s="394" t="s">
        <v>29</v>
      </c>
      <c r="B63" s="394" t="s">
        <v>29</v>
      </c>
      <c r="C63" s="394" t="s">
        <v>29</v>
      </c>
      <c r="D63" s="394" t="s">
        <v>29</v>
      </c>
      <c r="E63" s="394" t="s">
        <v>29</v>
      </c>
      <c r="F63" s="394" t="s">
        <v>29</v>
      </c>
      <c r="G63" s="394" t="s">
        <v>29</v>
      </c>
      <c r="H63" s="394" t="s">
        <v>29</v>
      </c>
      <c r="I63" s="394" t="s">
        <v>29</v>
      </c>
      <c r="J63" s="262"/>
      <c r="K63" s="394" t="s">
        <v>29</v>
      </c>
      <c r="L63" s="394" t="s">
        <v>29</v>
      </c>
      <c r="M63" s="394" t="s">
        <v>29</v>
      </c>
      <c r="N63" s="394" t="s">
        <v>29</v>
      </c>
      <c r="O63" s="394" t="s">
        <v>29</v>
      </c>
      <c r="P63" s="394" t="s">
        <v>29</v>
      </c>
      <c r="Q63" s="394" t="s">
        <v>29</v>
      </c>
      <c r="R63" s="394" t="s">
        <v>29</v>
      </c>
      <c r="S63" s="394" t="s">
        <v>29</v>
      </c>
      <c r="T63" s="262"/>
      <c r="U63" s="60"/>
      <c r="V63" s="60"/>
      <c r="W63" s="60"/>
      <c r="X63" s="60"/>
      <c r="Y63" s="60"/>
      <c r="Z63" s="60"/>
      <c r="AA63" s="60"/>
      <c r="AB63" s="60"/>
      <c r="AC63" s="60"/>
      <c r="AD63" s="262"/>
      <c r="AE63" s="60"/>
      <c r="AF63" s="60"/>
      <c r="AG63" s="60"/>
      <c r="AH63" s="60"/>
      <c r="AI63" s="60"/>
      <c r="AJ63" s="60"/>
      <c r="AK63" s="60"/>
      <c r="AL63" s="60"/>
      <c r="AM63" s="60"/>
      <c r="AO63" s="262"/>
    </row>
    <row r="64" spans="1:41">
      <c r="A64" s="639" t="s">
        <v>54</v>
      </c>
      <c r="B64" s="639"/>
      <c r="C64" s="639"/>
      <c r="D64" s="639"/>
      <c r="E64" s="639"/>
      <c r="F64" s="639"/>
      <c r="G64" s="639"/>
      <c r="H64" s="639"/>
      <c r="I64" s="639"/>
      <c r="J64" s="262"/>
      <c r="K64" s="639" t="s">
        <v>55</v>
      </c>
      <c r="L64" s="639"/>
      <c r="M64" s="639"/>
      <c r="N64" s="639"/>
      <c r="O64" s="639"/>
      <c r="P64" s="639"/>
      <c r="Q64" s="639"/>
      <c r="R64" s="639"/>
      <c r="S64" s="639"/>
      <c r="T64" s="262"/>
      <c r="U64" s="639" t="s">
        <v>56</v>
      </c>
      <c r="V64" s="639"/>
      <c r="W64" s="639"/>
      <c r="X64" s="639"/>
      <c r="Y64" s="639"/>
      <c r="Z64" s="639"/>
      <c r="AA64" s="639"/>
      <c r="AB64" s="639"/>
      <c r="AC64" s="639"/>
      <c r="AD64" s="262"/>
      <c r="AE64" s="639" t="s">
        <v>57</v>
      </c>
      <c r="AF64" s="639"/>
      <c r="AG64" s="639"/>
      <c r="AH64" s="639"/>
      <c r="AI64" s="639"/>
      <c r="AJ64" s="639"/>
      <c r="AK64" s="639"/>
      <c r="AL64" s="639"/>
      <c r="AM64" s="639"/>
      <c r="AO64" s="262"/>
    </row>
    <row r="65" spans="1:41">
      <c r="A65" s="394" t="s">
        <v>29</v>
      </c>
      <c r="B65" s="394" t="s">
        <v>29</v>
      </c>
      <c r="C65" s="394" t="s">
        <v>29</v>
      </c>
      <c r="D65" s="394" t="s">
        <v>29</v>
      </c>
      <c r="E65" s="394" t="s">
        <v>29</v>
      </c>
      <c r="F65" s="394" t="s">
        <v>29</v>
      </c>
      <c r="G65" s="394" t="s">
        <v>29</v>
      </c>
      <c r="H65" s="394" t="s">
        <v>29</v>
      </c>
      <c r="I65" s="394" t="s">
        <v>29</v>
      </c>
      <c r="J65" s="262"/>
      <c r="K65" s="394" t="s">
        <v>29</v>
      </c>
      <c r="L65" s="394" t="s">
        <v>29</v>
      </c>
      <c r="M65" s="394" t="s">
        <v>29</v>
      </c>
      <c r="N65" s="394" t="s">
        <v>29</v>
      </c>
      <c r="O65" s="394" t="s">
        <v>29</v>
      </c>
      <c r="P65" s="394" t="s">
        <v>29</v>
      </c>
      <c r="Q65" s="394" t="s">
        <v>29</v>
      </c>
      <c r="R65" s="394" t="s">
        <v>29</v>
      </c>
      <c r="S65" s="394" t="s">
        <v>29</v>
      </c>
      <c r="T65" s="262"/>
      <c r="U65" s="60"/>
      <c r="V65" s="60"/>
      <c r="W65" s="60"/>
      <c r="X65" s="60"/>
      <c r="Y65" s="60"/>
      <c r="Z65" s="60"/>
      <c r="AA65" s="60"/>
      <c r="AB65" s="60"/>
      <c r="AC65" s="60"/>
      <c r="AD65" s="262"/>
      <c r="AE65" s="60"/>
      <c r="AF65" s="60"/>
      <c r="AG65" s="60"/>
      <c r="AH65" s="60"/>
      <c r="AI65" s="60"/>
      <c r="AJ65" s="60"/>
      <c r="AK65" s="60"/>
      <c r="AL65" s="60"/>
      <c r="AM65" s="60"/>
      <c r="AO65" s="262"/>
    </row>
    <row r="66" spans="1:41">
      <c r="A66" s="394" t="s">
        <v>28</v>
      </c>
      <c r="B66" s="394"/>
      <c r="C66" s="394"/>
      <c r="D66" s="394" t="s">
        <v>29</v>
      </c>
      <c r="E66" s="394" t="s">
        <v>29</v>
      </c>
      <c r="F66" s="394" t="s">
        <v>29</v>
      </c>
      <c r="G66" s="394" t="s">
        <v>29</v>
      </c>
      <c r="H66" s="394" t="s">
        <v>29</v>
      </c>
      <c r="I66" s="394" t="s">
        <v>29</v>
      </c>
      <c r="J66" s="262"/>
      <c r="K66" s="394" t="s">
        <v>28</v>
      </c>
      <c r="L66" s="394"/>
      <c r="M66" s="394"/>
      <c r="N66" s="394" t="s">
        <v>29</v>
      </c>
      <c r="O66" s="394" t="s">
        <v>29</v>
      </c>
      <c r="P66" s="394" t="s">
        <v>29</v>
      </c>
      <c r="Q66" s="394" t="s">
        <v>29</v>
      </c>
      <c r="R66" s="394" t="s">
        <v>29</v>
      </c>
      <c r="S66" s="394" t="s">
        <v>29</v>
      </c>
      <c r="T66" s="262"/>
      <c r="U66" s="60" t="s">
        <v>28</v>
      </c>
      <c r="V66" s="60"/>
      <c r="W66" s="60"/>
      <c r="X66" s="60"/>
      <c r="Y66" s="60"/>
      <c r="Z66" s="60"/>
      <c r="AA66" s="60"/>
      <c r="AB66" s="60"/>
      <c r="AC66" s="60"/>
      <c r="AD66" s="262"/>
      <c r="AE66" s="60" t="s">
        <v>28</v>
      </c>
      <c r="AF66" s="60"/>
      <c r="AG66" s="60"/>
      <c r="AH66" s="60"/>
      <c r="AI66" s="60"/>
      <c r="AJ66" s="60"/>
      <c r="AK66" s="60"/>
      <c r="AL66" s="60"/>
      <c r="AM66" s="60"/>
      <c r="AO66" s="262"/>
    </row>
    <row r="67" spans="1:41">
      <c r="A67" s="394" t="s">
        <v>29</v>
      </c>
      <c r="B67" s="394" t="s">
        <v>29</v>
      </c>
      <c r="C67" s="394" t="s">
        <v>29</v>
      </c>
      <c r="D67" s="394" t="s">
        <v>29</v>
      </c>
      <c r="E67" s="394" t="s">
        <v>29</v>
      </c>
      <c r="F67" s="394" t="s">
        <v>29</v>
      </c>
      <c r="G67" s="394" t="s">
        <v>29</v>
      </c>
      <c r="H67" s="394" t="s">
        <v>29</v>
      </c>
      <c r="I67" s="394" t="s">
        <v>29</v>
      </c>
      <c r="J67" s="262"/>
      <c r="K67" s="394" t="s">
        <v>29</v>
      </c>
      <c r="L67" s="394" t="s">
        <v>29</v>
      </c>
      <c r="M67" s="394" t="s">
        <v>29</v>
      </c>
      <c r="N67" s="394" t="s">
        <v>29</v>
      </c>
      <c r="O67" s="394" t="s">
        <v>29</v>
      </c>
      <c r="P67" s="394" t="s">
        <v>29</v>
      </c>
      <c r="Q67" s="394" t="s">
        <v>29</v>
      </c>
      <c r="R67" s="394" t="s">
        <v>29</v>
      </c>
      <c r="S67" s="394" t="s">
        <v>29</v>
      </c>
      <c r="T67" s="262"/>
      <c r="U67" s="60"/>
      <c r="V67" s="60"/>
      <c r="W67" s="60"/>
      <c r="X67" s="60"/>
      <c r="Y67" s="60"/>
      <c r="Z67" s="60"/>
      <c r="AA67" s="60"/>
      <c r="AB67" s="60"/>
      <c r="AC67" s="60"/>
      <c r="AD67" s="262"/>
      <c r="AE67" s="60"/>
      <c r="AF67" s="60"/>
      <c r="AG67" s="60"/>
      <c r="AH67" s="60"/>
      <c r="AI67" s="60"/>
      <c r="AJ67" s="60"/>
      <c r="AK67" s="60"/>
      <c r="AL67" s="60"/>
      <c r="AM67" s="60"/>
      <c r="AO67" s="262"/>
    </row>
    <row r="68" spans="1:41">
      <c r="A68" s="635" t="s">
        <v>30</v>
      </c>
      <c r="B68" s="635"/>
      <c r="C68" s="635"/>
      <c r="D68" s="394" t="s">
        <v>29</v>
      </c>
      <c r="E68" s="394" t="s">
        <v>29</v>
      </c>
      <c r="F68" s="394" t="s">
        <v>29</v>
      </c>
      <c r="G68" s="394" t="s">
        <v>29</v>
      </c>
      <c r="H68" s="394" t="s">
        <v>29</v>
      </c>
      <c r="I68" s="394" t="s">
        <v>29</v>
      </c>
      <c r="J68" s="262"/>
      <c r="K68" s="635" t="s">
        <v>30</v>
      </c>
      <c r="L68" s="635"/>
      <c r="M68" s="635"/>
      <c r="N68" s="394" t="s">
        <v>29</v>
      </c>
      <c r="O68" s="394" t="s">
        <v>29</v>
      </c>
      <c r="P68" s="394" t="s">
        <v>29</v>
      </c>
      <c r="Q68" s="394" t="s">
        <v>29</v>
      </c>
      <c r="R68" s="394" t="s">
        <v>29</v>
      </c>
      <c r="S68" s="394" t="s">
        <v>29</v>
      </c>
      <c r="T68" s="262"/>
      <c r="U68" s="635" t="s">
        <v>30</v>
      </c>
      <c r="V68" s="635"/>
      <c r="W68" s="635"/>
      <c r="X68" s="60"/>
      <c r="Y68" s="60"/>
      <c r="Z68" s="60"/>
      <c r="AA68" s="60"/>
      <c r="AB68" s="60"/>
      <c r="AC68" s="60"/>
      <c r="AD68" s="262"/>
      <c r="AE68" s="635" t="s">
        <v>30</v>
      </c>
      <c r="AF68" s="635"/>
      <c r="AG68" s="635"/>
      <c r="AH68" s="60"/>
      <c r="AI68" s="60"/>
      <c r="AJ68" s="60"/>
      <c r="AK68" s="60"/>
      <c r="AL68" s="60"/>
      <c r="AM68" s="60"/>
      <c r="AO68" s="262"/>
    </row>
    <row r="69" spans="1:41">
      <c r="A69" s="631" t="s">
        <v>31</v>
      </c>
      <c r="B69" s="631"/>
      <c r="C69" s="28">
        <v>0.98780000000000001</v>
      </c>
      <c r="D69" s="394" t="s">
        <v>29</v>
      </c>
      <c r="E69" s="394" t="s">
        <v>29</v>
      </c>
      <c r="F69" s="394" t="s">
        <v>29</v>
      </c>
      <c r="G69" s="394" t="s">
        <v>29</v>
      </c>
      <c r="H69" s="394" t="s">
        <v>29</v>
      </c>
      <c r="I69" s="394" t="s">
        <v>29</v>
      </c>
      <c r="J69" s="262"/>
      <c r="K69" s="631" t="s">
        <v>31</v>
      </c>
      <c r="L69" s="631"/>
      <c r="M69" s="420">
        <v>0.96011581800000001</v>
      </c>
      <c r="N69" s="394" t="s">
        <v>29</v>
      </c>
      <c r="O69" s="394" t="s">
        <v>29</v>
      </c>
      <c r="P69" s="394" t="s">
        <v>29</v>
      </c>
      <c r="Q69" s="394" t="s">
        <v>29</v>
      </c>
      <c r="R69" s="394" t="s">
        <v>29</v>
      </c>
      <c r="S69" s="394" t="s">
        <v>29</v>
      </c>
      <c r="T69" s="262"/>
      <c r="U69" s="631" t="s">
        <v>31</v>
      </c>
      <c r="V69" s="631"/>
      <c r="W69" s="487">
        <v>0.99800699999999998</v>
      </c>
      <c r="X69" s="60"/>
      <c r="Y69" s="60"/>
      <c r="Z69" s="60"/>
      <c r="AA69" s="60"/>
      <c r="AB69" s="60"/>
      <c r="AC69" s="60"/>
      <c r="AD69" s="262"/>
      <c r="AE69" s="631" t="s">
        <v>31</v>
      </c>
      <c r="AF69" s="631"/>
      <c r="AG69" s="487">
        <v>0.97695799999999999</v>
      </c>
      <c r="AH69" s="60"/>
      <c r="AI69" s="60"/>
      <c r="AJ69" s="60"/>
      <c r="AK69" s="60"/>
      <c r="AL69" s="60"/>
      <c r="AM69" s="60"/>
      <c r="AO69" s="262"/>
    </row>
    <row r="70" spans="1:41">
      <c r="A70" s="628" t="s">
        <v>32</v>
      </c>
      <c r="B70" s="628"/>
      <c r="C70" s="28">
        <v>0.97570000000000001</v>
      </c>
      <c r="D70" s="394" t="s">
        <v>29</v>
      </c>
      <c r="E70" s="394" t="s">
        <v>29</v>
      </c>
      <c r="F70" s="394" t="s">
        <v>29</v>
      </c>
      <c r="G70" s="394" t="s">
        <v>29</v>
      </c>
      <c r="H70" s="394" t="s">
        <v>29</v>
      </c>
      <c r="I70" s="394" t="s">
        <v>29</v>
      </c>
      <c r="J70" s="262"/>
      <c r="K70" s="628" t="s">
        <v>32</v>
      </c>
      <c r="L70" s="628"/>
      <c r="M70" s="420">
        <v>0.92182238400000005</v>
      </c>
      <c r="N70" s="394" t="s">
        <v>29</v>
      </c>
      <c r="O70" s="394" t="s">
        <v>29</v>
      </c>
      <c r="P70" s="394" t="s">
        <v>29</v>
      </c>
      <c r="Q70" s="394" t="s">
        <v>29</v>
      </c>
      <c r="R70" s="394" t="s">
        <v>29</v>
      </c>
      <c r="S70" s="394" t="s">
        <v>29</v>
      </c>
      <c r="T70" s="262"/>
      <c r="U70" s="628" t="s">
        <v>32</v>
      </c>
      <c r="V70" s="628"/>
      <c r="W70" s="487">
        <v>0.99601899999999999</v>
      </c>
      <c r="X70" s="60"/>
      <c r="Y70" s="60"/>
      <c r="Z70" s="60"/>
      <c r="AA70" s="60"/>
      <c r="AB70" s="60"/>
      <c r="AC70" s="60"/>
      <c r="AD70" s="262"/>
      <c r="AE70" s="628" t="s">
        <v>32</v>
      </c>
      <c r="AF70" s="628"/>
      <c r="AG70" s="487">
        <v>0.95444600000000002</v>
      </c>
      <c r="AH70" s="60"/>
      <c r="AI70" s="60"/>
      <c r="AJ70" s="60"/>
      <c r="AK70" s="60"/>
      <c r="AL70" s="60"/>
      <c r="AM70" s="60"/>
      <c r="AO70" s="262"/>
    </row>
    <row r="71" spans="1:41">
      <c r="A71" s="629" t="s">
        <v>33</v>
      </c>
      <c r="B71" s="628"/>
      <c r="C71" s="28">
        <v>0.96179999999999999</v>
      </c>
      <c r="D71" s="394" t="s">
        <v>29</v>
      </c>
      <c r="E71" s="394" t="s">
        <v>29</v>
      </c>
      <c r="F71" s="394" t="s">
        <v>29</v>
      </c>
      <c r="G71" s="394" t="s">
        <v>29</v>
      </c>
      <c r="H71" s="394" t="s">
        <v>29</v>
      </c>
      <c r="I71" s="394" t="s">
        <v>29</v>
      </c>
      <c r="J71" s="262"/>
      <c r="K71" s="629" t="s">
        <v>33</v>
      </c>
      <c r="L71" s="628"/>
      <c r="M71" s="420">
        <v>0.87714946000000005</v>
      </c>
      <c r="N71" s="394" t="s">
        <v>29</v>
      </c>
      <c r="O71" s="394" t="s">
        <v>29</v>
      </c>
      <c r="P71" s="394" t="s">
        <v>29</v>
      </c>
      <c r="Q71" s="394" t="s">
        <v>29</v>
      </c>
      <c r="R71" s="394" t="s">
        <v>29</v>
      </c>
      <c r="S71" s="394" t="s">
        <v>29</v>
      </c>
      <c r="T71" s="262"/>
      <c r="U71" s="629" t="s">
        <v>33</v>
      </c>
      <c r="V71" s="628"/>
      <c r="W71" s="487">
        <v>0.99374399999999996</v>
      </c>
      <c r="X71" s="60"/>
      <c r="Y71" s="60"/>
      <c r="Z71" s="60"/>
      <c r="AA71" s="60"/>
      <c r="AB71" s="60"/>
      <c r="AC71" s="60"/>
      <c r="AD71" s="262"/>
      <c r="AE71" s="629" t="s">
        <v>33</v>
      </c>
      <c r="AF71" s="628"/>
      <c r="AG71" s="487">
        <v>0.92841600000000002</v>
      </c>
      <c r="AH71" s="60"/>
      <c r="AI71" s="60"/>
      <c r="AJ71" s="60"/>
      <c r="AK71" s="60"/>
      <c r="AL71" s="60"/>
      <c r="AM71" s="60"/>
      <c r="AO71" s="262"/>
    </row>
    <row r="72" spans="1:41">
      <c r="A72" s="628" t="s">
        <v>34</v>
      </c>
      <c r="B72" s="628"/>
      <c r="C72" s="28">
        <v>2.8400000000000002E-2</v>
      </c>
      <c r="D72" s="394" t="s">
        <v>29</v>
      </c>
      <c r="E72" s="394" t="s">
        <v>29</v>
      </c>
      <c r="F72" s="394" t="s">
        <v>29</v>
      </c>
      <c r="G72" s="394" t="s">
        <v>29</v>
      </c>
      <c r="H72" s="394" t="s">
        <v>29</v>
      </c>
      <c r="I72" s="394" t="s">
        <v>29</v>
      </c>
      <c r="J72" s="262"/>
      <c r="K72" s="628" t="s">
        <v>34</v>
      </c>
      <c r="L72" s="628"/>
      <c r="M72" s="420">
        <v>4.1087927000000003E-2</v>
      </c>
      <c r="N72" s="394" t="s">
        <v>29</v>
      </c>
      <c r="O72" s="394" t="s">
        <v>29</v>
      </c>
      <c r="P72" s="394" t="s">
        <v>29</v>
      </c>
      <c r="Q72" s="394" t="s">
        <v>29</v>
      </c>
      <c r="R72" s="394" t="s">
        <v>29</v>
      </c>
      <c r="S72" s="394" t="s">
        <v>29</v>
      </c>
      <c r="T72" s="262"/>
      <c r="U72" s="628" t="s">
        <v>34</v>
      </c>
      <c r="V72" s="628"/>
      <c r="W72" s="487">
        <v>1.7878000000000002E-2</v>
      </c>
      <c r="X72" s="60"/>
      <c r="Y72" s="60"/>
      <c r="Z72" s="60"/>
      <c r="AA72" s="60"/>
      <c r="AB72" s="60"/>
      <c r="AC72" s="60"/>
      <c r="AD72" s="262"/>
      <c r="AE72" s="628" t="s">
        <v>34</v>
      </c>
      <c r="AF72" s="628"/>
      <c r="AG72" s="487">
        <v>4.3945999999999999E-2</v>
      </c>
      <c r="AH72" s="60"/>
      <c r="AI72" s="60"/>
      <c r="AJ72" s="60"/>
      <c r="AK72" s="60"/>
      <c r="AL72" s="60"/>
      <c r="AM72" s="60"/>
      <c r="AO72" s="262"/>
    </row>
    <row r="73" spans="1:41">
      <c r="A73" s="630" t="s">
        <v>35</v>
      </c>
      <c r="B73" s="630"/>
      <c r="C73" s="33">
        <v>12</v>
      </c>
      <c r="D73" s="394" t="s">
        <v>29</v>
      </c>
      <c r="E73" s="394" t="s">
        <v>29</v>
      </c>
      <c r="F73" s="394" t="s">
        <v>29</v>
      </c>
      <c r="G73" s="394" t="s">
        <v>29</v>
      </c>
      <c r="H73" s="394" t="s">
        <v>29</v>
      </c>
      <c r="I73" s="394" t="s">
        <v>29</v>
      </c>
      <c r="J73" s="262"/>
      <c r="K73" s="630" t="s">
        <v>35</v>
      </c>
      <c r="L73" s="630"/>
      <c r="M73" s="534">
        <v>12</v>
      </c>
      <c r="N73" s="394" t="s">
        <v>29</v>
      </c>
      <c r="O73" s="394" t="s">
        <v>29</v>
      </c>
      <c r="P73" s="394" t="s">
        <v>29</v>
      </c>
      <c r="Q73" s="394" t="s">
        <v>29</v>
      </c>
      <c r="R73" s="394" t="s">
        <v>29</v>
      </c>
      <c r="S73" s="394" t="s">
        <v>29</v>
      </c>
      <c r="T73" s="262"/>
      <c r="U73" s="630" t="s">
        <v>35</v>
      </c>
      <c r="V73" s="630"/>
      <c r="W73" s="488">
        <v>12</v>
      </c>
      <c r="X73" s="60"/>
      <c r="Y73" s="60"/>
      <c r="Z73" s="60"/>
      <c r="AA73" s="60"/>
      <c r="AB73" s="60"/>
      <c r="AC73" s="60"/>
      <c r="AD73" s="262"/>
      <c r="AE73" s="630" t="s">
        <v>35</v>
      </c>
      <c r="AF73" s="630"/>
      <c r="AG73" s="488">
        <v>12</v>
      </c>
      <c r="AH73" s="60"/>
      <c r="AI73" s="60"/>
      <c r="AJ73" s="60"/>
      <c r="AK73" s="60"/>
      <c r="AL73" s="60"/>
      <c r="AM73" s="60"/>
      <c r="AO73" s="262"/>
    </row>
    <row r="74" spans="1:41">
      <c r="A74" s="394" t="s">
        <v>29</v>
      </c>
      <c r="B74" s="394" t="s">
        <v>29</v>
      </c>
      <c r="C74" s="394" t="s">
        <v>29</v>
      </c>
      <c r="D74" s="394" t="s">
        <v>29</v>
      </c>
      <c r="E74" s="394" t="s">
        <v>29</v>
      </c>
      <c r="F74" s="394" t="s">
        <v>29</v>
      </c>
      <c r="G74" s="394" t="s">
        <v>29</v>
      </c>
      <c r="H74" s="394" t="s">
        <v>29</v>
      </c>
      <c r="I74" s="394" t="s">
        <v>29</v>
      </c>
      <c r="J74" s="262"/>
      <c r="K74" s="394" t="s">
        <v>29</v>
      </c>
      <c r="L74" s="394" t="s">
        <v>29</v>
      </c>
      <c r="M74" s="394" t="s">
        <v>29</v>
      </c>
      <c r="N74" s="394" t="s">
        <v>29</v>
      </c>
      <c r="O74" s="394" t="s">
        <v>29</v>
      </c>
      <c r="P74" s="394" t="s">
        <v>29</v>
      </c>
      <c r="Q74" s="394" t="s">
        <v>29</v>
      </c>
      <c r="R74" s="394" t="s">
        <v>29</v>
      </c>
      <c r="S74" s="394" t="s">
        <v>29</v>
      </c>
      <c r="T74" s="262"/>
      <c r="U74" s="60"/>
      <c r="V74" s="60"/>
      <c r="W74" s="60"/>
      <c r="X74" s="60"/>
      <c r="Y74" s="60"/>
      <c r="Z74" s="60"/>
      <c r="AA74" s="60"/>
      <c r="AB74" s="60"/>
      <c r="AC74" s="60"/>
      <c r="AD74" s="262"/>
      <c r="AE74" s="60"/>
      <c r="AF74" s="60"/>
      <c r="AG74" s="60"/>
      <c r="AH74" s="60"/>
      <c r="AI74" s="60"/>
      <c r="AJ74" s="60"/>
      <c r="AK74" s="60"/>
      <c r="AL74" s="60"/>
      <c r="AM74" s="60"/>
      <c r="AO74" s="262"/>
    </row>
    <row r="75" spans="1:41">
      <c r="A75" s="394" t="s">
        <v>36</v>
      </c>
      <c r="B75" s="394"/>
      <c r="C75" s="394"/>
      <c r="D75" s="394" t="s">
        <v>29</v>
      </c>
      <c r="E75" s="394" t="s">
        <v>29</v>
      </c>
      <c r="F75" s="394" t="s">
        <v>29</v>
      </c>
      <c r="G75" s="394" t="s">
        <v>29</v>
      </c>
      <c r="H75" s="394" t="s">
        <v>29</v>
      </c>
      <c r="I75" s="394" t="s">
        <v>29</v>
      </c>
      <c r="J75" s="262"/>
      <c r="K75" s="394" t="s">
        <v>36</v>
      </c>
      <c r="L75" s="420"/>
      <c r="M75" s="420" t="s">
        <v>29</v>
      </c>
      <c r="N75" s="420" t="s">
        <v>29</v>
      </c>
      <c r="O75" s="420" t="s">
        <v>29</v>
      </c>
      <c r="P75" s="420" t="s">
        <v>29</v>
      </c>
      <c r="Q75" s="394" t="s">
        <v>29</v>
      </c>
      <c r="R75" s="394" t="s">
        <v>29</v>
      </c>
      <c r="S75" s="394" t="s">
        <v>29</v>
      </c>
      <c r="T75" s="262"/>
      <c r="U75" s="60" t="s">
        <v>36</v>
      </c>
      <c r="V75" s="60"/>
      <c r="W75" s="60"/>
      <c r="X75" s="60"/>
      <c r="Y75" s="60"/>
      <c r="Z75" s="60"/>
      <c r="AA75" s="60"/>
      <c r="AB75" s="60"/>
      <c r="AC75" s="60"/>
      <c r="AD75" s="262"/>
      <c r="AE75" s="60" t="s">
        <v>36</v>
      </c>
      <c r="AF75" s="60"/>
      <c r="AG75" s="60"/>
      <c r="AH75" s="60"/>
      <c r="AI75" s="60"/>
      <c r="AJ75" s="60"/>
      <c r="AK75" s="60"/>
      <c r="AL75" s="60"/>
      <c r="AM75" s="60"/>
      <c r="AO75" s="262"/>
    </row>
    <row r="76" spans="1:41">
      <c r="A76" s="245" t="s">
        <v>29</v>
      </c>
      <c r="B76" s="537" t="s">
        <v>37</v>
      </c>
      <c r="C76" s="537" t="s">
        <v>38</v>
      </c>
      <c r="D76" s="537" t="s">
        <v>39</v>
      </c>
      <c r="E76" s="537" t="s">
        <v>40</v>
      </c>
      <c r="F76" s="537" t="s">
        <v>41</v>
      </c>
      <c r="G76" s="394" t="s">
        <v>29</v>
      </c>
      <c r="H76" s="394" t="s">
        <v>29</v>
      </c>
      <c r="I76" s="394" t="s">
        <v>29</v>
      </c>
      <c r="J76" s="262"/>
      <c r="K76" s="245" t="s">
        <v>29</v>
      </c>
      <c r="L76" s="537" t="s">
        <v>37</v>
      </c>
      <c r="M76" s="537" t="s">
        <v>38</v>
      </c>
      <c r="N76" s="537" t="s">
        <v>39</v>
      </c>
      <c r="O76" s="537" t="s">
        <v>40</v>
      </c>
      <c r="P76" s="537" t="s">
        <v>41</v>
      </c>
      <c r="Q76" s="394" t="s">
        <v>29</v>
      </c>
      <c r="R76" s="394" t="s">
        <v>29</v>
      </c>
      <c r="S76" s="394" t="s">
        <v>29</v>
      </c>
      <c r="T76" s="262"/>
      <c r="U76" s="186" t="s">
        <v>29</v>
      </c>
      <c r="V76" s="484" t="s">
        <v>37</v>
      </c>
      <c r="W76" s="484" t="s">
        <v>38</v>
      </c>
      <c r="X76" s="484" t="s">
        <v>39</v>
      </c>
      <c r="Y76" s="484" t="s">
        <v>40</v>
      </c>
      <c r="Z76" s="484" t="s">
        <v>41</v>
      </c>
      <c r="AA76" s="60"/>
      <c r="AB76" s="60"/>
      <c r="AC76" s="60"/>
      <c r="AD76" s="262"/>
      <c r="AE76" s="186" t="s">
        <v>29</v>
      </c>
      <c r="AF76" s="483" t="s">
        <v>37</v>
      </c>
      <c r="AG76" s="483" t="s">
        <v>38</v>
      </c>
      <c r="AH76" s="483" t="s">
        <v>39</v>
      </c>
      <c r="AI76" s="483" t="s">
        <v>40</v>
      </c>
      <c r="AJ76" s="483" t="s">
        <v>41</v>
      </c>
      <c r="AK76" s="60"/>
      <c r="AL76" s="60"/>
      <c r="AM76" s="60"/>
      <c r="AO76" s="262"/>
    </row>
    <row r="77" spans="1:41">
      <c r="A77" s="394" t="s">
        <v>42</v>
      </c>
      <c r="B77" s="420">
        <v>4</v>
      </c>
      <c r="C77" s="420">
        <v>0.22617858800000001</v>
      </c>
      <c r="D77" s="420">
        <v>5.6544999999999998E-2</v>
      </c>
      <c r="E77" s="420">
        <v>70.330161290000007</v>
      </c>
      <c r="F77" s="538">
        <v>9.8448999999999995E-6</v>
      </c>
      <c r="G77" s="394" t="s">
        <v>29</v>
      </c>
      <c r="H77" s="394" t="s">
        <v>29</v>
      </c>
      <c r="I77" s="394" t="s">
        <v>29</v>
      </c>
      <c r="J77" s="262"/>
      <c r="K77" s="394" t="s">
        <v>42</v>
      </c>
      <c r="L77" s="420">
        <v>4</v>
      </c>
      <c r="M77" s="420">
        <v>0.139345</v>
      </c>
      <c r="N77" s="420">
        <v>3.4836244000000002E-2</v>
      </c>
      <c r="O77" s="420">
        <v>20.634924000000002</v>
      </c>
      <c r="P77" s="420">
        <v>5.6462099999999996E-4</v>
      </c>
      <c r="Q77" s="394" t="s">
        <v>29</v>
      </c>
      <c r="R77" s="394" t="s">
        <v>29</v>
      </c>
      <c r="S77" s="394" t="s">
        <v>29</v>
      </c>
      <c r="T77" s="262"/>
      <c r="U77" s="60" t="s">
        <v>42</v>
      </c>
      <c r="V77" s="485">
        <v>4</v>
      </c>
      <c r="W77" s="485">
        <v>0.55974000000000002</v>
      </c>
      <c r="X77" s="485">
        <v>0.139935</v>
      </c>
      <c r="Y77" s="485">
        <v>437.79969999999997</v>
      </c>
      <c r="Z77" s="489">
        <v>1.7900000000000001E-8</v>
      </c>
      <c r="AA77" s="60"/>
      <c r="AB77" s="60"/>
      <c r="AC77" s="60"/>
      <c r="AD77" s="262"/>
      <c r="AE77" s="60" t="s">
        <v>42</v>
      </c>
      <c r="AF77" s="487">
        <v>4</v>
      </c>
      <c r="AG77" s="487">
        <v>0.28325099999999998</v>
      </c>
      <c r="AH77" s="487">
        <v>7.0813000000000001E-2</v>
      </c>
      <c r="AI77" s="487">
        <v>36.6663</v>
      </c>
      <c r="AJ77" s="555">
        <v>8.7600000000000002E-5</v>
      </c>
      <c r="AK77" s="60"/>
      <c r="AL77" s="60"/>
      <c r="AM77" s="60"/>
      <c r="AO77" s="262"/>
    </row>
    <row r="78" spans="1:41">
      <c r="A78" s="394" t="s">
        <v>43</v>
      </c>
      <c r="B78" s="420">
        <v>7</v>
      </c>
      <c r="C78" s="420">
        <v>5.6279199999999998E-3</v>
      </c>
      <c r="D78" s="420">
        <v>8.0400000000000003E-4</v>
      </c>
      <c r="E78" s="420" t="s">
        <v>29</v>
      </c>
      <c r="F78" s="420" t="s">
        <v>29</v>
      </c>
      <c r="G78" s="394" t="s">
        <v>29</v>
      </c>
      <c r="H78" s="394" t="s">
        <v>29</v>
      </c>
      <c r="I78" s="394" t="s">
        <v>29</v>
      </c>
      <c r="J78" s="262"/>
      <c r="K78" s="394" t="s">
        <v>43</v>
      </c>
      <c r="L78" s="420">
        <v>7</v>
      </c>
      <c r="M78" s="420">
        <v>1.1818E-2</v>
      </c>
      <c r="N78" s="420">
        <v>1.688218E-3</v>
      </c>
      <c r="O78" s="420" t="s">
        <v>29</v>
      </c>
      <c r="P78" s="420" t="s">
        <v>29</v>
      </c>
      <c r="Q78" s="394" t="s">
        <v>29</v>
      </c>
      <c r="R78" s="394" t="s">
        <v>29</v>
      </c>
      <c r="S78" s="394" t="s">
        <v>29</v>
      </c>
      <c r="T78" s="262"/>
      <c r="U78" s="60" t="s">
        <v>43</v>
      </c>
      <c r="V78" s="485">
        <v>7</v>
      </c>
      <c r="W78" s="485">
        <v>2.2369999999999998E-3</v>
      </c>
      <c r="X78" s="485">
        <v>3.2000000000000003E-4</v>
      </c>
      <c r="Y78" s="485"/>
      <c r="Z78" s="485"/>
      <c r="AA78" s="60"/>
      <c r="AB78" s="60"/>
      <c r="AC78" s="60"/>
      <c r="AD78" s="262"/>
      <c r="AE78" s="60" t="s">
        <v>43</v>
      </c>
      <c r="AF78" s="487">
        <v>7</v>
      </c>
      <c r="AG78" s="487">
        <v>1.3519E-2</v>
      </c>
      <c r="AH78" s="487">
        <v>1.931E-3</v>
      </c>
      <c r="AI78" s="487"/>
      <c r="AJ78" s="487"/>
      <c r="AK78" s="60"/>
      <c r="AL78" s="60"/>
      <c r="AM78" s="60"/>
      <c r="AO78" s="262"/>
    </row>
    <row r="79" spans="1:41">
      <c r="A79" s="395" t="s">
        <v>44</v>
      </c>
      <c r="B79" s="534">
        <v>11</v>
      </c>
      <c r="C79" s="534">
        <v>0.23180650799999999</v>
      </c>
      <c r="D79" s="534" t="s">
        <v>29</v>
      </c>
      <c r="E79" s="534" t="s">
        <v>29</v>
      </c>
      <c r="F79" s="534" t="s">
        <v>29</v>
      </c>
      <c r="G79" s="394" t="s">
        <v>29</v>
      </c>
      <c r="H79" s="394" t="s">
        <v>29</v>
      </c>
      <c r="I79" s="394" t="s">
        <v>29</v>
      </c>
      <c r="J79" s="262"/>
      <c r="K79" s="395" t="s">
        <v>44</v>
      </c>
      <c r="L79" s="534">
        <v>11</v>
      </c>
      <c r="M79" s="534">
        <v>0.15116299999999999</v>
      </c>
      <c r="N79" s="534" t="s">
        <v>29</v>
      </c>
      <c r="O79" s="534" t="s">
        <v>29</v>
      </c>
      <c r="P79" s="534" t="s">
        <v>29</v>
      </c>
      <c r="Q79" s="394" t="s">
        <v>29</v>
      </c>
      <c r="R79" s="394" t="s">
        <v>29</v>
      </c>
      <c r="S79" s="394" t="s">
        <v>29</v>
      </c>
      <c r="T79" s="262"/>
      <c r="U79" s="396" t="s">
        <v>44</v>
      </c>
      <c r="V79" s="486">
        <v>11</v>
      </c>
      <c r="W79" s="486">
        <v>0.56197799999999998</v>
      </c>
      <c r="X79" s="486" t="s">
        <v>29</v>
      </c>
      <c r="Y79" s="486" t="s">
        <v>29</v>
      </c>
      <c r="Z79" s="486" t="s">
        <v>29</v>
      </c>
      <c r="AA79" s="60"/>
      <c r="AB79" s="60"/>
      <c r="AC79" s="60"/>
      <c r="AD79" s="262"/>
      <c r="AE79" s="396" t="s">
        <v>44</v>
      </c>
      <c r="AF79" s="488">
        <v>11</v>
      </c>
      <c r="AG79" s="488">
        <v>0.29676999999999998</v>
      </c>
      <c r="AH79" s="488" t="s">
        <v>29</v>
      </c>
      <c r="AI79" s="488" t="s">
        <v>29</v>
      </c>
      <c r="AJ79" s="488" t="s">
        <v>29</v>
      </c>
      <c r="AK79" s="60"/>
      <c r="AL79" s="60"/>
      <c r="AM79" s="60"/>
      <c r="AO79" s="262"/>
    </row>
    <row r="80" spans="1:41">
      <c r="A80" s="394" t="s">
        <v>29</v>
      </c>
      <c r="B80" s="394" t="s">
        <v>29</v>
      </c>
      <c r="C80" s="394" t="s">
        <v>29</v>
      </c>
      <c r="D80" s="394" t="s">
        <v>29</v>
      </c>
      <c r="E80" s="394" t="s">
        <v>29</v>
      </c>
      <c r="F80" s="394" t="s">
        <v>29</v>
      </c>
      <c r="G80" s="394" t="s">
        <v>29</v>
      </c>
      <c r="H80" s="394" t="s">
        <v>29</v>
      </c>
      <c r="I80" s="394" t="s">
        <v>29</v>
      </c>
      <c r="J80" s="262"/>
      <c r="K80" s="394" t="s">
        <v>29</v>
      </c>
      <c r="L80" s="394" t="s">
        <v>29</v>
      </c>
      <c r="M80" s="394" t="s">
        <v>29</v>
      </c>
      <c r="N80" s="394" t="s">
        <v>29</v>
      </c>
      <c r="O80" s="394" t="s">
        <v>29</v>
      </c>
      <c r="P80" s="394" t="s">
        <v>29</v>
      </c>
      <c r="Q80" s="394" t="s">
        <v>29</v>
      </c>
      <c r="R80" s="394" t="s">
        <v>29</v>
      </c>
      <c r="S80" s="394" t="s">
        <v>29</v>
      </c>
      <c r="T80" s="262"/>
      <c r="U80" s="60"/>
      <c r="V80" s="60"/>
      <c r="W80" s="60"/>
      <c r="X80" s="60"/>
      <c r="Y80" s="60"/>
      <c r="Z80" s="60"/>
      <c r="AA80" s="60"/>
      <c r="AB80" s="60"/>
      <c r="AC80" s="60"/>
      <c r="AD80" s="262"/>
      <c r="AE80" s="60"/>
      <c r="AF80" s="60"/>
      <c r="AG80" s="60"/>
      <c r="AH80" s="60"/>
      <c r="AI80" s="60"/>
      <c r="AJ80" s="60"/>
      <c r="AK80" s="60"/>
      <c r="AL80" s="60"/>
      <c r="AM80" s="60"/>
      <c r="AO80" s="262"/>
    </row>
    <row r="81" spans="1:41">
      <c r="A81" s="245" t="s">
        <v>29</v>
      </c>
      <c r="B81" s="540" t="s">
        <v>45</v>
      </c>
      <c r="C81" s="540" t="s">
        <v>34</v>
      </c>
      <c r="D81" s="537" t="s">
        <v>46</v>
      </c>
      <c r="E81" s="537" t="s">
        <v>47</v>
      </c>
      <c r="F81" s="537" t="s">
        <v>48</v>
      </c>
      <c r="G81" s="537" t="s">
        <v>49</v>
      </c>
      <c r="H81" s="537" t="s">
        <v>50</v>
      </c>
      <c r="I81" s="537" t="s">
        <v>51</v>
      </c>
      <c r="J81" s="262"/>
      <c r="K81" s="245" t="s">
        <v>29</v>
      </c>
      <c r="L81" s="540" t="s">
        <v>45</v>
      </c>
      <c r="M81" s="540" t="s">
        <v>34</v>
      </c>
      <c r="N81" s="537" t="s">
        <v>46</v>
      </c>
      <c r="O81" s="537" t="s">
        <v>47</v>
      </c>
      <c r="P81" s="537" t="s">
        <v>48</v>
      </c>
      <c r="Q81" s="537" t="s">
        <v>49</v>
      </c>
      <c r="R81" s="537" t="s">
        <v>50</v>
      </c>
      <c r="S81" s="537" t="s">
        <v>51</v>
      </c>
      <c r="T81" s="262"/>
      <c r="U81" s="186" t="s">
        <v>29</v>
      </c>
      <c r="V81" s="490" t="s">
        <v>45</v>
      </c>
      <c r="W81" s="490" t="s">
        <v>34</v>
      </c>
      <c r="X81" s="484" t="s">
        <v>46</v>
      </c>
      <c r="Y81" s="484" t="s">
        <v>47</v>
      </c>
      <c r="Z81" s="484" t="s">
        <v>48</v>
      </c>
      <c r="AA81" s="484" t="s">
        <v>49</v>
      </c>
      <c r="AB81" s="484" t="s">
        <v>50</v>
      </c>
      <c r="AC81" s="490" t="s">
        <v>51</v>
      </c>
      <c r="AD81" s="262"/>
      <c r="AE81" s="186" t="s">
        <v>29</v>
      </c>
      <c r="AF81" s="490" t="s">
        <v>45</v>
      </c>
      <c r="AG81" s="490" t="s">
        <v>34</v>
      </c>
      <c r="AH81" s="484" t="s">
        <v>46</v>
      </c>
      <c r="AI81" s="484" t="s">
        <v>47</v>
      </c>
      <c r="AJ81" s="484" t="s">
        <v>48</v>
      </c>
      <c r="AK81" s="484" t="s">
        <v>49</v>
      </c>
      <c r="AL81" s="484" t="s">
        <v>50</v>
      </c>
      <c r="AM81" s="490" t="s">
        <v>51</v>
      </c>
      <c r="AO81" s="262"/>
    </row>
    <row r="82" spans="1:41">
      <c r="A82" s="394" t="s">
        <v>52</v>
      </c>
      <c r="B82" s="420">
        <v>-12.52</v>
      </c>
      <c r="C82" s="420">
        <v>8.3962243880000003</v>
      </c>
      <c r="D82" s="420">
        <v>-1.4913719999999999</v>
      </c>
      <c r="E82" s="420">
        <v>0.17948958000000001</v>
      </c>
      <c r="F82" s="420">
        <v>-32.375807500000001</v>
      </c>
      <c r="G82" s="420">
        <v>7.3320241509999997</v>
      </c>
      <c r="H82" s="420">
        <v>-32.375807469999998</v>
      </c>
      <c r="I82" s="420">
        <v>7.3320241509999997</v>
      </c>
      <c r="J82" s="262"/>
      <c r="K82" s="394" t="s">
        <v>52</v>
      </c>
      <c r="L82" s="420">
        <v>-30.516481800000001</v>
      </c>
      <c r="M82" s="420">
        <v>8.5569319999999998</v>
      </c>
      <c r="N82" s="420">
        <v>-3.5662877289999999</v>
      </c>
      <c r="O82" s="420">
        <v>9.1421999999999996E-3</v>
      </c>
      <c r="P82" s="420">
        <v>-50.750410879999997</v>
      </c>
      <c r="Q82" s="420">
        <v>-10.28255274</v>
      </c>
      <c r="R82" s="420">
        <v>-50.75</v>
      </c>
      <c r="S82" s="420">
        <v>-10.282999999999999</v>
      </c>
      <c r="T82" s="262"/>
      <c r="U82" s="60" t="s">
        <v>52</v>
      </c>
      <c r="V82" s="485">
        <v>-20.066800000000001</v>
      </c>
      <c r="W82" s="485">
        <v>5.8416259999999998</v>
      </c>
      <c r="X82" s="485">
        <v>-3.4351400000000001</v>
      </c>
      <c r="Y82" s="485">
        <v>1.0909E-2</v>
      </c>
      <c r="Z82" s="485">
        <v>-33.880099999999999</v>
      </c>
      <c r="AA82" s="485">
        <v>-6.2535499999999997</v>
      </c>
      <c r="AB82" s="485">
        <v>-33.880099999999999</v>
      </c>
      <c r="AC82" s="485">
        <v>-6.2535499999999997</v>
      </c>
      <c r="AD82" s="262"/>
      <c r="AE82" s="60" t="s">
        <v>52</v>
      </c>
      <c r="AF82" s="485">
        <v>-202.07</v>
      </c>
      <c r="AG82" s="485">
        <v>44.514940000000003</v>
      </c>
      <c r="AH82" s="485">
        <v>-4.5393699999999999</v>
      </c>
      <c r="AI82" s="485">
        <v>2.6700000000000001E-3</v>
      </c>
      <c r="AJ82" s="485">
        <v>-307.33100000000002</v>
      </c>
      <c r="AK82" s="485">
        <v>-96.808499999999995</v>
      </c>
      <c r="AL82" s="485">
        <v>-307.33100000000002</v>
      </c>
      <c r="AM82" s="485">
        <v>-96.808499999999995</v>
      </c>
      <c r="AO82" s="262"/>
    </row>
    <row r="83" spans="1:41">
      <c r="A83" s="394" t="s">
        <v>13</v>
      </c>
      <c r="B83" s="420">
        <v>1.0167999999999999</v>
      </c>
      <c r="C83" s="420">
        <v>0.20100743200000001</v>
      </c>
      <c r="D83" s="420">
        <v>5.0584910000000001</v>
      </c>
      <c r="E83" s="420">
        <v>1.465825E-3</v>
      </c>
      <c r="F83" s="420">
        <v>0.54148731000000005</v>
      </c>
      <c r="G83" s="420">
        <v>1.492101409</v>
      </c>
      <c r="H83" s="420">
        <v>0.541487312</v>
      </c>
      <c r="I83" s="420">
        <v>1.492101409</v>
      </c>
      <c r="J83" s="262"/>
      <c r="K83" s="394" t="s">
        <v>3</v>
      </c>
      <c r="L83" s="420">
        <v>-1.7656140000000001E-2</v>
      </c>
      <c r="M83" s="420">
        <v>7.8261999999999998E-2</v>
      </c>
      <c r="N83" s="420">
        <v>-0.22560314100000001</v>
      </c>
      <c r="O83" s="539">
        <v>0.82795529999999995</v>
      </c>
      <c r="P83" s="420">
        <v>-0.202716216</v>
      </c>
      <c r="Q83" s="420">
        <v>0.167403938</v>
      </c>
      <c r="R83" s="420">
        <v>-0.20269999999999999</v>
      </c>
      <c r="S83" s="420">
        <v>0.16739999999999999</v>
      </c>
      <c r="T83" s="262"/>
      <c r="U83" s="60" t="s">
        <v>3</v>
      </c>
      <c r="V83" s="485">
        <v>0.112553</v>
      </c>
      <c r="W83" s="485">
        <v>3.7304999999999998E-2</v>
      </c>
      <c r="X83" s="485">
        <v>3.017118</v>
      </c>
      <c r="Y83" s="485">
        <v>1.9465E-2</v>
      </c>
      <c r="Z83" s="485">
        <v>2.4341000000000002E-2</v>
      </c>
      <c r="AA83" s="485">
        <v>0.200764</v>
      </c>
      <c r="AB83" s="485">
        <v>2.4341000000000002E-2</v>
      </c>
      <c r="AC83" s="485">
        <v>0.200764</v>
      </c>
      <c r="AD83" s="262"/>
      <c r="AE83" s="60" t="s">
        <v>3</v>
      </c>
      <c r="AF83" s="485">
        <v>-2.8139999999999998E-2</v>
      </c>
      <c r="AG83" s="485">
        <v>7.8033000000000005E-2</v>
      </c>
      <c r="AH83" s="485">
        <v>-0.36055999999999999</v>
      </c>
      <c r="AI83" s="557">
        <v>0.72906400000000005</v>
      </c>
      <c r="AJ83" s="485">
        <v>-0.21265000000000001</v>
      </c>
      <c r="AK83" s="485">
        <v>0.15638299999999999</v>
      </c>
      <c r="AL83" s="485">
        <v>-0.21265000000000001</v>
      </c>
      <c r="AM83" s="485">
        <v>0.15638299999999999</v>
      </c>
      <c r="AO83" s="262"/>
    </row>
    <row r="84" spans="1:41">
      <c r="A84" s="394" t="s">
        <v>5</v>
      </c>
      <c r="B84" s="420">
        <v>2.0893999999999999</v>
      </c>
      <c r="C84" s="420">
        <v>1.3276245799999999</v>
      </c>
      <c r="D84" s="420">
        <v>1.573793</v>
      </c>
      <c r="E84" s="420">
        <v>0.159534806</v>
      </c>
      <c r="F84" s="420">
        <v>-1.0499269200000001</v>
      </c>
      <c r="G84" s="420">
        <v>5.2287396360000002</v>
      </c>
      <c r="H84" s="420">
        <v>-1.049926924</v>
      </c>
      <c r="I84" s="420">
        <v>5.2287396360000002</v>
      </c>
      <c r="J84" s="262"/>
      <c r="K84" s="394" t="s">
        <v>5</v>
      </c>
      <c r="L84" s="420">
        <v>3.431821207</v>
      </c>
      <c r="M84" s="420">
        <v>1.6249880000000001</v>
      </c>
      <c r="N84" s="420">
        <v>2.1119050380000002</v>
      </c>
      <c r="O84" s="420">
        <v>7.2583999999999996E-2</v>
      </c>
      <c r="P84" s="420">
        <v>-0.410665793</v>
      </c>
      <c r="Q84" s="420">
        <v>7.2743082079999999</v>
      </c>
      <c r="R84" s="420">
        <v>-0.41070000000000001</v>
      </c>
      <c r="S84" s="420">
        <v>7.2743099999999998</v>
      </c>
      <c r="T84" s="262"/>
      <c r="U84" s="60" t="s">
        <v>13</v>
      </c>
      <c r="V84" s="485">
        <v>0.91826099999999999</v>
      </c>
      <c r="W84" s="485">
        <v>0.148449</v>
      </c>
      <c r="X84" s="485">
        <v>6.1856900000000001</v>
      </c>
      <c r="Y84" s="485">
        <v>4.5199999999999998E-4</v>
      </c>
      <c r="Z84" s="485">
        <v>0.56723400000000002</v>
      </c>
      <c r="AA84" s="485">
        <v>1.269288</v>
      </c>
      <c r="AB84" s="485">
        <v>0.56723400000000002</v>
      </c>
      <c r="AC84" s="485">
        <v>1.269288</v>
      </c>
      <c r="AD84" s="262"/>
      <c r="AE84" s="60" t="s">
        <v>13</v>
      </c>
      <c r="AF84" s="485">
        <v>4.0450929999999996</v>
      </c>
      <c r="AG84" s="485">
        <v>0.69327499999999997</v>
      </c>
      <c r="AH84" s="485">
        <v>5.8347610000000003</v>
      </c>
      <c r="AI84" s="485">
        <v>6.4000000000000005E-4</v>
      </c>
      <c r="AJ84" s="485">
        <v>2.4057580000000001</v>
      </c>
      <c r="AK84" s="485">
        <v>5.6844279999999996</v>
      </c>
      <c r="AL84" s="485">
        <v>2.4057580000000001</v>
      </c>
      <c r="AM84" s="485">
        <v>5.6844279999999996</v>
      </c>
      <c r="AO84" s="262"/>
    </row>
    <row r="85" spans="1:41">
      <c r="A85" s="394" t="s">
        <v>6</v>
      </c>
      <c r="B85" s="420">
        <v>-0.45300000000000001</v>
      </c>
      <c r="C85" s="420">
        <v>0.70713233499999995</v>
      </c>
      <c r="D85" s="420">
        <v>-0.64065499999999997</v>
      </c>
      <c r="E85" s="539">
        <v>0.54214314299999999</v>
      </c>
      <c r="F85" s="420">
        <v>-2.1251298699999999</v>
      </c>
      <c r="G85" s="420">
        <v>1.2190746669999999</v>
      </c>
      <c r="H85" s="420">
        <v>-2.1251298680000001</v>
      </c>
      <c r="I85" s="420">
        <v>1.2190746669999999</v>
      </c>
      <c r="J85" s="262"/>
      <c r="K85" s="394" t="s">
        <v>58</v>
      </c>
      <c r="L85" s="420">
        <v>2.822763428</v>
      </c>
      <c r="M85" s="420">
        <v>1.0919909999999999</v>
      </c>
      <c r="N85" s="420">
        <v>2.5849699240000001</v>
      </c>
      <c r="O85" s="420">
        <v>3.6209100000000001E-2</v>
      </c>
      <c r="P85" s="420">
        <v>0.24061545200000001</v>
      </c>
      <c r="Q85" s="420">
        <v>5.4049114039999999</v>
      </c>
      <c r="R85" s="420">
        <v>0.24062</v>
      </c>
      <c r="S85" s="420">
        <v>5.4049100000000001</v>
      </c>
      <c r="T85" s="262"/>
      <c r="U85" s="60" t="s">
        <v>5</v>
      </c>
      <c r="V85" s="485">
        <v>1.6357120000000001</v>
      </c>
      <c r="W85" s="485">
        <v>1.0179750000000001</v>
      </c>
      <c r="X85" s="485">
        <v>1.6068290000000001</v>
      </c>
      <c r="Y85" s="557">
        <v>0.15212700000000001</v>
      </c>
      <c r="Z85" s="485">
        <v>-0.77141999999999999</v>
      </c>
      <c r="AA85" s="485">
        <v>4.0428420000000003</v>
      </c>
      <c r="AB85" s="485">
        <v>-0.77141999999999999</v>
      </c>
      <c r="AC85" s="485">
        <v>4.0428420000000003</v>
      </c>
      <c r="AD85" s="262"/>
      <c r="AE85" s="60" t="s">
        <v>5</v>
      </c>
      <c r="AF85" s="485">
        <v>22.62576</v>
      </c>
      <c r="AG85" s="485">
        <v>4.978148</v>
      </c>
      <c r="AH85" s="485">
        <v>4.5450150000000002</v>
      </c>
      <c r="AI85" s="485">
        <v>2.6519999999999998E-3</v>
      </c>
      <c r="AJ85" s="485">
        <v>10.85431</v>
      </c>
      <c r="AK85" s="485">
        <v>34.397210000000001</v>
      </c>
      <c r="AL85" s="485">
        <v>10.85431</v>
      </c>
      <c r="AM85" s="485">
        <v>34.397210000000001</v>
      </c>
      <c r="AO85" s="262"/>
    </row>
    <row r="86" spans="1:41">
      <c r="A86" s="395" t="s">
        <v>7</v>
      </c>
      <c r="B86" s="534">
        <v>-0.20300000000000001</v>
      </c>
      <c r="C86" s="534">
        <v>0.26749072299999999</v>
      </c>
      <c r="D86" s="534">
        <v>-0.76018399999999997</v>
      </c>
      <c r="E86" s="534">
        <v>0.47196697100000001</v>
      </c>
      <c r="F86" s="534">
        <v>-0.83585726000000005</v>
      </c>
      <c r="G86" s="534">
        <v>0.429172836</v>
      </c>
      <c r="H86" s="534">
        <v>-0.83585726299999996</v>
      </c>
      <c r="I86" s="534">
        <v>0.429172836</v>
      </c>
      <c r="J86" s="262"/>
      <c r="K86" s="395" t="s">
        <v>7</v>
      </c>
      <c r="L86" s="534">
        <v>-0.18698207999999999</v>
      </c>
      <c r="M86" s="534">
        <v>0.32984799999999997</v>
      </c>
      <c r="N86" s="534">
        <v>-0.56687261899999997</v>
      </c>
      <c r="O86" s="534">
        <v>0.58850800000000003</v>
      </c>
      <c r="P86" s="534">
        <v>-0.96694981400000002</v>
      </c>
      <c r="Q86" s="534">
        <v>0.59298565999999997</v>
      </c>
      <c r="R86" s="534">
        <v>-0.96689999999999998</v>
      </c>
      <c r="S86" s="534">
        <v>0.59299000000000002</v>
      </c>
      <c r="T86" s="262"/>
      <c r="U86" s="396" t="s">
        <v>53</v>
      </c>
      <c r="V86" s="486">
        <v>1.661119</v>
      </c>
      <c r="W86" s="486">
        <v>0.37648799999999999</v>
      </c>
      <c r="X86" s="486">
        <v>4.4121410000000001</v>
      </c>
      <c r="Y86" s="486">
        <v>3.1110000000000001E-3</v>
      </c>
      <c r="Z86" s="486">
        <v>0.77086600000000005</v>
      </c>
      <c r="AA86" s="486">
        <v>2.5513720000000002</v>
      </c>
      <c r="AB86" s="486">
        <v>0.77086600000000005</v>
      </c>
      <c r="AC86" s="486">
        <v>2.5513720000000002</v>
      </c>
      <c r="AD86" s="262"/>
      <c r="AE86" s="396" t="s">
        <v>7</v>
      </c>
      <c r="AF86" s="486">
        <v>0.13800299999999999</v>
      </c>
      <c r="AG86" s="486">
        <v>0.23297999999999999</v>
      </c>
      <c r="AH86" s="486">
        <v>0.592337</v>
      </c>
      <c r="AI86" s="486">
        <v>0.57225400000000004</v>
      </c>
      <c r="AJ86" s="486">
        <v>-0.41291</v>
      </c>
      <c r="AK86" s="486">
        <v>0.68891199999999997</v>
      </c>
      <c r="AL86" s="486">
        <v>-0.41291</v>
      </c>
      <c r="AM86" s="486">
        <v>0.68891199999999997</v>
      </c>
      <c r="AO86" s="262"/>
    </row>
    <row r="87" spans="1:41">
      <c r="A87" s="394" t="s">
        <v>29</v>
      </c>
      <c r="B87" s="394" t="s">
        <v>29</v>
      </c>
      <c r="C87" s="394" t="s">
        <v>29</v>
      </c>
      <c r="D87" s="394" t="s">
        <v>29</v>
      </c>
      <c r="E87" s="394" t="s">
        <v>29</v>
      </c>
      <c r="F87" s="394" t="s">
        <v>29</v>
      </c>
      <c r="G87" s="394" t="s">
        <v>29</v>
      </c>
      <c r="H87" s="394" t="s">
        <v>29</v>
      </c>
      <c r="I87" s="394" t="s">
        <v>29</v>
      </c>
      <c r="J87" s="262"/>
      <c r="K87" s="394" t="s">
        <v>29</v>
      </c>
      <c r="L87" s="394" t="s">
        <v>29</v>
      </c>
      <c r="M87" s="394" t="s">
        <v>29</v>
      </c>
      <c r="N87" s="394" t="s">
        <v>29</v>
      </c>
      <c r="O87" s="394" t="s">
        <v>29</v>
      </c>
      <c r="P87" s="394" t="s">
        <v>29</v>
      </c>
      <c r="Q87" s="394" t="s">
        <v>29</v>
      </c>
      <c r="R87" s="394" t="s">
        <v>29</v>
      </c>
      <c r="S87" s="394" t="s">
        <v>29</v>
      </c>
      <c r="T87" s="262"/>
      <c r="U87" s="60"/>
      <c r="V87" s="60"/>
      <c r="W87" s="60"/>
      <c r="X87" s="60"/>
      <c r="Y87" s="60"/>
      <c r="Z87" s="60"/>
      <c r="AA87" s="60"/>
      <c r="AB87" s="60"/>
      <c r="AC87" s="60"/>
      <c r="AD87" s="262"/>
      <c r="AE87" s="60"/>
      <c r="AF87" s="60"/>
      <c r="AG87" s="60"/>
      <c r="AH87" s="60"/>
      <c r="AI87" s="60"/>
      <c r="AJ87" s="60"/>
      <c r="AK87" s="60"/>
      <c r="AL87" s="60"/>
      <c r="AM87" s="60"/>
      <c r="AO87" s="262"/>
    </row>
    <row r="88" spans="1:41">
      <c r="A88" s="639" t="s">
        <v>57</v>
      </c>
      <c r="B88" s="639"/>
      <c r="C88" s="639"/>
      <c r="D88" s="639"/>
      <c r="E88" s="639"/>
      <c r="F88" s="639"/>
      <c r="G88" s="639"/>
      <c r="H88" s="639"/>
      <c r="I88" s="639"/>
      <c r="J88" s="262"/>
      <c r="K88" s="639" t="s">
        <v>54</v>
      </c>
      <c r="L88" s="639"/>
      <c r="M88" s="639"/>
      <c r="N88" s="639"/>
      <c r="O88" s="639"/>
      <c r="P88" s="639"/>
      <c r="Q88" s="639"/>
      <c r="R88" s="639"/>
      <c r="S88" s="639"/>
      <c r="T88" s="262"/>
      <c r="U88" s="639" t="s">
        <v>59</v>
      </c>
      <c r="V88" s="639"/>
      <c r="W88" s="639"/>
      <c r="X88" s="639"/>
      <c r="Y88" s="639"/>
      <c r="Z88" s="639"/>
      <c r="AA88" s="639"/>
      <c r="AB88" s="639"/>
      <c r="AC88" s="639"/>
      <c r="AD88" s="262"/>
      <c r="AE88" s="639" t="s">
        <v>54</v>
      </c>
      <c r="AF88" s="639"/>
      <c r="AG88" s="639"/>
      <c r="AH88" s="639"/>
      <c r="AI88" s="639"/>
      <c r="AJ88" s="639"/>
      <c r="AK88" s="639"/>
      <c r="AL88" s="639"/>
      <c r="AM88" s="639"/>
      <c r="AO88" s="262"/>
    </row>
    <row r="89" spans="1:41">
      <c r="A89" s="394" t="s">
        <v>29</v>
      </c>
      <c r="B89" s="394" t="s">
        <v>29</v>
      </c>
      <c r="C89" s="394" t="s">
        <v>29</v>
      </c>
      <c r="D89" s="394" t="s">
        <v>29</v>
      </c>
      <c r="E89" s="394" t="s">
        <v>29</v>
      </c>
      <c r="F89" s="394" t="s">
        <v>29</v>
      </c>
      <c r="G89" s="394" t="s">
        <v>29</v>
      </c>
      <c r="H89" s="394" t="s">
        <v>29</v>
      </c>
      <c r="I89" s="394" t="s">
        <v>29</v>
      </c>
      <c r="J89" s="262"/>
      <c r="K89" s="394" t="s">
        <v>29</v>
      </c>
      <c r="L89" s="394" t="s">
        <v>29</v>
      </c>
      <c r="M89" s="394" t="s">
        <v>29</v>
      </c>
      <c r="N89" s="394" t="s">
        <v>29</v>
      </c>
      <c r="O89" s="394" t="s">
        <v>29</v>
      </c>
      <c r="P89" s="394" t="s">
        <v>29</v>
      </c>
      <c r="Q89" s="394" t="s">
        <v>29</v>
      </c>
      <c r="R89" s="394" t="s">
        <v>29</v>
      </c>
      <c r="S89" s="394" t="s">
        <v>29</v>
      </c>
      <c r="T89" s="262"/>
      <c r="U89" s="60"/>
      <c r="V89" s="60"/>
      <c r="W89" s="60"/>
      <c r="X89" s="60"/>
      <c r="Y89" s="60"/>
      <c r="Z89" s="60"/>
      <c r="AA89" s="60"/>
      <c r="AB89" s="60"/>
      <c r="AC89" s="60"/>
      <c r="AD89" s="262"/>
      <c r="AE89" s="60"/>
      <c r="AF89" s="60"/>
      <c r="AG89" s="60"/>
      <c r="AH89" s="60"/>
      <c r="AI89" s="60"/>
      <c r="AJ89" s="60"/>
      <c r="AK89" s="60"/>
      <c r="AL89" s="60"/>
      <c r="AM89" s="60"/>
      <c r="AO89" s="262"/>
    </row>
    <row r="90" spans="1:41">
      <c r="A90" s="394" t="s">
        <v>28</v>
      </c>
      <c r="B90" s="394"/>
      <c r="C90" s="394"/>
      <c r="D90" s="394" t="s">
        <v>29</v>
      </c>
      <c r="E90" s="394" t="s">
        <v>29</v>
      </c>
      <c r="F90" s="394" t="s">
        <v>29</v>
      </c>
      <c r="G90" s="394" t="s">
        <v>29</v>
      </c>
      <c r="H90" s="394" t="s">
        <v>29</v>
      </c>
      <c r="I90" s="394" t="s">
        <v>29</v>
      </c>
      <c r="J90" s="262"/>
      <c r="K90" s="394" t="s">
        <v>28</v>
      </c>
      <c r="L90" s="394"/>
      <c r="M90" s="394"/>
      <c r="N90" s="394" t="s">
        <v>29</v>
      </c>
      <c r="O90" s="394" t="s">
        <v>29</v>
      </c>
      <c r="P90" s="394" t="s">
        <v>29</v>
      </c>
      <c r="Q90" s="394" t="s">
        <v>29</v>
      </c>
      <c r="R90" s="394" t="s">
        <v>29</v>
      </c>
      <c r="S90" s="394" t="s">
        <v>29</v>
      </c>
      <c r="T90" s="262"/>
      <c r="U90" s="60" t="s">
        <v>28</v>
      </c>
      <c r="V90" s="60"/>
      <c r="W90" s="60"/>
      <c r="X90" s="60"/>
      <c r="Y90" s="60"/>
      <c r="Z90" s="60"/>
      <c r="AA90" s="60"/>
      <c r="AB90" s="60"/>
      <c r="AC90" s="60"/>
      <c r="AD90" s="262"/>
      <c r="AE90" s="60" t="s">
        <v>28</v>
      </c>
      <c r="AF90" s="60"/>
      <c r="AG90" s="60"/>
      <c r="AH90" s="60"/>
      <c r="AI90" s="60"/>
      <c r="AJ90" s="60"/>
      <c r="AK90" s="60"/>
      <c r="AL90" s="60"/>
      <c r="AM90" s="60"/>
      <c r="AO90" s="262"/>
    </row>
    <row r="91" spans="1:41">
      <c r="A91" s="394" t="s">
        <v>29</v>
      </c>
      <c r="B91" s="394" t="s">
        <v>29</v>
      </c>
      <c r="C91" s="394" t="s">
        <v>29</v>
      </c>
      <c r="D91" s="394" t="s">
        <v>29</v>
      </c>
      <c r="E91" s="394" t="s">
        <v>29</v>
      </c>
      <c r="F91" s="394" t="s">
        <v>29</v>
      </c>
      <c r="G91" s="394" t="s">
        <v>29</v>
      </c>
      <c r="H91" s="394" t="s">
        <v>29</v>
      </c>
      <c r="I91" s="394" t="s">
        <v>29</v>
      </c>
      <c r="J91" s="262"/>
      <c r="K91" s="394" t="s">
        <v>29</v>
      </c>
      <c r="L91" s="394" t="s">
        <v>29</v>
      </c>
      <c r="M91" s="394" t="s">
        <v>29</v>
      </c>
      <c r="N91" s="394" t="s">
        <v>29</v>
      </c>
      <c r="O91" s="394" t="s">
        <v>29</v>
      </c>
      <c r="P91" s="394" t="s">
        <v>29</v>
      </c>
      <c r="Q91" s="394" t="s">
        <v>29</v>
      </c>
      <c r="R91" s="394" t="s">
        <v>29</v>
      </c>
      <c r="S91" s="394" t="s">
        <v>29</v>
      </c>
      <c r="T91" s="262"/>
      <c r="U91" s="60"/>
      <c r="V91" s="60"/>
      <c r="W91" s="60"/>
      <c r="X91" s="60"/>
      <c r="Y91" s="60"/>
      <c r="Z91" s="60"/>
      <c r="AA91" s="60"/>
      <c r="AB91" s="60"/>
      <c r="AC91" s="60"/>
      <c r="AD91" s="262"/>
      <c r="AE91" s="60"/>
      <c r="AF91" s="60"/>
      <c r="AG91" s="60"/>
      <c r="AH91" s="60"/>
      <c r="AI91" s="60"/>
      <c r="AJ91" s="60"/>
      <c r="AK91" s="60"/>
      <c r="AL91" s="60"/>
      <c r="AM91" s="60"/>
      <c r="AO91" s="262"/>
    </row>
    <row r="92" spans="1:41">
      <c r="A92" s="635" t="s">
        <v>30</v>
      </c>
      <c r="B92" s="635"/>
      <c r="C92" s="635"/>
      <c r="D92" s="394" t="s">
        <v>29</v>
      </c>
      <c r="E92" s="394" t="s">
        <v>29</v>
      </c>
      <c r="F92" s="394" t="s">
        <v>29</v>
      </c>
      <c r="G92" s="394" t="s">
        <v>29</v>
      </c>
      <c r="H92" s="394" t="s">
        <v>29</v>
      </c>
      <c r="I92" s="394" t="s">
        <v>29</v>
      </c>
      <c r="J92" s="262"/>
      <c r="K92" s="635" t="s">
        <v>30</v>
      </c>
      <c r="L92" s="635"/>
      <c r="M92" s="635"/>
      <c r="N92" s="394" t="s">
        <v>29</v>
      </c>
      <c r="O92" s="394" t="s">
        <v>29</v>
      </c>
      <c r="P92" s="394" t="s">
        <v>29</v>
      </c>
      <c r="Q92" s="394" t="s">
        <v>29</v>
      </c>
      <c r="R92" s="394" t="s">
        <v>29</v>
      </c>
      <c r="S92" s="394" t="s">
        <v>29</v>
      </c>
      <c r="T92" s="262"/>
      <c r="U92" s="635" t="s">
        <v>30</v>
      </c>
      <c r="V92" s="635"/>
      <c r="W92" s="635"/>
      <c r="X92" s="60"/>
      <c r="Y92" s="60"/>
      <c r="Z92" s="60"/>
      <c r="AA92" s="60"/>
      <c r="AB92" s="60"/>
      <c r="AC92" s="60"/>
      <c r="AD92" s="262"/>
      <c r="AE92" s="635" t="s">
        <v>30</v>
      </c>
      <c r="AF92" s="635"/>
      <c r="AG92" s="635"/>
      <c r="AH92" s="60"/>
      <c r="AI92" s="60"/>
      <c r="AJ92" s="60"/>
      <c r="AK92" s="60"/>
      <c r="AL92" s="60"/>
      <c r="AM92" s="60"/>
      <c r="AO92" s="262"/>
    </row>
    <row r="93" spans="1:41">
      <c r="A93" s="631" t="s">
        <v>31</v>
      </c>
      <c r="B93" s="631"/>
      <c r="C93" s="420">
        <v>0.98709999999999998</v>
      </c>
      <c r="D93" s="394" t="s">
        <v>29</v>
      </c>
      <c r="E93" s="394" t="s">
        <v>29</v>
      </c>
      <c r="F93" s="394" t="s">
        <v>29</v>
      </c>
      <c r="G93" s="394" t="s">
        <v>29</v>
      </c>
      <c r="H93" s="394" t="s">
        <v>29</v>
      </c>
      <c r="I93" s="394" t="s">
        <v>29</v>
      </c>
      <c r="J93" s="262"/>
      <c r="K93" s="631" t="s">
        <v>31</v>
      </c>
      <c r="L93" s="631"/>
      <c r="M93" s="28">
        <v>0.95981975200000003</v>
      </c>
      <c r="N93" s="394" t="s">
        <v>29</v>
      </c>
      <c r="O93" s="394" t="s">
        <v>29</v>
      </c>
      <c r="P93" s="394" t="s">
        <v>29</v>
      </c>
      <c r="Q93" s="394" t="s">
        <v>29</v>
      </c>
      <c r="R93" s="394" t="s">
        <v>29</v>
      </c>
      <c r="S93" s="394" t="s">
        <v>29</v>
      </c>
      <c r="T93" s="262"/>
      <c r="U93" s="631" t="s">
        <v>31</v>
      </c>
      <c r="V93" s="631"/>
      <c r="W93" s="487">
        <v>0.99727100000000002</v>
      </c>
      <c r="X93" s="60"/>
      <c r="Y93" s="60"/>
      <c r="Z93" s="60"/>
      <c r="AA93" s="60"/>
      <c r="AB93" s="60"/>
      <c r="AC93" s="60"/>
      <c r="AD93" s="262"/>
      <c r="AE93" s="631" t="s">
        <v>31</v>
      </c>
      <c r="AF93" s="631"/>
      <c r="AG93" s="487">
        <v>0.97652499999999998</v>
      </c>
      <c r="AH93" s="487"/>
      <c r="AI93" s="60"/>
      <c r="AJ93" s="60"/>
      <c r="AK93" s="60"/>
      <c r="AL93" s="60"/>
      <c r="AM93" s="60"/>
      <c r="AO93" s="262"/>
    </row>
    <row r="94" spans="1:41">
      <c r="A94" s="628" t="s">
        <v>32</v>
      </c>
      <c r="B94" s="628"/>
      <c r="C94" s="420">
        <v>0.97430000000000005</v>
      </c>
      <c r="D94" s="394" t="s">
        <v>29</v>
      </c>
      <c r="E94" s="394" t="s">
        <v>29</v>
      </c>
      <c r="F94" s="394" t="s">
        <v>29</v>
      </c>
      <c r="G94" s="394" t="s">
        <v>29</v>
      </c>
      <c r="H94" s="394" t="s">
        <v>29</v>
      </c>
      <c r="I94" s="394" t="s">
        <v>29</v>
      </c>
      <c r="J94" s="262"/>
      <c r="K94" s="628" t="s">
        <v>32</v>
      </c>
      <c r="L94" s="628"/>
      <c r="M94" s="28">
        <v>0.92125395700000001</v>
      </c>
      <c r="N94" s="394" t="s">
        <v>29</v>
      </c>
      <c r="O94" s="394" t="s">
        <v>29</v>
      </c>
      <c r="P94" s="394" t="s">
        <v>29</v>
      </c>
      <c r="Q94" s="394" t="s">
        <v>29</v>
      </c>
      <c r="R94" s="394" t="s">
        <v>29</v>
      </c>
      <c r="S94" s="394" t="s">
        <v>29</v>
      </c>
      <c r="T94" s="262"/>
      <c r="U94" s="628" t="s">
        <v>32</v>
      </c>
      <c r="V94" s="628"/>
      <c r="W94" s="487">
        <v>0.99455000000000005</v>
      </c>
      <c r="X94" s="60"/>
      <c r="Y94" s="60"/>
      <c r="Z94" s="60"/>
      <c r="AA94" s="60"/>
      <c r="AB94" s="60"/>
      <c r="AC94" s="60"/>
      <c r="AD94" s="262"/>
      <c r="AE94" s="628" t="s">
        <v>32</v>
      </c>
      <c r="AF94" s="628"/>
      <c r="AG94" s="487">
        <v>0.9536</v>
      </c>
      <c r="AH94" s="487"/>
      <c r="AI94" s="60"/>
      <c r="AJ94" s="60"/>
      <c r="AK94" s="60"/>
      <c r="AL94" s="60"/>
      <c r="AM94" s="60"/>
      <c r="AO94" s="262"/>
    </row>
    <row r="95" spans="1:41">
      <c r="A95" s="629" t="s">
        <v>33</v>
      </c>
      <c r="B95" s="628"/>
      <c r="C95" s="420">
        <v>0.9647</v>
      </c>
      <c r="D95" s="394" t="s">
        <v>29</v>
      </c>
      <c r="E95" s="394" t="s">
        <v>29</v>
      </c>
      <c r="F95" s="394" t="s">
        <v>29</v>
      </c>
      <c r="G95" s="394" t="s">
        <v>29</v>
      </c>
      <c r="H95" s="394" t="s">
        <v>29</v>
      </c>
      <c r="I95" s="394" t="s">
        <v>29</v>
      </c>
      <c r="J95" s="262"/>
      <c r="K95" s="629" t="s">
        <v>33</v>
      </c>
      <c r="L95" s="628"/>
      <c r="M95" s="28">
        <v>0.89172419000000003</v>
      </c>
      <c r="N95" s="394" t="s">
        <v>29</v>
      </c>
      <c r="O95" s="394" t="s">
        <v>29</v>
      </c>
      <c r="P95" s="394" t="s">
        <v>29</v>
      </c>
      <c r="Q95" s="394" t="s">
        <v>29</v>
      </c>
      <c r="R95" s="394" t="s">
        <v>29</v>
      </c>
      <c r="S95" s="394" t="s">
        <v>29</v>
      </c>
      <c r="T95" s="262"/>
      <c r="U95" s="629" t="s">
        <v>33</v>
      </c>
      <c r="V95" s="628"/>
      <c r="W95" s="487">
        <v>0.992506</v>
      </c>
      <c r="X95" s="60"/>
      <c r="Y95" s="188" t="s">
        <v>60</v>
      </c>
      <c r="Z95" s="60"/>
      <c r="AA95" s="60"/>
      <c r="AB95" s="60"/>
      <c r="AC95" s="60"/>
      <c r="AD95" s="262"/>
      <c r="AE95" s="629" t="s">
        <v>33</v>
      </c>
      <c r="AF95" s="628"/>
      <c r="AG95" s="487">
        <v>0.93620099999999995</v>
      </c>
      <c r="AH95" s="487"/>
      <c r="AI95" s="60"/>
      <c r="AJ95" s="60"/>
      <c r="AK95" s="60"/>
      <c r="AL95" s="60"/>
      <c r="AM95" s="60"/>
      <c r="AO95" s="262"/>
    </row>
    <row r="96" spans="1:41">
      <c r="A96" s="628" t="s">
        <v>34</v>
      </c>
      <c r="B96" s="628"/>
      <c r="C96" s="420">
        <v>2.7300000000000001E-2</v>
      </c>
      <c r="D96" s="394" t="s">
        <v>29</v>
      </c>
      <c r="E96" s="394" t="s">
        <v>29</v>
      </c>
      <c r="F96" s="394" t="s">
        <v>29</v>
      </c>
      <c r="G96" s="394" t="s">
        <v>29</v>
      </c>
      <c r="H96" s="394" t="s">
        <v>29</v>
      </c>
      <c r="I96" s="394" t="s">
        <v>29</v>
      </c>
      <c r="J96" s="262"/>
      <c r="K96" s="628" t="s">
        <v>34</v>
      </c>
      <c r="L96" s="628"/>
      <c r="M96" s="28">
        <v>3.8573709999999997E-2</v>
      </c>
      <c r="N96" s="394" t="s">
        <v>29</v>
      </c>
      <c r="O96" s="394" t="s">
        <v>29</v>
      </c>
      <c r="P96" s="394" t="s">
        <v>29</v>
      </c>
      <c r="Q96" s="394" t="s">
        <v>29</v>
      </c>
      <c r="R96" s="394" t="s">
        <v>29</v>
      </c>
      <c r="S96" s="394" t="s">
        <v>29</v>
      </c>
      <c r="T96" s="262"/>
      <c r="U96" s="628" t="s">
        <v>34</v>
      </c>
      <c r="V96" s="628"/>
      <c r="W96" s="487">
        <v>1.9566E-2</v>
      </c>
      <c r="X96" s="60"/>
      <c r="Y96" s="248">
        <f>W96/AVERAGE(W28:W39)</f>
        <v>2.2448935163337197E-3</v>
      </c>
      <c r="Z96" s="60"/>
      <c r="AA96" s="60"/>
      <c r="AB96" s="60"/>
      <c r="AC96" s="60"/>
      <c r="AD96" s="262"/>
      <c r="AE96" s="628" t="s">
        <v>34</v>
      </c>
      <c r="AF96" s="628"/>
      <c r="AG96" s="487">
        <v>4.1487999999999997E-2</v>
      </c>
      <c r="AH96" s="487"/>
      <c r="AI96" s="60"/>
      <c r="AJ96" s="60"/>
      <c r="AK96" s="60"/>
      <c r="AL96" s="60"/>
      <c r="AM96" s="60"/>
      <c r="AO96" s="262"/>
    </row>
    <row r="97" spans="1:41">
      <c r="A97" s="630" t="s">
        <v>35</v>
      </c>
      <c r="B97" s="630"/>
      <c r="C97" s="534">
        <v>12</v>
      </c>
      <c r="D97" s="394" t="s">
        <v>29</v>
      </c>
      <c r="E97" s="394" t="s">
        <v>29</v>
      </c>
      <c r="F97" s="394" t="s">
        <v>29</v>
      </c>
      <c r="G97" s="394" t="s">
        <v>29</v>
      </c>
      <c r="H97" s="394" t="s">
        <v>29</v>
      </c>
      <c r="I97" s="394" t="s">
        <v>29</v>
      </c>
      <c r="J97" s="262"/>
      <c r="K97" s="630" t="s">
        <v>35</v>
      </c>
      <c r="L97" s="630"/>
      <c r="M97" s="33">
        <v>12</v>
      </c>
      <c r="N97" s="394" t="s">
        <v>29</v>
      </c>
      <c r="O97" s="394" t="s">
        <v>29</v>
      </c>
      <c r="P97" s="394" t="s">
        <v>29</v>
      </c>
      <c r="Q97" s="394" t="s">
        <v>29</v>
      </c>
      <c r="R97" s="394" t="s">
        <v>29</v>
      </c>
      <c r="S97" s="394" t="s">
        <v>29</v>
      </c>
      <c r="T97" s="262"/>
      <c r="U97" s="630" t="s">
        <v>35</v>
      </c>
      <c r="V97" s="630"/>
      <c r="W97" s="488">
        <v>12</v>
      </c>
      <c r="X97" s="60"/>
      <c r="Y97" s="60"/>
      <c r="Z97" s="60"/>
      <c r="AA97" s="60"/>
      <c r="AB97" s="60"/>
      <c r="AC97" s="60"/>
      <c r="AD97" s="262"/>
      <c r="AE97" s="630" t="s">
        <v>35</v>
      </c>
      <c r="AF97" s="630"/>
      <c r="AG97" s="488">
        <v>12</v>
      </c>
      <c r="AH97" s="487"/>
      <c r="AI97" s="60"/>
      <c r="AJ97" s="60"/>
      <c r="AK97" s="60"/>
      <c r="AL97" s="60"/>
      <c r="AM97" s="60"/>
      <c r="AO97" s="262"/>
    </row>
    <row r="98" spans="1:41">
      <c r="A98" s="394" t="s">
        <v>29</v>
      </c>
      <c r="B98" s="394" t="s">
        <v>29</v>
      </c>
      <c r="C98" s="394" t="s">
        <v>29</v>
      </c>
      <c r="D98" s="394" t="s">
        <v>29</v>
      </c>
      <c r="E98" s="394" t="s">
        <v>29</v>
      </c>
      <c r="F98" s="394" t="s">
        <v>29</v>
      </c>
      <c r="G98" s="394" t="s">
        <v>29</v>
      </c>
      <c r="H98" s="394" t="s">
        <v>29</v>
      </c>
      <c r="I98" s="394" t="s">
        <v>29</v>
      </c>
      <c r="J98" s="262"/>
      <c r="K98" s="394" t="s">
        <v>29</v>
      </c>
      <c r="L98" s="394" t="s">
        <v>29</v>
      </c>
      <c r="M98" s="394" t="s">
        <v>29</v>
      </c>
      <c r="N98" s="394" t="s">
        <v>29</v>
      </c>
      <c r="O98" s="394" t="s">
        <v>29</v>
      </c>
      <c r="P98" s="394" t="s">
        <v>29</v>
      </c>
      <c r="Q98" s="394" t="s">
        <v>29</v>
      </c>
      <c r="R98" s="394" t="s">
        <v>29</v>
      </c>
      <c r="S98" s="394" t="s">
        <v>29</v>
      </c>
      <c r="T98" s="262"/>
      <c r="U98" s="60"/>
      <c r="V98" s="60"/>
      <c r="W98" s="60"/>
      <c r="X98" s="60"/>
      <c r="Y98" s="60"/>
      <c r="Z98" s="60"/>
      <c r="AA98" s="60"/>
      <c r="AB98" s="60"/>
      <c r="AC98" s="60"/>
      <c r="AD98" s="262"/>
      <c r="AE98" s="60"/>
      <c r="AF98" s="60"/>
      <c r="AG98" s="60"/>
      <c r="AH98" s="60"/>
      <c r="AI98" s="60"/>
      <c r="AJ98" s="60"/>
      <c r="AK98" s="60"/>
      <c r="AL98" s="60"/>
      <c r="AM98" s="60"/>
      <c r="AO98" s="262"/>
    </row>
    <row r="99" spans="1:41">
      <c r="A99" s="394" t="s">
        <v>36</v>
      </c>
      <c r="B99" s="394"/>
      <c r="C99" s="394"/>
      <c r="D99" s="394" t="s">
        <v>29</v>
      </c>
      <c r="E99" s="394" t="s">
        <v>29</v>
      </c>
      <c r="F99" s="394" t="s">
        <v>29</v>
      </c>
      <c r="G99" s="394" t="s">
        <v>29</v>
      </c>
      <c r="H99" s="394" t="s">
        <v>29</v>
      </c>
      <c r="I99" s="394" t="s">
        <v>29</v>
      </c>
      <c r="J99" s="262"/>
      <c r="K99" s="394" t="s">
        <v>36</v>
      </c>
      <c r="L99" s="394"/>
      <c r="M99" s="394" t="s">
        <v>29</v>
      </c>
      <c r="N99" s="394" t="s">
        <v>29</v>
      </c>
      <c r="O99" s="394" t="s">
        <v>29</v>
      </c>
      <c r="P99" s="394" t="s">
        <v>29</v>
      </c>
      <c r="Q99" s="394" t="s">
        <v>29</v>
      </c>
      <c r="R99" s="394" t="s">
        <v>29</v>
      </c>
      <c r="S99" s="394" t="s">
        <v>29</v>
      </c>
      <c r="T99" s="262"/>
      <c r="U99" s="60" t="s">
        <v>36</v>
      </c>
      <c r="V99" s="60"/>
      <c r="W99" s="60"/>
      <c r="X99" s="60"/>
      <c r="Y99" s="60"/>
      <c r="Z99" s="60"/>
      <c r="AA99" s="60"/>
      <c r="AB99" s="60"/>
      <c r="AC99" s="60"/>
      <c r="AD99" s="262"/>
      <c r="AE99" s="60" t="s">
        <v>36</v>
      </c>
      <c r="AF99" s="60"/>
      <c r="AG99" s="60"/>
      <c r="AH99" s="60"/>
      <c r="AI99" s="60"/>
      <c r="AJ99" s="60"/>
      <c r="AK99" s="60"/>
      <c r="AL99" s="60"/>
      <c r="AM99" s="60"/>
      <c r="AO99" s="262"/>
    </row>
    <row r="100" spans="1:41">
      <c r="A100" s="245" t="s">
        <v>29</v>
      </c>
      <c r="B100" s="537" t="s">
        <v>37</v>
      </c>
      <c r="C100" s="537" t="s">
        <v>38</v>
      </c>
      <c r="D100" s="537" t="s">
        <v>39</v>
      </c>
      <c r="E100" s="537" t="s">
        <v>40</v>
      </c>
      <c r="F100" s="537" t="s">
        <v>41</v>
      </c>
      <c r="G100" s="394" t="s">
        <v>29</v>
      </c>
      <c r="H100" s="394" t="s">
        <v>29</v>
      </c>
      <c r="I100" s="394" t="s">
        <v>29</v>
      </c>
      <c r="J100" s="262"/>
      <c r="K100" s="245" t="s">
        <v>29</v>
      </c>
      <c r="L100" s="535" t="s">
        <v>37</v>
      </c>
      <c r="M100" s="535" t="s">
        <v>38</v>
      </c>
      <c r="N100" s="535" t="s">
        <v>39</v>
      </c>
      <c r="O100" s="535" t="s">
        <v>40</v>
      </c>
      <c r="P100" s="535" t="s">
        <v>41</v>
      </c>
      <c r="Q100" s="394" t="s">
        <v>29</v>
      </c>
      <c r="R100" s="394" t="s">
        <v>29</v>
      </c>
      <c r="S100" s="394" t="s">
        <v>29</v>
      </c>
      <c r="T100" s="262"/>
      <c r="U100" s="186" t="s">
        <v>29</v>
      </c>
      <c r="V100" s="483" t="s">
        <v>37</v>
      </c>
      <c r="W100" s="483" t="s">
        <v>38</v>
      </c>
      <c r="X100" s="483" t="s">
        <v>39</v>
      </c>
      <c r="Y100" s="483" t="s">
        <v>40</v>
      </c>
      <c r="Z100" s="483" t="s">
        <v>41</v>
      </c>
      <c r="AA100" s="60"/>
      <c r="AB100" s="60"/>
      <c r="AC100" s="60"/>
      <c r="AD100" s="262"/>
      <c r="AE100" s="186" t="s">
        <v>29</v>
      </c>
      <c r="AF100" s="483" t="s">
        <v>37</v>
      </c>
      <c r="AG100" s="483" t="s">
        <v>38</v>
      </c>
      <c r="AH100" s="483" t="s">
        <v>39</v>
      </c>
      <c r="AI100" s="483" t="s">
        <v>40</v>
      </c>
      <c r="AJ100" s="483" t="s">
        <v>41</v>
      </c>
      <c r="AK100" s="60"/>
      <c r="AL100" s="60"/>
      <c r="AM100" s="60"/>
      <c r="AO100" s="262"/>
    </row>
    <row r="101" spans="1:41">
      <c r="A101" s="394" t="s">
        <v>42</v>
      </c>
      <c r="B101" s="420">
        <v>3</v>
      </c>
      <c r="C101" s="420">
        <v>0.22584860000000001</v>
      </c>
      <c r="D101" s="420">
        <v>7.5283000000000003E-2</v>
      </c>
      <c r="E101" s="420">
        <v>101.0863123</v>
      </c>
      <c r="F101" s="538">
        <v>1.0628E-6</v>
      </c>
      <c r="G101" s="394" t="s">
        <v>29</v>
      </c>
      <c r="H101" s="394" t="s">
        <v>29</v>
      </c>
      <c r="I101" s="394" t="s">
        <v>29</v>
      </c>
      <c r="J101" s="262"/>
      <c r="K101" s="394" t="s">
        <v>42</v>
      </c>
      <c r="L101" s="28">
        <v>3</v>
      </c>
      <c r="M101" s="28">
        <v>0.13925899999999999</v>
      </c>
      <c r="N101" s="28">
        <v>4.6419684000000003E-2</v>
      </c>
      <c r="O101" s="28">
        <v>31.197469000000002</v>
      </c>
      <c r="P101" s="536">
        <v>9.1595900000000002E-5</v>
      </c>
      <c r="Q101" s="394" t="s">
        <v>29</v>
      </c>
      <c r="R101" s="394" t="s">
        <v>29</v>
      </c>
      <c r="S101" s="394" t="s">
        <v>29</v>
      </c>
      <c r="T101" s="262"/>
      <c r="U101" s="60" t="s">
        <v>42</v>
      </c>
      <c r="V101" s="487">
        <v>3</v>
      </c>
      <c r="W101" s="487">
        <v>0.55891500000000005</v>
      </c>
      <c r="X101" s="487">
        <v>0.186305</v>
      </c>
      <c r="Y101" s="487">
        <v>486.64440000000002</v>
      </c>
      <c r="Z101" s="555">
        <v>2.1700000000000002E-9</v>
      </c>
      <c r="AA101" s="60"/>
      <c r="AB101" s="60"/>
      <c r="AC101" s="60"/>
      <c r="AD101" s="262"/>
      <c r="AE101" s="60" t="s">
        <v>42</v>
      </c>
      <c r="AF101" s="487">
        <v>3</v>
      </c>
      <c r="AG101" s="487">
        <v>0.28299999999999997</v>
      </c>
      <c r="AH101" s="487">
        <v>9.4333E-2</v>
      </c>
      <c r="AI101" s="487">
        <v>54.805100000000003</v>
      </c>
      <c r="AJ101" s="555">
        <v>1.1199999999999999E-5</v>
      </c>
      <c r="AK101" s="60"/>
      <c r="AL101" s="60"/>
      <c r="AM101" s="60"/>
      <c r="AO101" s="262"/>
    </row>
    <row r="102" spans="1:41">
      <c r="A102" s="394" t="s">
        <v>43</v>
      </c>
      <c r="B102" s="420">
        <v>8</v>
      </c>
      <c r="C102" s="420">
        <v>5.9579079999999996E-3</v>
      </c>
      <c r="D102" s="420">
        <v>7.45E-4</v>
      </c>
      <c r="E102" s="420" t="s">
        <v>29</v>
      </c>
      <c r="F102" s="420" t="s">
        <v>29</v>
      </c>
      <c r="G102" s="394" t="s">
        <v>29</v>
      </c>
      <c r="H102" s="394" t="s">
        <v>29</v>
      </c>
      <c r="I102" s="394" t="s">
        <v>29</v>
      </c>
      <c r="J102" s="262"/>
      <c r="K102" s="394" t="s">
        <v>43</v>
      </c>
      <c r="L102" s="28">
        <v>8</v>
      </c>
      <c r="M102" s="28">
        <v>1.1903E-2</v>
      </c>
      <c r="N102" s="28">
        <v>1.4879310000000001E-3</v>
      </c>
      <c r="O102" s="28" t="s">
        <v>29</v>
      </c>
      <c r="P102" s="28" t="s">
        <v>29</v>
      </c>
      <c r="Q102" s="394" t="s">
        <v>29</v>
      </c>
      <c r="R102" s="394" t="s">
        <v>29</v>
      </c>
      <c r="S102" s="394" t="s">
        <v>29</v>
      </c>
      <c r="T102" s="262"/>
      <c r="U102" s="60" t="s">
        <v>43</v>
      </c>
      <c r="V102" s="487">
        <v>8</v>
      </c>
      <c r="W102" s="487">
        <v>3.0630000000000002E-3</v>
      </c>
      <c r="X102" s="487">
        <v>3.8299999999999999E-4</v>
      </c>
      <c r="Y102" s="487"/>
      <c r="Z102" s="487"/>
      <c r="AA102" s="60"/>
      <c r="AB102" s="60"/>
      <c r="AC102" s="60"/>
      <c r="AD102" s="262"/>
      <c r="AE102" s="60" t="s">
        <v>43</v>
      </c>
      <c r="AF102" s="487">
        <v>8</v>
      </c>
      <c r="AG102" s="487">
        <v>1.3769999999999999E-2</v>
      </c>
      <c r="AH102" s="487">
        <v>1.7210000000000001E-3</v>
      </c>
      <c r="AI102" s="487"/>
      <c r="AJ102" s="487"/>
      <c r="AK102" s="60"/>
      <c r="AL102" s="60"/>
      <c r="AM102" s="60"/>
      <c r="AO102" s="262"/>
    </row>
    <row r="103" spans="1:41">
      <c r="A103" s="395" t="s">
        <v>44</v>
      </c>
      <c r="B103" s="534">
        <v>11</v>
      </c>
      <c r="C103" s="534">
        <v>0.23180650799999999</v>
      </c>
      <c r="D103" s="534" t="s">
        <v>29</v>
      </c>
      <c r="E103" s="534" t="s">
        <v>29</v>
      </c>
      <c r="F103" s="534" t="s">
        <v>29</v>
      </c>
      <c r="G103" s="394" t="s">
        <v>29</v>
      </c>
      <c r="H103" s="394" t="s">
        <v>29</v>
      </c>
      <c r="I103" s="394" t="s">
        <v>29</v>
      </c>
      <c r="J103" s="262"/>
      <c r="K103" s="395" t="s">
        <v>44</v>
      </c>
      <c r="L103" s="33">
        <v>11</v>
      </c>
      <c r="M103" s="33">
        <v>0.15116299999999999</v>
      </c>
      <c r="N103" s="33" t="s">
        <v>29</v>
      </c>
      <c r="O103" s="33" t="s">
        <v>29</v>
      </c>
      <c r="P103" s="33" t="s">
        <v>29</v>
      </c>
      <c r="Q103" s="394" t="s">
        <v>29</v>
      </c>
      <c r="R103" s="394" t="s">
        <v>29</v>
      </c>
      <c r="S103" s="394" t="s">
        <v>29</v>
      </c>
      <c r="T103" s="262"/>
      <c r="U103" s="396" t="s">
        <v>44</v>
      </c>
      <c r="V103" s="488">
        <v>11</v>
      </c>
      <c r="W103" s="488">
        <v>0.56197799999999998</v>
      </c>
      <c r="X103" s="488" t="s">
        <v>29</v>
      </c>
      <c r="Y103" s="488" t="s">
        <v>29</v>
      </c>
      <c r="Z103" s="488" t="s">
        <v>29</v>
      </c>
      <c r="AA103" s="60"/>
      <c r="AB103" s="60"/>
      <c r="AC103" s="60"/>
      <c r="AD103" s="262"/>
      <c r="AE103" s="396" t="s">
        <v>44</v>
      </c>
      <c r="AF103" s="488">
        <v>11</v>
      </c>
      <c r="AG103" s="488">
        <v>0.29676999999999998</v>
      </c>
      <c r="AH103" s="488" t="s">
        <v>29</v>
      </c>
      <c r="AI103" s="488" t="s">
        <v>29</v>
      </c>
      <c r="AJ103" s="488" t="s">
        <v>29</v>
      </c>
      <c r="AK103" s="60"/>
      <c r="AL103" s="60"/>
      <c r="AM103" s="60"/>
      <c r="AO103" s="262"/>
    </row>
    <row r="104" spans="1:41">
      <c r="A104" s="394" t="s">
        <v>29</v>
      </c>
      <c r="B104" s="394" t="s">
        <v>29</v>
      </c>
      <c r="C104" s="394" t="s">
        <v>29</v>
      </c>
      <c r="D104" s="394" t="s">
        <v>29</v>
      </c>
      <c r="E104" s="394" t="s">
        <v>29</v>
      </c>
      <c r="F104" s="394" t="s">
        <v>29</v>
      </c>
      <c r="G104" s="394" t="s">
        <v>29</v>
      </c>
      <c r="H104" s="394" t="s">
        <v>29</v>
      </c>
      <c r="I104" s="394" t="s">
        <v>29</v>
      </c>
      <c r="J104" s="262"/>
      <c r="K104" s="394" t="s">
        <v>29</v>
      </c>
      <c r="L104" s="394" t="s">
        <v>29</v>
      </c>
      <c r="M104" s="394" t="s">
        <v>29</v>
      </c>
      <c r="N104" s="394" t="s">
        <v>29</v>
      </c>
      <c r="O104" s="394" t="s">
        <v>29</v>
      </c>
      <c r="P104" s="394" t="s">
        <v>29</v>
      </c>
      <c r="Q104" s="394" t="s">
        <v>29</v>
      </c>
      <c r="R104" s="394" t="s">
        <v>29</v>
      </c>
      <c r="S104" s="394" t="s">
        <v>29</v>
      </c>
      <c r="T104" s="262"/>
      <c r="U104" s="60"/>
      <c r="V104" s="60"/>
      <c r="W104" s="60"/>
      <c r="X104" s="60"/>
      <c r="Y104" s="60"/>
      <c r="Z104" s="60"/>
      <c r="AA104" s="60"/>
      <c r="AB104" s="60"/>
      <c r="AC104" s="60"/>
      <c r="AD104" s="262"/>
      <c r="AE104" s="60"/>
      <c r="AF104" s="60"/>
      <c r="AG104" s="60"/>
      <c r="AH104" s="60"/>
      <c r="AI104" s="60"/>
      <c r="AJ104" s="60"/>
      <c r="AK104" s="60"/>
      <c r="AL104" s="60"/>
      <c r="AM104" s="60"/>
      <c r="AO104" s="262"/>
    </row>
    <row r="105" spans="1:41">
      <c r="A105" s="245" t="s">
        <v>29</v>
      </c>
      <c r="B105" s="540" t="s">
        <v>45</v>
      </c>
      <c r="C105" s="540" t="s">
        <v>34</v>
      </c>
      <c r="D105" s="537" t="s">
        <v>46</v>
      </c>
      <c r="E105" s="537" t="s">
        <v>47</v>
      </c>
      <c r="F105" s="537" t="s">
        <v>48</v>
      </c>
      <c r="G105" s="537" t="s">
        <v>49</v>
      </c>
      <c r="H105" s="537" t="s">
        <v>50</v>
      </c>
      <c r="I105" s="537" t="s">
        <v>51</v>
      </c>
      <c r="J105" s="262"/>
      <c r="K105" s="245" t="s">
        <v>29</v>
      </c>
      <c r="L105" s="540" t="s">
        <v>45</v>
      </c>
      <c r="M105" s="540" t="s">
        <v>34</v>
      </c>
      <c r="N105" s="537" t="s">
        <v>46</v>
      </c>
      <c r="O105" s="537" t="s">
        <v>47</v>
      </c>
      <c r="P105" s="537" t="s">
        <v>48</v>
      </c>
      <c r="Q105" s="537" t="s">
        <v>49</v>
      </c>
      <c r="R105" s="537" t="s">
        <v>50</v>
      </c>
      <c r="S105" s="537" t="s">
        <v>51</v>
      </c>
      <c r="T105" s="262"/>
      <c r="U105" s="186" t="s">
        <v>29</v>
      </c>
      <c r="V105" s="490" t="s">
        <v>45</v>
      </c>
      <c r="W105" s="490" t="s">
        <v>34</v>
      </c>
      <c r="X105" s="484" t="s">
        <v>46</v>
      </c>
      <c r="Y105" s="484" t="s">
        <v>47</v>
      </c>
      <c r="Z105" s="484" t="s">
        <v>48</v>
      </c>
      <c r="AA105" s="484" t="s">
        <v>49</v>
      </c>
      <c r="AB105" s="484" t="s">
        <v>50</v>
      </c>
      <c r="AC105" s="490" t="s">
        <v>51</v>
      </c>
      <c r="AD105" s="262"/>
      <c r="AE105" s="186" t="s">
        <v>29</v>
      </c>
      <c r="AF105" s="484" t="s">
        <v>45</v>
      </c>
      <c r="AG105" s="484" t="s">
        <v>34</v>
      </c>
      <c r="AH105" s="484" t="s">
        <v>46</v>
      </c>
      <c r="AI105" s="484" t="s">
        <v>47</v>
      </c>
      <c r="AJ105" s="484" t="s">
        <v>48</v>
      </c>
      <c r="AK105" s="484" t="s">
        <v>49</v>
      </c>
      <c r="AL105" s="484" t="s">
        <v>50</v>
      </c>
      <c r="AM105" s="484" t="s">
        <v>51</v>
      </c>
      <c r="AO105" s="262"/>
    </row>
    <row r="106" spans="1:41">
      <c r="A106" s="394" t="s">
        <v>52</v>
      </c>
      <c r="B106" s="420">
        <v>-9.5519999999999996</v>
      </c>
      <c r="C106" s="420">
        <v>6.7377983730000004</v>
      </c>
      <c r="D106" s="420">
        <v>-1.4177040000000001</v>
      </c>
      <c r="E106" s="420">
        <v>0.19402868300000001</v>
      </c>
      <c r="F106" s="420">
        <v>-25.089596</v>
      </c>
      <c r="G106" s="420">
        <v>5.9851857879999999</v>
      </c>
      <c r="H106" s="420">
        <v>-25.089596029999999</v>
      </c>
      <c r="I106" s="420">
        <v>5.9851857879999999</v>
      </c>
      <c r="J106" s="262"/>
      <c r="K106" s="394" t="s">
        <v>52</v>
      </c>
      <c r="L106" s="420">
        <v>-29.530537200000001</v>
      </c>
      <c r="M106" s="420">
        <v>6.9065909999999997</v>
      </c>
      <c r="N106" s="420">
        <v>-4.2757039030000001</v>
      </c>
      <c r="O106" s="420">
        <v>2.7031999999999998E-3</v>
      </c>
      <c r="P106" s="420">
        <v>-45.457164159999998</v>
      </c>
      <c r="Q106" s="420">
        <v>-13.60391029</v>
      </c>
      <c r="R106" s="420">
        <v>-45.457000000000001</v>
      </c>
      <c r="S106" s="420">
        <v>-13.603999999999999</v>
      </c>
      <c r="T106" s="262"/>
      <c r="U106" s="60" t="s">
        <v>52</v>
      </c>
      <c r="V106" s="485">
        <v>-10.9399</v>
      </c>
      <c r="W106" s="485">
        <v>1.493063</v>
      </c>
      <c r="X106" s="485">
        <v>-7.32714</v>
      </c>
      <c r="Y106" s="489">
        <v>8.1699999999999994E-5</v>
      </c>
      <c r="Z106" s="485">
        <v>-14.382899999999999</v>
      </c>
      <c r="AA106" s="485">
        <v>-7.4968700000000004</v>
      </c>
      <c r="AB106" s="485">
        <v>-14.382899999999999</v>
      </c>
      <c r="AC106" s="485">
        <v>-7.4968700000000004</v>
      </c>
      <c r="AD106" s="262"/>
      <c r="AE106" s="60" t="s">
        <v>52</v>
      </c>
      <c r="AF106" s="485">
        <v>-213.09800000000001</v>
      </c>
      <c r="AG106" s="485">
        <v>30.53256</v>
      </c>
      <c r="AH106" s="485">
        <v>-6.9793799999999999</v>
      </c>
      <c r="AI106" s="485">
        <v>1.15E-4</v>
      </c>
      <c r="AJ106" s="485">
        <v>-283.50599999999997</v>
      </c>
      <c r="AK106" s="485">
        <v>-142.69</v>
      </c>
      <c r="AL106" s="485">
        <v>-283.50599999999997</v>
      </c>
      <c r="AM106" s="485">
        <v>-142.69</v>
      </c>
      <c r="AO106" s="262"/>
    </row>
    <row r="107" spans="1:41">
      <c r="A107" s="394" t="s">
        <v>13</v>
      </c>
      <c r="B107" s="420">
        <v>0.94350000000000001</v>
      </c>
      <c r="C107" s="420">
        <v>0.15905699500000001</v>
      </c>
      <c r="D107" s="420">
        <v>5.9317739999999999</v>
      </c>
      <c r="E107" s="420">
        <v>3.4904199999999998E-4</v>
      </c>
      <c r="F107" s="420">
        <v>0.57670410000000005</v>
      </c>
      <c r="G107" s="420">
        <v>1.3102762729999999</v>
      </c>
      <c r="H107" s="420">
        <v>0.576704098</v>
      </c>
      <c r="I107" s="420">
        <v>1.3102762729999999</v>
      </c>
      <c r="J107" s="262"/>
      <c r="K107" s="394" t="s">
        <v>5</v>
      </c>
      <c r="L107" s="420">
        <v>3.1592578429999998</v>
      </c>
      <c r="M107" s="420">
        <v>1.0202180000000001</v>
      </c>
      <c r="N107" s="420">
        <v>3.0966488299999999</v>
      </c>
      <c r="O107" s="420">
        <v>1.4740400000000001E-2</v>
      </c>
      <c r="P107" s="420">
        <v>0.80663019599999997</v>
      </c>
      <c r="Q107" s="420">
        <v>5.5118854900000001</v>
      </c>
      <c r="R107" s="420">
        <v>0.80662999999999996</v>
      </c>
      <c r="S107" s="420">
        <v>5.5118900000000002</v>
      </c>
      <c r="T107" s="262"/>
      <c r="U107" s="60" t="s">
        <v>3</v>
      </c>
      <c r="V107" s="485">
        <v>7.3476E-2</v>
      </c>
      <c r="W107" s="485">
        <v>3.0959E-2</v>
      </c>
      <c r="X107" s="485">
        <v>2.3733379999999999</v>
      </c>
      <c r="Y107" s="485">
        <v>4.5011000000000002E-2</v>
      </c>
      <c r="Z107" s="485">
        <v>2.085E-3</v>
      </c>
      <c r="AA107" s="485">
        <v>0.144868</v>
      </c>
      <c r="AB107" s="485">
        <v>2.085E-3</v>
      </c>
      <c r="AC107" s="485">
        <v>0.144868</v>
      </c>
      <c r="AD107" s="262"/>
      <c r="AE107" s="60" t="s">
        <v>13</v>
      </c>
      <c r="AF107" s="485">
        <v>4.1993879999999999</v>
      </c>
      <c r="AG107" s="485">
        <v>0.51492700000000002</v>
      </c>
      <c r="AH107" s="485">
        <v>8.1553100000000001</v>
      </c>
      <c r="AI107" s="489">
        <v>3.8000000000000002E-5</v>
      </c>
      <c r="AJ107" s="485">
        <v>3.011965</v>
      </c>
      <c r="AK107" s="485">
        <v>5.3868119999999999</v>
      </c>
      <c r="AL107" s="485">
        <v>3.011965</v>
      </c>
      <c r="AM107" s="485">
        <v>5.3868119999999999</v>
      </c>
      <c r="AO107" s="262"/>
    </row>
    <row r="108" spans="1:41">
      <c r="A108" s="394" t="s">
        <v>5</v>
      </c>
      <c r="B108" s="420">
        <v>1.4562999999999999</v>
      </c>
      <c r="C108" s="420">
        <v>0.85332295000000002</v>
      </c>
      <c r="D108" s="420">
        <v>1.7066520000000001</v>
      </c>
      <c r="E108" s="420">
        <v>0.12627460200000001</v>
      </c>
      <c r="F108" s="420">
        <v>-0.51144071999999996</v>
      </c>
      <c r="G108" s="420">
        <v>3.4240917830000002</v>
      </c>
      <c r="H108" s="420">
        <v>-0.51144071899999999</v>
      </c>
      <c r="I108" s="420">
        <v>3.4240917830000002</v>
      </c>
      <c r="J108" s="262"/>
      <c r="K108" s="394" t="s">
        <v>58</v>
      </c>
      <c r="L108" s="420">
        <v>3.0130042540000002</v>
      </c>
      <c r="M108" s="420">
        <v>0.65135100000000001</v>
      </c>
      <c r="N108" s="420">
        <v>4.6257783420000003</v>
      </c>
      <c r="O108" s="420">
        <v>1.6974E-3</v>
      </c>
      <c r="P108" s="420">
        <v>1.510986701</v>
      </c>
      <c r="Q108" s="420">
        <v>4.5150218080000002</v>
      </c>
      <c r="R108" s="420">
        <v>1.5109900000000001</v>
      </c>
      <c r="S108" s="420">
        <v>4.5150199999999998</v>
      </c>
      <c r="T108" s="262"/>
      <c r="U108" s="60" t="s">
        <v>13</v>
      </c>
      <c r="V108" s="485">
        <v>1.1397029999999999</v>
      </c>
      <c r="W108" s="485">
        <v>6.0388999999999998E-2</v>
      </c>
      <c r="X108" s="485">
        <v>18.87275</v>
      </c>
      <c r="Y108" s="489">
        <v>6.4200000000000006E-8</v>
      </c>
      <c r="Z108" s="485">
        <v>1.0004459999999999</v>
      </c>
      <c r="AA108" s="485">
        <v>1.2789600000000001</v>
      </c>
      <c r="AB108" s="485">
        <v>1.0004459999999999</v>
      </c>
      <c r="AC108" s="485">
        <v>1.2789600000000001</v>
      </c>
      <c r="AD108" s="262"/>
      <c r="AE108" s="60" t="s">
        <v>5</v>
      </c>
      <c r="AF108" s="485">
        <v>23.87284</v>
      </c>
      <c r="AG108" s="485">
        <v>3.380096</v>
      </c>
      <c r="AH108" s="485">
        <v>7.0627700000000004</v>
      </c>
      <c r="AI108" s="485">
        <v>1.06E-4</v>
      </c>
      <c r="AJ108" s="485">
        <v>16.078320000000001</v>
      </c>
      <c r="AK108" s="485">
        <v>31.667349999999999</v>
      </c>
      <c r="AL108" s="485">
        <v>16.078320000000001</v>
      </c>
      <c r="AM108" s="485">
        <v>31.667349999999999</v>
      </c>
      <c r="AO108" s="262"/>
    </row>
    <row r="109" spans="1:41">
      <c r="A109" s="395" t="s">
        <v>7</v>
      </c>
      <c r="B109" s="534">
        <v>-0.14299999999999999</v>
      </c>
      <c r="C109" s="534">
        <v>0.241146427</v>
      </c>
      <c r="D109" s="534">
        <v>-0.59438999999999997</v>
      </c>
      <c r="E109" s="541">
        <v>0.568675928</v>
      </c>
      <c r="F109" s="534">
        <v>-0.69941956999999999</v>
      </c>
      <c r="G109" s="534">
        <v>0.41274975200000003</v>
      </c>
      <c r="H109" s="534">
        <v>-0.69941956500000002</v>
      </c>
      <c r="I109" s="534">
        <v>0.41274975200000003</v>
      </c>
      <c r="J109" s="262"/>
      <c r="K109" s="395" t="s">
        <v>7</v>
      </c>
      <c r="L109" s="534">
        <v>-0.159888</v>
      </c>
      <c r="M109" s="534">
        <v>0.28841</v>
      </c>
      <c r="N109" s="534">
        <v>-0.55437770900000005</v>
      </c>
      <c r="O109" s="541">
        <v>0.59447450000000002</v>
      </c>
      <c r="P109" s="534">
        <v>-0.82496235399999995</v>
      </c>
      <c r="Q109" s="534">
        <v>0.50518634900000003</v>
      </c>
      <c r="R109" s="534">
        <v>-0.82499999999999996</v>
      </c>
      <c r="S109" s="534">
        <v>0.50519000000000003</v>
      </c>
      <c r="T109" s="262"/>
      <c r="U109" s="396" t="s">
        <v>61</v>
      </c>
      <c r="V109" s="486">
        <v>2.000915</v>
      </c>
      <c r="W109" s="486">
        <v>0.34089399999999997</v>
      </c>
      <c r="X109" s="486">
        <v>5.8696039999999998</v>
      </c>
      <c r="Y109" s="486">
        <v>3.7399999999999998E-4</v>
      </c>
      <c r="Z109" s="486">
        <v>1.2148110000000001</v>
      </c>
      <c r="AA109" s="486">
        <v>2.7870189999999999</v>
      </c>
      <c r="AB109" s="486">
        <v>1.2148110000000001</v>
      </c>
      <c r="AC109" s="486">
        <v>2.7870189999999999</v>
      </c>
      <c r="AD109" s="262"/>
      <c r="AE109" s="396" t="s">
        <v>7</v>
      </c>
      <c r="AF109" s="486">
        <v>0.107214</v>
      </c>
      <c r="AG109" s="486">
        <v>0.20464099999999999</v>
      </c>
      <c r="AH109" s="486">
        <v>0.52391200000000004</v>
      </c>
      <c r="AI109" s="556">
        <v>0.61453999999999998</v>
      </c>
      <c r="AJ109" s="486">
        <v>-0.36469000000000001</v>
      </c>
      <c r="AK109" s="486">
        <v>0.57911699999999999</v>
      </c>
      <c r="AL109" s="486">
        <v>-0.36469000000000001</v>
      </c>
      <c r="AM109" s="486">
        <v>0.57911699999999999</v>
      </c>
      <c r="AO109" s="262"/>
    </row>
    <row r="110" spans="1:41">
      <c r="A110" s="394" t="s">
        <v>29</v>
      </c>
      <c r="B110" s="394" t="s">
        <v>29</v>
      </c>
      <c r="C110" s="394" t="s">
        <v>29</v>
      </c>
      <c r="D110" s="394" t="s">
        <v>29</v>
      </c>
      <c r="E110" s="399" t="s">
        <v>29</v>
      </c>
      <c r="F110" s="394" t="s">
        <v>29</v>
      </c>
      <c r="G110" s="394" t="s">
        <v>29</v>
      </c>
      <c r="H110" s="394" t="s">
        <v>29</v>
      </c>
      <c r="I110" s="394" t="s">
        <v>29</v>
      </c>
      <c r="J110" s="262"/>
      <c r="K110" s="394" t="s">
        <v>29</v>
      </c>
      <c r="L110" s="394" t="s">
        <v>29</v>
      </c>
      <c r="M110" s="394" t="s">
        <v>29</v>
      </c>
      <c r="N110" s="394" t="s">
        <v>29</v>
      </c>
      <c r="O110" s="394" t="s">
        <v>29</v>
      </c>
      <c r="P110" s="394" t="s">
        <v>29</v>
      </c>
      <c r="Q110" s="394" t="s">
        <v>29</v>
      </c>
      <c r="R110" s="394" t="s">
        <v>29</v>
      </c>
      <c r="S110" s="394" t="s">
        <v>29</v>
      </c>
      <c r="T110" s="262"/>
      <c r="AD110" s="262"/>
      <c r="AE110" s="60"/>
      <c r="AF110" s="60"/>
      <c r="AG110" s="60"/>
      <c r="AH110" s="60"/>
      <c r="AI110" s="60"/>
      <c r="AJ110" s="60"/>
      <c r="AK110" s="60"/>
      <c r="AL110" s="60"/>
      <c r="AM110" s="60"/>
      <c r="AO110" s="262"/>
    </row>
    <row r="111" spans="1:41">
      <c r="A111" s="639" t="s">
        <v>56</v>
      </c>
      <c r="B111" s="639"/>
      <c r="C111" s="639"/>
      <c r="D111" s="639"/>
      <c r="E111" s="639"/>
      <c r="F111" s="639"/>
      <c r="G111" s="639"/>
      <c r="H111" s="639"/>
      <c r="I111" s="639"/>
      <c r="J111" s="262"/>
      <c r="K111" s="639" t="s">
        <v>56</v>
      </c>
      <c r="L111" s="639"/>
      <c r="M111" s="639"/>
      <c r="N111" s="639"/>
      <c r="O111" s="639"/>
      <c r="P111" s="639"/>
      <c r="Q111" s="639"/>
      <c r="R111" s="639"/>
      <c r="S111" s="639"/>
      <c r="T111" s="262"/>
      <c r="AD111" s="262"/>
      <c r="AE111" s="639" t="s">
        <v>56</v>
      </c>
      <c r="AF111" s="639"/>
      <c r="AG111" s="639"/>
      <c r="AH111" s="639"/>
      <c r="AI111" s="639"/>
      <c r="AJ111" s="639"/>
      <c r="AK111" s="639"/>
      <c r="AL111" s="639"/>
      <c r="AM111" s="639"/>
      <c r="AO111" s="262"/>
    </row>
    <row r="112" spans="1:41">
      <c r="A112" s="394" t="s">
        <v>29</v>
      </c>
      <c r="B112" s="394" t="s">
        <v>29</v>
      </c>
      <c r="C112" s="394" t="s">
        <v>29</v>
      </c>
      <c r="D112" s="394" t="s">
        <v>29</v>
      </c>
      <c r="E112" s="394" t="s">
        <v>29</v>
      </c>
      <c r="F112" s="394" t="s">
        <v>29</v>
      </c>
      <c r="G112" s="394" t="s">
        <v>29</v>
      </c>
      <c r="H112" s="394" t="s">
        <v>29</v>
      </c>
      <c r="I112" s="394" t="s">
        <v>29</v>
      </c>
      <c r="J112" s="262"/>
      <c r="K112" s="394" t="s">
        <v>29</v>
      </c>
      <c r="L112" s="394" t="s">
        <v>29</v>
      </c>
      <c r="M112" s="394" t="s">
        <v>29</v>
      </c>
      <c r="N112" s="394" t="s">
        <v>29</v>
      </c>
      <c r="O112" s="394" t="s">
        <v>29</v>
      </c>
      <c r="P112" s="394" t="s">
        <v>29</v>
      </c>
      <c r="Q112" s="394" t="s">
        <v>29</v>
      </c>
      <c r="R112" s="394" t="s">
        <v>29</v>
      </c>
      <c r="S112" s="394" t="s">
        <v>29</v>
      </c>
      <c r="T112" s="262"/>
      <c r="AD112" s="262"/>
      <c r="AE112" s="60"/>
      <c r="AF112" s="60"/>
      <c r="AG112" s="60"/>
      <c r="AH112" s="60"/>
      <c r="AI112" s="60"/>
      <c r="AJ112" s="60"/>
      <c r="AK112" s="60"/>
      <c r="AL112" s="60"/>
      <c r="AM112" s="60"/>
      <c r="AO112" s="262"/>
    </row>
    <row r="113" spans="1:41">
      <c r="A113" s="394" t="s">
        <v>28</v>
      </c>
      <c r="B113" s="394"/>
      <c r="C113" s="394"/>
      <c r="D113" s="394" t="s">
        <v>29</v>
      </c>
      <c r="E113" s="394" t="s">
        <v>29</v>
      </c>
      <c r="F113" s="394" t="s">
        <v>29</v>
      </c>
      <c r="G113" s="394" t="s">
        <v>29</v>
      </c>
      <c r="H113" s="394" t="s">
        <v>29</v>
      </c>
      <c r="I113" s="394" t="s">
        <v>29</v>
      </c>
      <c r="J113" s="262"/>
      <c r="K113" s="394" t="s">
        <v>28</v>
      </c>
      <c r="L113" s="394"/>
      <c r="M113" s="394"/>
      <c r="N113" s="394" t="s">
        <v>29</v>
      </c>
      <c r="O113" s="394" t="s">
        <v>29</v>
      </c>
      <c r="P113" s="394" t="s">
        <v>29</v>
      </c>
      <c r="Q113" s="394" t="s">
        <v>29</v>
      </c>
      <c r="R113" s="394" t="s">
        <v>29</v>
      </c>
      <c r="S113" s="394" t="s">
        <v>29</v>
      </c>
      <c r="T113" s="262"/>
      <c r="AD113" s="262"/>
      <c r="AE113" s="60" t="s">
        <v>28</v>
      </c>
      <c r="AF113" s="60"/>
      <c r="AG113" s="60"/>
      <c r="AH113" s="60"/>
      <c r="AI113" s="60"/>
      <c r="AJ113" s="60"/>
      <c r="AK113" s="60"/>
      <c r="AL113" s="60"/>
      <c r="AM113" s="60"/>
      <c r="AO113" s="262"/>
    </row>
    <row r="114" spans="1:41">
      <c r="A114" s="394" t="s">
        <v>29</v>
      </c>
      <c r="B114" s="394" t="s">
        <v>29</v>
      </c>
      <c r="C114" s="394" t="s">
        <v>29</v>
      </c>
      <c r="D114" s="394" t="s">
        <v>29</v>
      </c>
      <c r="E114" s="394" t="s">
        <v>29</v>
      </c>
      <c r="F114" s="394" t="s">
        <v>29</v>
      </c>
      <c r="G114" s="394" t="s">
        <v>29</v>
      </c>
      <c r="H114" s="394" t="s">
        <v>29</v>
      </c>
      <c r="I114" s="394" t="s">
        <v>29</v>
      </c>
      <c r="J114" s="262"/>
      <c r="K114" s="394" t="s">
        <v>29</v>
      </c>
      <c r="L114" s="394" t="s">
        <v>29</v>
      </c>
      <c r="M114" s="394" t="s">
        <v>29</v>
      </c>
      <c r="N114" s="394" t="s">
        <v>29</v>
      </c>
      <c r="O114" s="394" t="s">
        <v>29</v>
      </c>
      <c r="P114" s="394" t="s">
        <v>29</v>
      </c>
      <c r="Q114" s="394" t="s">
        <v>29</v>
      </c>
      <c r="R114" s="394" t="s">
        <v>29</v>
      </c>
      <c r="S114" s="394" t="s">
        <v>29</v>
      </c>
      <c r="T114" s="262"/>
      <c r="AD114" s="262"/>
      <c r="AE114" s="60"/>
      <c r="AF114" s="60"/>
      <c r="AG114" s="60"/>
      <c r="AH114" s="60"/>
      <c r="AI114" s="60"/>
      <c r="AJ114" s="60"/>
      <c r="AK114" s="60"/>
      <c r="AL114" s="60"/>
      <c r="AM114" s="60"/>
      <c r="AO114" s="262"/>
    </row>
    <row r="115" spans="1:41">
      <c r="A115" s="635" t="s">
        <v>30</v>
      </c>
      <c r="B115" s="635"/>
      <c r="C115" s="635"/>
      <c r="D115" s="394" t="s">
        <v>29</v>
      </c>
      <c r="E115" s="394" t="s">
        <v>29</v>
      </c>
      <c r="F115" s="394" t="s">
        <v>29</v>
      </c>
      <c r="G115" s="394" t="s">
        <v>29</v>
      </c>
      <c r="H115" s="394" t="s">
        <v>29</v>
      </c>
      <c r="I115" s="394" t="s">
        <v>29</v>
      </c>
      <c r="J115" s="262"/>
      <c r="K115" s="635" t="s">
        <v>30</v>
      </c>
      <c r="L115" s="635"/>
      <c r="M115" s="635"/>
      <c r="N115" s="394" t="s">
        <v>29</v>
      </c>
      <c r="O115" s="394" t="s">
        <v>29</v>
      </c>
      <c r="P115" s="394" t="s">
        <v>29</v>
      </c>
      <c r="Q115" s="394" t="s">
        <v>29</v>
      </c>
      <c r="R115" s="394" t="s">
        <v>29</v>
      </c>
      <c r="S115" s="394" t="s">
        <v>29</v>
      </c>
      <c r="T115" s="262"/>
      <c r="AD115" s="262"/>
      <c r="AE115" s="635" t="s">
        <v>30</v>
      </c>
      <c r="AF115" s="635"/>
      <c r="AG115" s="635"/>
      <c r="AH115" s="60"/>
      <c r="AI115" s="60"/>
      <c r="AJ115" s="60"/>
      <c r="AK115" s="60"/>
      <c r="AL115" s="60"/>
      <c r="AM115" s="60"/>
      <c r="AO115" s="262"/>
    </row>
    <row r="116" spans="1:41">
      <c r="A116" s="631" t="s">
        <v>31</v>
      </c>
      <c r="B116" s="631"/>
      <c r="C116" s="420">
        <v>0.98650000000000004</v>
      </c>
      <c r="D116" s="394" t="s">
        <v>29</v>
      </c>
      <c r="E116" s="394" t="s">
        <v>29</v>
      </c>
      <c r="F116" s="394" t="s">
        <v>29</v>
      </c>
      <c r="G116" s="394" t="s">
        <v>29</v>
      </c>
      <c r="H116" s="394" t="s">
        <v>29</v>
      </c>
      <c r="I116" s="394" t="s">
        <v>29</v>
      </c>
      <c r="J116" s="262"/>
      <c r="K116" s="631" t="s">
        <v>31</v>
      </c>
      <c r="L116" s="631"/>
      <c r="M116" s="420">
        <v>0.95824254900000005</v>
      </c>
      <c r="N116" s="394" t="s">
        <v>29</v>
      </c>
      <c r="O116" s="394" t="s">
        <v>29</v>
      </c>
      <c r="P116" s="394" t="s">
        <v>29</v>
      </c>
      <c r="Q116" s="394" t="s">
        <v>29</v>
      </c>
      <c r="R116" s="394" t="s">
        <v>29</v>
      </c>
      <c r="S116" s="394" t="s">
        <v>29</v>
      </c>
      <c r="T116" s="262"/>
      <c r="AD116" s="262"/>
      <c r="AE116" s="631" t="s">
        <v>31</v>
      </c>
      <c r="AF116" s="631"/>
      <c r="AG116" s="487">
        <v>0.97570900000000005</v>
      </c>
      <c r="AH116" s="60"/>
      <c r="AI116" s="60"/>
      <c r="AJ116" s="60"/>
      <c r="AK116" s="60"/>
      <c r="AL116" s="60"/>
      <c r="AM116" s="60"/>
      <c r="AO116" s="262"/>
    </row>
    <row r="117" spans="1:41">
      <c r="A117" s="628" t="s">
        <v>32</v>
      </c>
      <c r="B117" s="628"/>
      <c r="C117" s="420">
        <v>0.97319999999999995</v>
      </c>
      <c r="D117" s="394" t="s">
        <v>29</v>
      </c>
      <c r="E117" s="394" t="s">
        <v>29</v>
      </c>
      <c r="F117" s="394" t="s">
        <v>29</v>
      </c>
      <c r="G117" s="394" t="s">
        <v>29</v>
      </c>
      <c r="H117" s="394" t="s">
        <v>29</v>
      </c>
      <c r="I117" s="394" t="s">
        <v>29</v>
      </c>
      <c r="J117" s="262"/>
      <c r="K117" s="628" t="s">
        <v>32</v>
      </c>
      <c r="L117" s="628"/>
      <c r="M117" s="420">
        <v>0.91822878299999999</v>
      </c>
      <c r="N117" s="394" t="s">
        <v>29</v>
      </c>
      <c r="O117" s="394" t="s">
        <v>29</v>
      </c>
      <c r="P117" s="394" t="s">
        <v>29</v>
      </c>
      <c r="Q117" s="394" t="s">
        <v>29</v>
      </c>
      <c r="R117" s="394" t="s">
        <v>29</v>
      </c>
      <c r="S117" s="394" t="s">
        <v>29</v>
      </c>
      <c r="T117" s="262"/>
      <c r="AD117" s="262"/>
      <c r="AE117" s="628" t="s">
        <v>32</v>
      </c>
      <c r="AF117" s="628"/>
      <c r="AG117" s="487">
        <v>0.95200799999999997</v>
      </c>
      <c r="AH117" s="60"/>
      <c r="AI117" s="60"/>
      <c r="AJ117" s="60"/>
      <c r="AK117" s="60"/>
      <c r="AL117" s="60"/>
      <c r="AM117" s="60"/>
      <c r="AO117" s="262"/>
    </row>
    <row r="118" spans="1:41">
      <c r="A118" s="629" t="s">
        <v>33</v>
      </c>
      <c r="B118" s="628"/>
      <c r="C118" s="420">
        <v>0.96719999999999995</v>
      </c>
      <c r="D118" s="394" t="s">
        <v>29</v>
      </c>
      <c r="E118" s="394" t="s">
        <v>29</v>
      </c>
      <c r="F118" s="394" t="s">
        <v>29</v>
      </c>
      <c r="G118" s="394" t="s">
        <v>29</v>
      </c>
      <c r="H118" s="394" t="s">
        <v>29</v>
      </c>
      <c r="I118" s="394" t="s">
        <v>29</v>
      </c>
      <c r="J118" s="262"/>
      <c r="K118" s="629" t="s">
        <v>33</v>
      </c>
      <c r="L118" s="628"/>
      <c r="M118" s="420">
        <v>0.90005740199999995</v>
      </c>
      <c r="N118" s="394" t="s">
        <v>29</v>
      </c>
      <c r="O118" s="188" t="s">
        <v>60</v>
      </c>
      <c r="P118" s="394" t="s">
        <v>29</v>
      </c>
      <c r="Q118" s="394" t="s">
        <v>29</v>
      </c>
      <c r="R118" s="394" t="s">
        <v>29</v>
      </c>
      <c r="S118" s="394" t="s">
        <v>29</v>
      </c>
      <c r="T118" s="262"/>
      <c r="AD118" s="262"/>
      <c r="AE118" s="629" t="s">
        <v>33</v>
      </c>
      <c r="AF118" s="628"/>
      <c r="AG118" s="487">
        <v>0.94134399999999996</v>
      </c>
      <c r="AH118" s="60"/>
      <c r="AI118" s="188" t="s">
        <v>60</v>
      </c>
      <c r="AJ118" s="60"/>
      <c r="AK118" s="60"/>
      <c r="AL118" s="60"/>
      <c r="AM118" s="60"/>
      <c r="AO118" s="262"/>
    </row>
    <row r="119" spans="1:41">
      <c r="A119" s="628" t="s">
        <v>34</v>
      </c>
      <c r="B119" s="628"/>
      <c r="C119" s="420">
        <v>2.63E-2</v>
      </c>
      <c r="D119" s="394" t="s">
        <v>29</v>
      </c>
      <c r="E119" s="394" t="s">
        <v>29</v>
      </c>
      <c r="F119" s="394" t="s">
        <v>29</v>
      </c>
      <c r="G119" s="394" t="s">
        <v>29</v>
      </c>
      <c r="H119" s="394" t="s">
        <v>29</v>
      </c>
      <c r="I119" s="394" t="s">
        <v>29</v>
      </c>
      <c r="J119" s="262"/>
      <c r="K119" s="628" t="s">
        <v>34</v>
      </c>
      <c r="L119" s="628"/>
      <c r="M119" s="420">
        <v>3.7059623999999999E-2</v>
      </c>
      <c r="N119" s="394" t="s">
        <v>29</v>
      </c>
      <c r="O119" s="248">
        <f>M119/AVERAGE(M28:M39)</f>
        <v>4.0977853511285998E-3</v>
      </c>
      <c r="P119" s="394" t="s">
        <v>29</v>
      </c>
      <c r="Q119" s="394" t="s">
        <v>29</v>
      </c>
      <c r="R119" s="394" t="s">
        <v>29</v>
      </c>
      <c r="S119" s="394" t="s">
        <v>29</v>
      </c>
      <c r="T119" s="262"/>
      <c r="AD119" s="262"/>
      <c r="AE119" s="628" t="s">
        <v>34</v>
      </c>
      <c r="AF119" s="628"/>
      <c r="AG119" s="487">
        <v>3.9780999999999997E-2</v>
      </c>
      <c r="AH119" s="60"/>
      <c r="AI119" s="248">
        <f>AG119/AVERAGE(AG28:AG39)</f>
        <v>4.780994069616855E-3</v>
      </c>
      <c r="AJ119" s="60"/>
      <c r="AK119" s="60"/>
      <c r="AL119" s="60"/>
      <c r="AM119" s="60"/>
      <c r="AO119" s="262"/>
    </row>
    <row r="120" spans="1:41">
      <c r="A120" s="630" t="s">
        <v>35</v>
      </c>
      <c r="B120" s="630"/>
      <c r="C120" s="534">
        <v>12</v>
      </c>
      <c r="D120" s="394" t="s">
        <v>29</v>
      </c>
      <c r="E120" s="394" t="s">
        <v>29</v>
      </c>
      <c r="F120" s="394" t="s">
        <v>29</v>
      </c>
      <c r="G120" s="394" t="s">
        <v>29</v>
      </c>
      <c r="H120" s="394" t="s">
        <v>29</v>
      </c>
      <c r="I120" s="394" t="s">
        <v>29</v>
      </c>
      <c r="J120" s="262"/>
      <c r="K120" s="630" t="s">
        <v>35</v>
      </c>
      <c r="L120" s="630"/>
      <c r="M120" s="534">
        <v>12</v>
      </c>
      <c r="N120" s="394" t="s">
        <v>29</v>
      </c>
      <c r="O120" s="394" t="s">
        <v>29</v>
      </c>
      <c r="P120" s="394" t="s">
        <v>29</v>
      </c>
      <c r="Q120" s="394" t="s">
        <v>29</v>
      </c>
      <c r="R120" s="394" t="s">
        <v>29</v>
      </c>
      <c r="S120" s="394" t="s">
        <v>29</v>
      </c>
      <c r="T120" s="262"/>
      <c r="AD120" s="262"/>
      <c r="AE120" s="630" t="s">
        <v>35</v>
      </c>
      <c r="AF120" s="630"/>
      <c r="AG120" s="488">
        <v>12</v>
      </c>
      <c r="AH120" s="60"/>
      <c r="AI120" s="60"/>
      <c r="AJ120" s="60"/>
      <c r="AK120" s="60"/>
      <c r="AL120" s="60"/>
      <c r="AM120" s="60"/>
      <c r="AO120" s="262"/>
    </row>
    <row r="121" spans="1:41">
      <c r="A121" s="394" t="s">
        <v>29</v>
      </c>
      <c r="B121" s="394" t="s">
        <v>29</v>
      </c>
      <c r="C121" s="394" t="s">
        <v>29</v>
      </c>
      <c r="D121" s="394" t="s">
        <v>29</v>
      </c>
      <c r="E121" s="394" t="s">
        <v>29</v>
      </c>
      <c r="F121" s="394" t="s">
        <v>29</v>
      </c>
      <c r="G121" s="394" t="s">
        <v>29</v>
      </c>
      <c r="H121" s="394" t="s">
        <v>29</v>
      </c>
      <c r="I121" s="394" t="s">
        <v>29</v>
      </c>
      <c r="J121" s="262"/>
      <c r="K121" s="394" t="s">
        <v>29</v>
      </c>
      <c r="L121" s="394" t="s">
        <v>29</v>
      </c>
      <c r="M121" s="394" t="s">
        <v>29</v>
      </c>
      <c r="N121" s="394" t="s">
        <v>29</v>
      </c>
      <c r="O121" s="394" t="s">
        <v>29</v>
      </c>
      <c r="P121" s="394" t="s">
        <v>29</v>
      </c>
      <c r="Q121" s="394" t="s">
        <v>29</v>
      </c>
      <c r="R121" s="394" t="s">
        <v>29</v>
      </c>
      <c r="S121" s="394" t="s">
        <v>29</v>
      </c>
      <c r="T121" s="262"/>
      <c r="AD121" s="262"/>
      <c r="AE121" s="60"/>
      <c r="AF121" s="60"/>
      <c r="AG121" s="60"/>
      <c r="AH121" s="60"/>
      <c r="AI121" s="60"/>
      <c r="AJ121" s="60"/>
      <c r="AK121" s="60"/>
      <c r="AL121" s="60"/>
      <c r="AM121" s="60"/>
      <c r="AO121" s="262"/>
    </row>
    <row r="122" spans="1:41">
      <c r="A122" s="394" t="s">
        <v>36</v>
      </c>
      <c r="B122" s="394"/>
      <c r="C122" s="394"/>
      <c r="D122" s="394" t="s">
        <v>29</v>
      </c>
      <c r="E122" s="394" t="s">
        <v>29</v>
      </c>
      <c r="F122" s="394" t="s">
        <v>29</v>
      </c>
      <c r="G122" s="394" t="s">
        <v>29</v>
      </c>
      <c r="H122" s="394" t="s">
        <v>29</v>
      </c>
      <c r="I122" s="394" t="s">
        <v>29</v>
      </c>
      <c r="J122" s="262"/>
      <c r="K122" s="394" t="s">
        <v>36</v>
      </c>
      <c r="L122" s="394"/>
      <c r="M122" s="394" t="s">
        <v>29</v>
      </c>
      <c r="N122" s="394" t="s">
        <v>29</v>
      </c>
      <c r="O122" s="394" t="s">
        <v>29</v>
      </c>
      <c r="P122" s="394" t="s">
        <v>29</v>
      </c>
      <c r="Q122" s="394" t="s">
        <v>29</v>
      </c>
      <c r="R122" s="394" t="s">
        <v>29</v>
      </c>
      <c r="S122" s="394" t="s">
        <v>29</v>
      </c>
      <c r="T122" s="262"/>
      <c r="AD122" s="262"/>
      <c r="AE122" s="60" t="s">
        <v>36</v>
      </c>
      <c r="AF122" s="60"/>
      <c r="AG122" s="60"/>
      <c r="AH122" s="60"/>
      <c r="AI122" s="60"/>
      <c r="AJ122" s="60"/>
      <c r="AK122" s="60"/>
      <c r="AL122" s="60"/>
      <c r="AM122" s="60"/>
      <c r="AO122" s="262"/>
    </row>
    <row r="123" spans="1:41">
      <c r="A123" s="245" t="s">
        <v>29</v>
      </c>
      <c r="B123" s="537" t="s">
        <v>37</v>
      </c>
      <c r="C123" s="537" t="s">
        <v>38</v>
      </c>
      <c r="D123" s="537" t="s">
        <v>39</v>
      </c>
      <c r="E123" s="537" t="s">
        <v>40</v>
      </c>
      <c r="F123" s="537" t="s">
        <v>41</v>
      </c>
      <c r="G123" s="394" t="s">
        <v>29</v>
      </c>
      <c r="H123" s="394" t="s">
        <v>29</v>
      </c>
      <c r="I123" s="394" t="s">
        <v>29</v>
      </c>
      <c r="J123" s="262"/>
      <c r="K123" s="245" t="s">
        <v>29</v>
      </c>
      <c r="L123" s="537" t="s">
        <v>37</v>
      </c>
      <c r="M123" s="537" t="s">
        <v>38</v>
      </c>
      <c r="N123" s="537" t="s">
        <v>39</v>
      </c>
      <c r="O123" s="537" t="s">
        <v>40</v>
      </c>
      <c r="P123" s="537" t="s">
        <v>41</v>
      </c>
      <c r="Q123" s="394" t="s">
        <v>29</v>
      </c>
      <c r="R123" s="394" t="s">
        <v>29</v>
      </c>
      <c r="S123" s="394" t="s">
        <v>29</v>
      </c>
      <c r="T123" s="262"/>
      <c r="AD123" s="262"/>
      <c r="AE123" s="186" t="s">
        <v>29</v>
      </c>
      <c r="AF123" s="483" t="s">
        <v>37</v>
      </c>
      <c r="AG123" s="483" t="s">
        <v>38</v>
      </c>
      <c r="AH123" s="483" t="s">
        <v>39</v>
      </c>
      <c r="AI123" s="483" t="s">
        <v>40</v>
      </c>
      <c r="AJ123" s="483" t="s">
        <v>41</v>
      </c>
      <c r="AK123" s="60"/>
      <c r="AL123" s="60"/>
      <c r="AM123" s="60"/>
      <c r="AO123" s="262"/>
    </row>
    <row r="124" spans="1:41">
      <c r="A124" s="394" t="s">
        <v>42</v>
      </c>
      <c r="B124" s="420">
        <v>2</v>
      </c>
      <c r="C124" s="420">
        <v>0.225585485</v>
      </c>
      <c r="D124" s="420">
        <v>0.112793</v>
      </c>
      <c r="E124" s="420">
        <v>163.17809149999999</v>
      </c>
      <c r="F124" s="538">
        <v>8.4978999999999996E-8</v>
      </c>
      <c r="G124" s="394" t="s">
        <v>29</v>
      </c>
      <c r="H124" s="394" t="s">
        <v>29</v>
      </c>
      <c r="I124" s="394" t="s">
        <v>29</v>
      </c>
      <c r="J124" s="262"/>
      <c r="K124" s="394" t="s">
        <v>42</v>
      </c>
      <c r="L124" s="420">
        <v>2</v>
      </c>
      <c r="M124" s="420">
        <v>0.13880200000000001</v>
      </c>
      <c r="N124" s="420">
        <v>6.9400878999999999E-2</v>
      </c>
      <c r="O124" s="420">
        <v>50.531588999999997</v>
      </c>
      <c r="P124" s="538">
        <v>1.2785E-5</v>
      </c>
      <c r="Q124" s="394" t="s">
        <v>29</v>
      </c>
      <c r="R124" s="394" t="s">
        <v>29</v>
      </c>
      <c r="S124" s="394" t="s">
        <v>29</v>
      </c>
      <c r="T124" s="262"/>
      <c r="AD124" s="262"/>
      <c r="AE124" s="60" t="s">
        <v>42</v>
      </c>
      <c r="AF124" s="487">
        <v>2</v>
      </c>
      <c r="AG124" s="487">
        <v>0.28252699999999997</v>
      </c>
      <c r="AH124" s="487">
        <v>0.141264</v>
      </c>
      <c r="AI124" s="487">
        <v>89.26643</v>
      </c>
      <c r="AJ124" s="555">
        <v>1.1599999999999999E-6</v>
      </c>
      <c r="AK124" s="60"/>
      <c r="AL124" s="60"/>
      <c r="AM124" s="60"/>
      <c r="AO124" s="262"/>
    </row>
    <row r="125" spans="1:41">
      <c r="A125" s="394" t="s">
        <v>43</v>
      </c>
      <c r="B125" s="420">
        <v>9</v>
      </c>
      <c r="C125" s="420">
        <v>6.221023E-3</v>
      </c>
      <c r="D125" s="420">
        <v>6.9099999999999999E-4</v>
      </c>
      <c r="E125" s="420" t="s">
        <v>29</v>
      </c>
      <c r="F125" s="420" t="s">
        <v>29</v>
      </c>
      <c r="G125" s="394" t="s">
        <v>29</v>
      </c>
      <c r="H125" s="394" t="s">
        <v>29</v>
      </c>
      <c r="I125" s="394" t="s">
        <v>29</v>
      </c>
      <c r="J125" s="262"/>
      <c r="K125" s="394" t="s">
        <v>43</v>
      </c>
      <c r="L125" s="420">
        <v>9</v>
      </c>
      <c r="M125" s="420">
        <v>1.2361E-2</v>
      </c>
      <c r="N125" s="420">
        <v>1.3734159999999999E-3</v>
      </c>
      <c r="O125" s="420" t="s">
        <v>29</v>
      </c>
      <c r="P125" s="420" t="s">
        <v>29</v>
      </c>
      <c r="Q125" s="394" t="s">
        <v>29</v>
      </c>
      <c r="R125" s="394" t="s">
        <v>29</v>
      </c>
      <c r="S125" s="394" t="s">
        <v>29</v>
      </c>
      <c r="T125" s="262"/>
      <c r="AD125" s="262"/>
      <c r="AE125" s="60" t="s">
        <v>43</v>
      </c>
      <c r="AF125" s="487">
        <v>9</v>
      </c>
      <c r="AG125" s="487">
        <v>1.4241999999999999E-2</v>
      </c>
      <c r="AH125" s="487">
        <v>1.5820000000000001E-3</v>
      </c>
      <c r="AI125" s="487"/>
      <c r="AJ125" s="487"/>
      <c r="AK125" s="60"/>
      <c r="AL125" s="60"/>
      <c r="AM125" s="60"/>
      <c r="AO125" s="262"/>
    </row>
    <row r="126" spans="1:41">
      <c r="A126" s="395" t="s">
        <v>44</v>
      </c>
      <c r="B126" s="534">
        <v>11</v>
      </c>
      <c r="C126" s="534">
        <v>0.23180650799999999</v>
      </c>
      <c r="D126" s="534" t="s">
        <v>29</v>
      </c>
      <c r="E126" s="534" t="s">
        <v>29</v>
      </c>
      <c r="F126" s="534" t="s">
        <v>29</v>
      </c>
      <c r="G126" s="394" t="s">
        <v>29</v>
      </c>
      <c r="H126" s="394" t="s">
        <v>29</v>
      </c>
      <c r="I126" s="394" t="s">
        <v>29</v>
      </c>
      <c r="J126" s="262"/>
      <c r="K126" s="395" t="s">
        <v>44</v>
      </c>
      <c r="L126" s="534">
        <v>11</v>
      </c>
      <c r="M126" s="534">
        <v>0.15116299999999999</v>
      </c>
      <c r="N126" s="534" t="s">
        <v>29</v>
      </c>
      <c r="O126" s="534" t="s">
        <v>29</v>
      </c>
      <c r="P126" s="534" t="s">
        <v>29</v>
      </c>
      <c r="Q126" s="394" t="s">
        <v>29</v>
      </c>
      <c r="R126" s="394" t="s">
        <v>29</v>
      </c>
      <c r="S126" s="394" t="s">
        <v>29</v>
      </c>
      <c r="T126" s="262"/>
      <c r="AD126" s="262"/>
      <c r="AE126" s="396" t="s">
        <v>44</v>
      </c>
      <c r="AF126" s="488">
        <v>11</v>
      </c>
      <c r="AG126" s="488">
        <v>0.29676999999999998</v>
      </c>
      <c r="AH126" s="488" t="s">
        <v>29</v>
      </c>
      <c r="AI126" s="488" t="s">
        <v>29</v>
      </c>
      <c r="AJ126" s="488" t="s">
        <v>29</v>
      </c>
      <c r="AK126" s="60"/>
      <c r="AL126" s="60"/>
      <c r="AM126" s="60"/>
      <c r="AO126" s="262"/>
    </row>
    <row r="127" spans="1:41">
      <c r="A127" s="394" t="s">
        <v>29</v>
      </c>
      <c r="B127" s="394" t="s">
        <v>29</v>
      </c>
      <c r="C127" s="394" t="s">
        <v>29</v>
      </c>
      <c r="D127" s="394" t="s">
        <v>29</v>
      </c>
      <c r="E127" s="394" t="s">
        <v>29</v>
      </c>
      <c r="F127" s="394" t="s">
        <v>29</v>
      </c>
      <c r="G127" s="394" t="s">
        <v>29</v>
      </c>
      <c r="H127" s="394" t="s">
        <v>29</v>
      </c>
      <c r="I127" s="394" t="s">
        <v>29</v>
      </c>
      <c r="J127" s="262"/>
      <c r="K127" s="394" t="s">
        <v>29</v>
      </c>
      <c r="L127" s="394" t="s">
        <v>29</v>
      </c>
      <c r="M127" s="394" t="s">
        <v>29</v>
      </c>
      <c r="N127" s="394" t="s">
        <v>29</v>
      </c>
      <c r="O127" s="394" t="s">
        <v>29</v>
      </c>
      <c r="P127" s="394" t="s">
        <v>29</v>
      </c>
      <c r="Q127" s="394" t="s">
        <v>29</v>
      </c>
      <c r="R127" s="394" t="s">
        <v>29</v>
      </c>
      <c r="S127" s="394" t="s">
        <v>29</v>
      </c>
      <c r="T127" s="262"/>
      <c r="AD127" s="262"/>
      <c r="AE127" s="60"/>
      <c r="AF127" s="60"/>
      <c r="AG127" s="60"/>
      <c r="AH127" s="60"/>
      <c r="AI127" s="60"/>
      <c r="AJ127" s="60"/>
      <c r="AK127" s="60"/>
      <c r="AL127" s="60"/>
      <c r="AM127" s="60"/>
      <c r="AO127" s="262"/>
    </row>
    <row r="128" spans="1:41">
      <c r="A128" s="245" t="s">
        <v>29</v>
      </c>
      <c r="B128" s="540" t="s">
        <v>45</v>
      </c>
      <c r="C128" s="540" t="s">
        <v>34</v>
      </c>
      <c r="D128" s="537" t="s">
        <v>46</v>
      </c>
      <c r="E128" s="537" t="s">
        <v>47</v>
      </c>
      <c r="F128" s="537" t="s">
        <v>48</v>
      </c>
      <c r="G128" s="537" t="s">
        <v>49</v>
      </c>
      <c r="H128" s="537" t="s">
        <v>50</v>
      </c>
      <c r="I128" s="537" t="s">
        <v>51</v>
      </c>
      <c r="J128" s="262"/>
      <c r="K128" s="245" t="s">
        <v>29</v>
      </c>
      <c r="L128" s="540" t="s">
        <v>45</v>
      </c>
      <c r="M128" s="540" t="s">
        <v>34</v>
      </c>
      <c r="N128" s="537" t="s">
        <v>46</v>
      </c>
      <c r="O128" s="537" t="s">
        <v>47</v>
      </c>
      <c r="P128" s="537" t="s">
        <v>48</v>
      </c>
      <c r="Q128" s="537" t="s">
        <v>49</v>
      </c>
      <c r="R128" s="537" t="s">
        <v>50</v>
      </c>
      <c r="S128" s="537" t="s">
        <v>51</v>
      </c>
      <c r="T128" s="262"/>
      <c r="AD128" s="262"/>
      <c r="AE128" s="186" t="s">
        <v>29</v>
      </c>
      <c r="AF128" s="559" t="s">
        <v>45</v>
      </c>
      <c r="AG128" s="559" t="s">
        <v>34</v>
      </c>
      <c r="AH128" s="483" t="s">
        <v>46</v>
      </c>
      <c r="AI128" s="483" t="s">
        <v>47</v>
      </c>
      <c r="AJ128" s="483" t="s">
        <v>48</v>
      </c>
      <c r="AK128" s="483" t="s">
        <v>49</v>
      </c>
      <c r="AL128" s="483" t="s">
        <v>50</v>
      </c>
      <c r="AM128" s="559" t="s">
        <v>51</v>
      </c>
      <c r="AO128" s="262"/>
    </row>
    <row r="129" spans="1:41">
      <c r="A129" s="394" t="s">
        <v>52</v>
      </c>
      <c r="B129" s="420">
        <v>-8.8309999999999995</v>
      </c>
      <c r="C129" s="420">
        <v>6.3850149719999996</v>
      </c>
      <c r="D129" s="420">
        <v>-1.3830420000000001</v>
      </c>
      <c r="E129" s="420">
        <v>0.19999607699999999</v>
      </c>
      <c r="F129" s="420">
        <v>-23.274651200000001</v>
      </c>
      <c r="G129" s="420">
        <v>5.6131635510000004</v>
      </c>
      <c r="H129" s="420">
        <v>-23.27465115</v>
      </c>
      <c r="I129" s="420">
        <v>5.6131635510000004</v>
      </c>
      <c r="J129" s="262"/>
      <c r="K129" s="394" t="s">
        <v>52</v>
      </c>
      <c r="L129" s="420">
        <v>-26.2855448</v>
      </c>
      <c r="M129" s="420">
        <v>3.5219969999999998</v>
      </c>
      <c r="N129" s="420">
        <v>-7.463249867</v>
      </c>
      <c r="O129" s="538">
        <v>3.8380000000000002E-5</v>
      </c>
      <c r="P129" s="420">
        <v>-34.252855859999997</v>
      </c>
      <c r="Q129" s="420">
        <v>-18.31823369</v>
      </c>
      <c r="R129" s="420">
        <v>-34.253</v>
      </c>
      <c r="S129" s="420">
        <v>-18.318000000000001</v>
      </c>
      <c r="T129" s="262"/>
      <c r="AD129" s="262"/>
      <c r="AE129" s="60" t="s">
        <v>52</v>
      </c>
      <c r="AF129" s="487">
        <v>-212.33500000000001</v>
      </c>
      <c r="AG129" s="487">
        <v>29.242660000000001</v>
      </c>
      <c r="AH129" s="487">
        <v>-7.26112</v>
      </c>
      <c r="AI129" s="555">
        <v>4.7599999999999998E-5</v>
      </c>
      <c r="AJ129" s="487">
        <v>-278.48599999999999</v>
      </c>
      <c r="AK129" s="487">
        <v>-146.18299999999999</v>
      </c>
      <c r="AL129" s="487">
        <v>-278.48599999999999</v>
      </c>
      <c r="AM129" s="487">
        <v>-146.18299999999999</v>
      </c>
      <c r="AO129" s="262"/>
    </row>
    <row r="130" spans="1:41" ht="15" customHeight="1">
      <c r="A130" s="394" t="s">
        <v>13</v>
      </c>
      <c r="B130" s="420">
        <v>0.85519999999999996</v>
      </c>
      <c r="C130" s="420">
        <v>5.4750578000000001E-2</v>
      </c>
      <c r="D130" s="420">
        <v>15.619719999999999</v>
      </c>
      <c r="E130" s="538">
        <v>7.9329499999999996E-8</v>
      </c>
      <c r="F130" s="420">
        <v>0.73133455999999997</v>
      </c>
      <c r="G130" s="420">
        <v>0.97904338000000002</v>
      </c>
      <c r="H130" s="420">
        <v>0.73133455599999997</v>
      </c>
      <c r="I130" s="420">
        <v>0.97904338000000002</v>
      </c>
      <c r="J130" s="262"/>
      <c r="K130" s="394" t="s">
        <v>5</v>
      </c>
      <c r="L130" s="554">
        <v>2.6395545139999999</v>
      </c>
      <c r="M130" s="420">
        <v>0.38672499999999999</v>
      </c>
      <c r="N130" s="420">
        <v>6.8254022570000004</v>
      </c>
      <c r="O130" s="538">
        <v>7.6829999999999995E-5</v>
      </c>
      <c r="P130" s="420">
        <v>1.7647215110000001</v>
      </c>
      <c r="Q130" s="420">
        <v>3.5143875169999998</v>
      </c>
      <c r="R130" s="420">
        <v>1.7647200000000001</v>
      </c>
      <c r="S130" s="420">
        <v>3.5143900000000001</v>
      </c>
      <c r="T130" s="262"/>
      <c r="AD130" s="262"/>
      <c r="AE130" s="60" t="s">
        <v>13</v>
      </c>
      <c r="AF130" s="487">
        <v>4.2394819999999998</v>
      </c>
      <c r="AG130" s="487">
        <v>0.48825299999999999</v>
      </c>
      <c r="AH130" s="487">
        <v>8.6829619999999998</v>
      </c>
      <c r="AI130" s="555">
        <v>1.1399999999999999E-5</v>
      </c>
      <c r="AJ130" s="487">
        <v>3.1349770000000001</v>
      </c>
      <c r="AK130" s="487">
        <v>5.3439860000000001</v>
      </c>
      <c r="AL130" s="487">
        <v>3.1349770000000001</v>
      </c>
      <c r="AM130" s="487">
        <v>5.3439860000000001</v>
      </c>
      <c r="AO130" s="262"/>
    </row>
    <row r="131" spans="1:41">
      <c r="A131" s="395" t="s">
        <v>5</v>
      </c>
      <c r="B131" s="534">
        <v>1.3368</v>
      </c>
      <c r="C131" s="534">
        <v>0.79895697799999998</v>
      </c>
      <c r="D131" s="534">
        <v>1.673233</v>
      </c>
      <c r="E131" s="541">
        <v>0.12860919800000001</v>
      </c>
      <c r="F131" s="534">
        <v>-0.47052481000000002</v>
      </c>
      <c r="G131" s="534">
        <v>3.1442076879999998</v>
      </c>
      <c r="H131" s="534">
        <v>-0.47052481400000001</v>
      </c>
      <c r="I131" s="534">
        <v>3.1442076879999998</v>
      </c>
      <c r="J131" s="262"/>
      <c r="K131" s="395" t="s">
        <v>53</v>
      </c>
      <c r="L131" s="534">
        <v>2.9971580250000001</v>
      </c>
      <c r="M131" s="534">
        <v>0.62518099999999999</v>
      </c>
      <c r="N131" s="534">
        <v>4.7940626139999996</v>
      </c>
      <c r="O131" s="534">
        <v>9.817999999999999E-4</v>
      </c>
      <c r="P131" s="534">
        <v>1.5828997979999999</v>
      </c>
      <c r="Q131" s="534">
        <v>4.4114162520000004</v>
      </c>
      <c r="R131" s="534">
        <v>1.5829</v>
      </c>
      <c r="S131" s="534">
        <v>4.4114199999999997</v>
      </c>
      <c r="T131" s="262"/>
      <c r="AD131" s="262"/>
      <c r="AE131" s="396" t="s">
        <v>5</v>
      </c>
      <c r="AF131" s="488">
        <v>23.82216</v>
      </c>
      <c r="AG131" s="488">
        <v>3.2396660000000002</v>
      </c>
      <c r="AH131" s="488">
        <v>7.3532760000000001</v>
      </c>
      <c r="AI131" s="558">
        <v>4.3099999999999997E-5</v>
      </c>
      <c r="AJ131" s="488">
        <v>16.49353</v>
      </c>
      <c r="AK131" s="488">
        <v>31.1508</v>
      </c>
      <c r="AL131" s="488">
        <v>16.49353</v>
      </c>
      <c r="AM131" s="488">
        <v>31.1508</v>
      </c>
      <c r="AO131" s="262"/>
    </row>
    <row r="132" spans="1:41">
      <c r="A132" s="247" t="s">
        <v>29</v>
      </c>
      <c r="B132" s="394" t="s">
        <v>29</v>
      </c>
      <c r="C132" s="394" t="s">
        <v>29</v>
      </c>
      <c r="D132" s="394" t="s">
        <v>29</v>
      </c>
      <c r="E132" s="394" t="s">
        <v>29</v>
      </c>
      <c r="F132" s="394" t="s">
        <v>29</v>
      </c>
      <c r="G132" s="394" t="s">
        <v>29</v>
      </c>
      <c r="H132" s="394" t="s">
        <v>29</v>
      </c>
      <c r="I132" s="394" t="s">
        <v>29</v>
      </c>
      <c r="J132" s="262"/>
      <c r="T132" s="262"/>
      <c r="AD132" s="262"/>
      <c r="AO132" s="262"/>
    </row>
    <row r="133" spans="1:41">
      <c r="A133" s="639" t="s">
        <v>59</v>
      </c>
      <c r="B133" s="639"/>
      <c r="C133" s="639"/>
      <c r="D133" s="639"/>
      <c r="E133" s="639"/>
      <c r="F133" s="639"/>
      <c r="G133" s="639"/>
      <c r="H133" s="639"/>
      <c r="I133" s="639"/>
      <c r="J133" s="262"/>
      <c r="T133" s="262"/>
      <c r="AD133" s="262"/>
      <c r="AO133" s="262"/>
    </row>
    <row r="134" spans="1:41">
      <c r="A134" s="247" t="s">
        <v>29</v>
      </c>
      <c r="B134" s="394" t="s">
        <v>29</v>
      </c>
      <c r="C134" s="394" t="s">
        <v>29</v>
      </c>
      <c r="D134" s="394" t="s">
        <v>29</v>
      </c>
      <c r="E134" s="394" t="s">
        <v>29</v>
      </c>
      <c r="F134" s="394" t="s">
        <v>29</v>
      </c>
      <c r="G134" s="394" t="s">
        <v>29</v>
      </c>
      <c r="H134" s="394" t="s">
        <v>29</v>
      </c>
      <c r="I134" s="394" t="s">
        <v>29</v>
      </c>
      <c r="J134" s="262"/>
      <c r="T134" s="262"/>
      <c r="AD134" s="262"/>
      <c r="AO134" s="262"/>
    </row>
    <row r="135" spans="1:41">
      <c r="A135" s="394" t="s">
        <v>28</v>
      </c>
      <c r="B135" s="394"/>
      <c r="C135" s="394"/>
      <c r="D135" s="394" t="s">
        <v>29</v>
      </c>
      <c r="E135" s="394" t="s">
        <v>29</v>
      </c>
      <c r="F135" s="394" t="s">
        <v>29</v>
      </c>
      <c r="G135" s="394" t="s">
        <v>29</v>
      </c>
      <c r="H135" s="394" t="s">
        <v>29</v>
      </c>
      <c r="I135" s="394" t="s">
        <v>29</v>
      </c>
      <c r="J135" s="262"/>
      <c r="T135" s="262"/>
      <c r="AD135" s="262"/>
      <c r="AO135" s="262"/>
    </row>
    <row r="136" spans="1:41">
      <c r="A136" s="394" t="s">
        <v>29</v>
      </c>
      <c r="B136" s="394" t="s">
        <v>29</v>
      </c>
      <c r="C136" s="394" t="s">
        <v>29</v>
      </c>
      <c r="D136" s="394" t="s">
        <v>29</v>
      </c>
      <c r="E136" s="394" t="s">
        <v>29</v>
      </c>
      <c r="F136" s="394" t="s">
        <v>29</v>
      </c>
      <c r="G136" s="394" t="s">
        <v>29</v>
      </c>
      <c r="H136" s="394" t="s">
        <v>29</v>
      </c>
      <c r="I136" s="394" t="s">
        <v>29</v>
      </c>
      <c r="J136" s="262"/>
      <c r="T136" s="262"/>
      <c r="AD136" s="262"/>
      <c r="AO136" s="262"/>
    </row>
    <row r="137" spans="1:41">
      <c r="A137" s="635" t="s">
        <v>30</v>
      </c>
      <c r="B137" s="635"/>
      <c r="C137" s="635"/>
      <c r="D137" s="394" t="s">
        <v>29</v>
      </c>
      <c r="E137" s="394" t="s">
        <v>29</v>
      </c>
      <c r="F137" s="394" t="s">
        <v>29</v>
      </c>
      <c r="G137" s="394" t="s">
        <v>29</v>
      </c>
      <c r="H137" s="394" t="s">
        <v>29</v>
      </c>
      <c r="I137" s="394" t="s">
        <v>29</v>
      </c>
      <c r="J137" s="262"/>
      <c r="T137" s="262"/>
      <c r="AD137" s="262"/>
      <c r="AO137" s="262"/>
    </row>
    <row r="138" spans="1:41">
      <c r="A138" s="631" t="s">
        <v>31</v>
      </c>
      <c r="B138" s="631"/>
      <c r="C138" s="28">
        <v>0.98219999999999996</v>
      </c>
      <c r="D138" s="394"/>
      <c r="E138" s="394"/>
      <c r="F138" s="394" t="s">
        <v>29</v>
      </c>
      <c r="G138" s="394" t="s">
        <v>29</v>
      </c>
      <c r="H138" s="394" t="s">
        <v>29</v>
      </c>
      <c r="I138" s="394" t="s">
        <v>29</v>
      </c>
      <c r="J138" s="262"/>
      <c r="T138" s="262"/>
      <c r="AD138" s="262"/>
      <c r="AO138" s="262"/>
    </row>
    <row r="139" spans="1:41">
      <c r="A139" s="628" t="s">
        <v>32</v>
      </c>
      <c r="B139" s="628"/>
      <c r="C139" s="28">
        <v>0.96479999999999999</v>
      </c>
      <c r="D139" s="394" t="s">
        <v>29</v>
      </c>
      <c r="E139" s="394" t="s">
        <v>29</v>
      </c>
      <c r="F139" s="394" t="s">
        <v>29</v>
      </c>
      <c r="G139" s="394" t="s">
        <v>29</v>
      </c>
      <c r="H139" s="394" t="s">
        <v>29</v>
      </c>
      <c r="I139" s="394" t="s">
        <v>29</v>
      </c>
      <c r="J139" s="262"/>
      <c r="T139" s="262"/>
      <c r="AD139" s="262"/>
      <c r="AO139" s="262"/>
    </row>
    <row r="140" spans="1:41">
      <c r="A140" s="629" t="s">
        <v>33</v>
      </c>
      <c r="B140" s="628"/>
      <c r="C140" s="28">
        <v>0.96130000000000004</v>
      </c>
      <c r="E140" s="188" t="s">
        <v>60</v>
      </c>
      <c r="G140" s="394" t="s">
        <v>29</v>
      </c>
      <c r="H140" s="394" t="s">
        <v>29</v>
      </c>
      <c r="I140" s="394" t="s">
        <v>29</v>
      </c>
      <c r="J140" s="262"/>
      <c r="T140" s="262"/>
      <c r="AD140" s="262"/>
      <c r="AO140" s="262"/>
    </row>
    <row r="141" spans="1:41">
      <c r="A141" s="628" t="s">
        <v>34</v>
      </c>
      <c r="B141" s="628"/>
      <c r="C141" s="28">
        <v>2.86E-2</v>
      </c>
      <c r="E141" s="248">
        <f>C141/AVERAGE(C28:C39)</f>
        <v>3.3115830456730854E-3</v>
      </c>
      <c r="G141" s="394" t="s">
        <v>29</v>
      </c>
      <c r="H141" s="394" t="s">
        <v>29</v>
      </c>
      <c r="I141" s="394" t="s">
        <v>29</v>
      </c>
      <c r="J141" s="262"/>
      <c r="T141" s="262"/>
      <c r="AD141" s="262"/>
      <c r="AO141" s="262"/>
    </row>
    <row r="142" spans="1:41">
      <c r="A142" s="630" t="s">
        <v>35</v>
      </c>
      <c r="B142" s="630"/>
      <c r="C142" s="33">
        <v>12</v>
      </c>
      <c r="D142" s="394" t="s">
        <v>29</v>
      </c>
      <c r="E142" s="394" t="s">
        <v>29</v>
      </c>
      <c r="F142" s="394" t="s">
        <v>29</v>
      </c>
      <c r="G142" s="394" t="s">
        <v>29</v>
      </c>
      <c r="H142" s="394" t="s">
        <v>29</v>
      </c>
      <c r="I142" s="394" t="s">
        <v>29</v>
      </c>
      <c r="J142" s="262"/>
      <c r="T142" s="262"/>
      <c r="AD142" s="262"/>
      <c r="AO142" s="262"/>
    </row>
    <row r="143" spans="1:41">
      <c r="A143" s="394" t="s">
        <v>29</v>
      </c>
      <c r="B143" s="394" t="s">
        <v>29</v>
      </c>
      <c r="C143" s="394" t="s">
        <v>29</v>
      </c>
      <c r="D143" s="394" t="s">
        <v>29</v>
      </c>
      <c r="E143" s="394" t="s">
        <v>29</v>
      </c>
      <c r="F143" s="394" t="s">
        <v>29</v>
      </c>
      <c r="G143" s="394" t="s">
        <v>29</v>
      </c>
      <c r="H143" s="394" t="s">
        <v>29</v>
      </c>
      <c r="I143" s="394" t="s">
        <v>29</v>
      </c>
      <c r="J143" s="262"/>
      <c r="T143" s="262"/>
      <c r="AD143" s="262"/>
      <c r="AO143" s="262"/>
    </row>
    <row r="144" spans="1:41">
      <c r="A144" s="394" t="s">
        <v>36</v>
      </c>
      <c r="B144" s="394"/>
      <c r="C144" s="394"/>
      <c r="D144" s="394" t="s">
        <v>29</v>
      </c>
      <c r="E144" s="394" t="s">
        <v>29</v>
      </c>
      <c r="F144" s="394" t="s">
        <v>29</v>
      </c>
      <c r="G144" s="394" t="s">
        <v>29</v>
      </c>
      <c r="H144" s="394" t="s">
        <v>29</v>
      </c>
      <c r="I144" s="394" t="s">
        <v>29</v>
      </c>
      <c r="J144" s="262"/>
      <c r="T144" s="262"/>
      <c r="AD144" s="262"/>
      <c r="AO144" s="262"/>
    </row>
    <row r="145" spans="1:41">
      <c r="A145" s="245" t="s">
        <v>29</v>
      </c>
      <c r="B145" s="537" t="s">
        <v>37</v>
      </c>
      <c r="C145" s="537" t="s">
        <v>38</v>
      </c>
      <c r="D145" s="537" t="s">
        <v>39</v>
      </c>
      <c r="E145" s="537" t="s">
        <v>40</v>
      </c>
      <c r="F145" s="537" t="s">
        <v>41</v>
      </c>
      <c r="G145" s="394" t="s">
        <v>29</v>
      </c>
      <c r="H145" s="394" t="s">
        <v>29</v>
      </c>
      <c r="I145" s="394" t="s">
        <v>29</v>
      </c>
      <c r="J145" s="262"/>
      <c r="T145" s="262"/>
      <c r="AD145" s="262"/>
      <c r="AO145" s="262"/>
    </row>
    <row r="146" spans="1:41">
      <c r="A146" s="394" t="s">
        <v>42</v>
      </c>
      <c r="B146" s="420">
        <v>1</v>
      </c>
      <c r="C146" s="420">
        <v>0.22365025599999999</v>
      </c>
      <c r="D146" s="420">
        <v>0.22364999999999999</v>
      </c>
      <c r="E146" s="420">
        <v>274.20714600000002</v>
      </c>
      <c r="F146" s="538">
        <v>1.3471E-8</v>
      </c>
      <c r="G146" s="394" t="s">
        <v>29</v>
      </c>
      <c r="H146" s="394" t="s">
        <v>29</v>
      </c>
      <c r="I146" s="394" t="s">
        <v>29</v>
      </c>
      <c r="J146" s="262"/>
      <c r="T146" s="262"/>
      <c r="AD146" s="262"/>
      <c r="AO146" s="262"/>
    </row>
    <row r="147" spans="1:41">
      <c r="A147" s="394" t="s">
        <v>43</v>
      </c>
      <c r="B147" s="420">
        <v>10</v>
      </c>
      <c r="C147" s="420">
        <v>8.1562519999999993E-3</v>
      </c>
      <c r="D147" s="420">
        <v>8.1599999999999999E-4</v>
      </c>
      <c r="E147" s="420" t="s">
        <v>29</v>
      </c>
      <c r="F147" s="420" t="s">
        <v>29</v>
      </c>
      <c r="G147" s="394" t="s">
        <v>29</v>
      </c>
      <c r="H147" s="394" t="s">
        <v>29</v>
      </c>
      <c r="I147" s="394" t="s">
        <v>29</v>
      </c>
      <c r="J147" s="262"/>
      <c r="T147" s="262"/>
      <c r="AD147" s="262"/>
      <c r="AO147" s="262"/>
    </row>
    <row r="148" spans="1:41">
      <c r="A148" s="395" t="s">
        <v>44</v>
      </c>
      <c r="B148" s="534">
        <v>11</v>
      </c>
      <c r="C148" s="534">
        <v>0.23180650799999999</v>
      </c>
      <c r="D148" s="534" t="s">
        <v>29</v>
      </c>
      <c r="E148" s="534" t="s">
        <v>29</v>
      </c>
      <c r="F148" s="534" t="s">
        <v>29</v>
      </c>
      <c r="G148" s="394" t="s">
        <v>29</v>
      </c>
      <c r="H148" s="394" t="s">
        <v>29</v>
      </c>
      <c r="I148" s="394" t="s">
        <v>29</v>
      </c>
      <c r="J148" s="262"/>
      <c r="T148" s="262"/>
      <c r="AD148" s="262"/>
      <c r="AO148" s="262"/>
    </row>
    <row r="149" spans="1:41">
      <c r="A149" s="394" t="s">
        <v>29</v>
      </c>
      <c r="B149" s="394" t="s">
        <v>29</v>
      </c>
      <c r="C149" s="394" t="s">
        <v>29</v>
      </c>
      <c r="D149" s="394" t="s">
        <v>29</v>
      </c>
      <c r="E149" s="394" t="s">
        <v>29</v>
      </c>
      <c r="F149" s="394" t="s">
        <v>29</v>
      </c>
      <c r="G149" s="394" t="s">
        <v>29</v>
      </c>
      <c r="H149" s="394" t="s">
        <v>29</v>
      </c>
      <c r="I149" s="394" t="s">
        <v>29</v>
      </c>
      <c r="J149" s="262"/>
      <c r="T149" s="262"/>
      <c r="AD149" s="262"/>
      <c r="AO149" s="262"/>
    </row>
    <row r="150" spans="1:41">
      <c r="A150" s="245" t="s">
        <v>29</v>
      </c>
      <c r="B150" s="540" t="s">
        <v>45</v>
      </c>
      <c r="C150" s="540" t="s">
        <v>34</v>
      </c>
      <c r="D150" s="537" t="s">
        <v>46</v>
      </c>
      <c r="E150" s="537" t="s">
        <v>47</v>
      </c>
      <c r="F150" s="537" t="s">
        <v>48</v>
      </c>
      <c r="G150" s="537" t="s">
        <v>49</v>
      </c>
      <c r="H150" s="537" t="s">
        <v>50</v>
      </c>
      <c r="I150" s="537" t="s">
        <v>51</v>
      </c>
      <c r="J150" s="262"/>
      <c r="T150" s="262"/>
      <c r="AD150" s="262"/>
      <c r="AO150" s="262"/>
    </row>
    <row r="151" spans="1:41">
      <c r="A151" s="394" t="s">
        <v>52</v>
      </c>
      <c r="B151" s="420">
        <v>1.8341000000000001</v>
      </c>
      <c r="C151" s="420">
        <v>0.41086574599999998</v>
      </c>
      <c r="D151" s="420">
        <v>4.4640230000000001</v>
      </c>
      <c r="E151" s="420">
        <v>1.2085679999999999E-3</v>
      </c>
      <c r="F151" s="420">
        <v>0.91864825999999999</v>
      </c>
      <c r="G151" s="420">
        <v>2.7495801229999999</v>
      </c>
      <c r="H151" s="420">
        <v>0.91864825999999999</v>
      </c>
      <c r="I151" s="420">
        <v>2.7495801229999999</v>
      </c>
      <c r="J151" s="262"/>
      <c r="T151" s="262"/>
      <c r="Y151" s="183"/>
      <c r="AD151" s="262"/>
      <c r="AO151" s="262"/>
    </row>
    <row r="152" spans="1:41" ht="15" customHeight="1">
      <c r="A152" s="395" t="s">
        <v>13</v>
      </c>
      <c r="B152" s="542">
        <v>0.80200000000000005</v>
      </c>
      <c r="C152" s="534">
        <v>4.8433710999999997E-2</v>
      </c>
      <c r="D152" s="534">
        <v>16.559200000000001</v>
      </c>
      <c r="E152" s="543">
        <v>1.3470799999999999E-8</v>
      </c>
      <c r="F152" s="534">
        <v>0.69410654000000005</v>
      </c>
      <c r="G152" s="534">
        <v>0.90994060600000004</v>
      </c>
      <c r="H152" s="534">
        <v>0.69410653899999997</v>
      </c>
      <c r="I152" s="534">
        <v>0.90994060600000004</v>
      </c>
      <c r="J152" s="262"/>
      <c r="T152" s="262"/>
      <c r="AD152" s="262"/>
      <c r="AO152" s="262"/>
    </row>
    <row r="153" spans="1:41" ht="20">
      <c r="A153" s="60"/>
      <c r="B153" s="60"/>
      <c r="C153" s="60"/>
      <c r="D153" s="60"/>
      <c r="E153" s="60"/>
      <c r="F153" s="60"/>
      <c r="G153" s="60"/>
      <c r="H153" s="60"/>
      <c r="I153" s="60"/>
      <c r="J153" s="262"/>
      <c r="Q153" s="293"/>
      <c r="T153" s="262"/>
      <c r="AD153" s="262"/>
      <c r="AO153" s="262"/>
    </row>
    <row r="154" spans="1:41" ht="27" customHeight="1">
      <c r="A154" s="60"/>
      <c r="B154" s="400" t="s">
        <v>62</v>
      </c>
      <c r="C154" s="401">
        <f>EXP(B151)</f>
        <v>6.259498061323109</v>
      </c>
      <c r="D154" s="60"/>
      <c r="E154" s="320" t="s">
        <v>63</v>
      </c>
      <c r="F154" s="320"/>
      <c r="G154" s="323" t="s">
        <v>64</v>
      </c>
      <c r="J154" s="262"/>
      <c r="K154" s="60"/>
      <c r="L154" s="400" t="s">
        <v>62</v>
      </c>
      <c r="M154" s="402">
        <f>EXP(L129)</f>
        <v>3.8400151654529702E-12</v>
      </c>
      <c r="N154" s="60"/>
      <c r="O154" s="249" t="s">
        <v>63</v>
      </c>
      <c r="P154" s="249"/>
      <c r="Q154" s="322" t="s">
        <v>65</v>
      </c>
      <c r="T154" s="262"/>
      <c r="U154" s="60"/>
      <c r="V154" s="400" t="s">
        <v>62</v>
      </c>
      <c r="W154" s="402">
        <f>EXP(V106)</f>
        <v>1.7736249824852551E-5</v>
      </c>
      <c r="X154" s="313" t="s">
        <v>63</v>
      </c>
      <c r="Y154" s="312"/>
      <c r="Z154" s="322" t="s">
        <v>66</v>
      </c>
      <c r="AA154" s="311"/>
      <c r="AD154" s="262"/>
      <c r="AE154" s="60"/>
      <c r="AF154" s="400" t="s">
        <v>62</v>
      </c>
      <c r="AG154" s="402">
        <f>EXP(AF129)</f>
        <v>6.082486939491805E-93</v>
      </c>
      <c r="AH154" s="403"/>
      <c r="AI154" s="249" t="s">
        <v>63</v>
      </c>
      <c r="AJ154" s="249"/>
      <c r="AK154" s="322" t="s">
        <v>67</v>
      </c>
      <c r="AO154" s="262"/>
    </row>
    <row r="155" spans="1:41">
      <c r="B155" s="185"/>
      <c r="C155" s="188"/>
      <c r="D155" s="185"/>
      <c r="G155" s="321"/>
      <c r="J155" s="262"/>
      <c r="L155" s="185"/>
      <c r="M155" s="188"/>
      <c r="N155" s="185"/>
      <c r="T155" s="262"/>
      <c r="V155" s="185"/>
      <c r="W155" s="188"/>
      <c r="X155" s="185"/>
      <c r="AD155" s="262"/>
      <c r="AF155" s="185"/>
      <c r="AG155" s="188"/>
      <c r="AH155" s="185"/>
      <c r="AO155" s="262"/>
    </row>
    <row r="156" spans="1:41" ht="15" customHeight="1">
      <c r="A156" s="698" t="s">
        <v>68</v>
      </c>
      <c r="B156" s="698"/>
      <c r="C156" s="698"/>
      <c r="D156" s="698"/>
      <c r="E156" s="698"/>
      <c r="F156" s="698"/>
      <c r="G156" s="698"/>
      <c r="H156" s="698"/>
      <c r="I156" s="698"/>
      <c r="J156" s="262"/>
      <c r="K156" s="701" t="s">
        <v>69</v>
      </c>
      <c r="L156" s="702"/>
      <c r="M156" s="702"/>
      <c r="N156" s="702"/>
      <c r="O156" s="702"/>
      <c r="P156" s="702"/>
      <c r="Q156" s="702"/>
      <c r="R156" s="702"/>
      <c r="S156" s="702"/>
      <c r="T156" s="703"/>
      <c r="U156" s="685" t="s">
        <v>70</v>
      </c>
      <c r="V156" s="686"/>
      <c r="W156" s="686"/>
      <c r="X156" s="686"/>
      <c r="Y156" s="686"/>
      <c r="Z156" s="686"/>
      <c r="AA156" s="686"/>
      <c r="AB156" s="686"/>
      <c r="AC156" s="686"/>
      <c r="AD156" s="687"/>
      <c r="AF156" s="699" t="s">
        <v>71</v>
      </c>
      <c r="AG156" s="699"/>
      <c r="AH156" s="699"/>
      <c r="AI156" s="699"/>
      <c r="AJ156" s="699"/>
      <c r="AK156" s="699"/>
      <c r="AL156" s="699"/>
      <c r="AM156" s="699"/>
      <c r="AN156" s="699"/>
      <c r="AO156" s="700"/>
    </row>
    <row r="157" spans="1:41" ht="15" customHeight="1">
      <c r="A157" s="698"/>
      <c r="B157" s="698"/>
      <c r="C157" s="698"/>
      <c r="D157" s="698"/>
      <c r="E157" s="698"/>
      <c r="F157" s="698"/>
      <c r="G157" s="698"/>
      <c r="H157" s="698"/>
      <c r="I157" s="698"/>
      <c r="J157" s="262"/>
      <c r="K157" s="701"/>
      <c r="L157" s="702"/>
      <c r="M157" s="702"/>
      <c r="N157" s="702"/>
      <c r="O157" s="702"/>
      <c r="P157" s="702"/>
      <c r="Q157" s="702"/>
      <c r="R157" s="702"/>
      <c r="S157" s="702"/>
      <c r="T157" s="703"/>
      <c r="U157" s="685" t="s">
        <v>72</v>
      </c>
      <c r="V157" s="686"/>
      <c r="W157" s="686"/>
      <c r="X157" s="686"/>
      <c r="Y157" s="686"/>
      <c r="Z157" s="686"/>
      <c r="AA157" s="686"/>
      <c r="AB157" s="686"/>
      <c r="AC157" s="686"/>
      <c r="AD157" s="687"/>
      <c r="AF157" s="638" t="s">
        <v>73</v>
      </c>
      <c r="AG157" s="638"/>
      <c r="AH157" s="638"/>
      <c r="AI157" s="638"/>
      <c r="AJ157" s="638"/>
      <c r="AK157" s="638"/>
      <c r="AL157" s="638"/>
      <c r="AM157" s="638"/>
      <c r="AN157" s="638"/>
      <c r="AO157" s="561"/>
    </row>
    <row r="158" spans="1:41" ht="15" customHeight="1">
      <c r="A158" s="314"/>
      <c r="B158" s="404"/>
      <c r="C158" s="404"/>
      <c r="D158" s="404"/>
      <c r="E158" s="404"/>
      <c r="F158" s="404"/>
      <c r="G158" s="404"/>
      <c r="H158" s="404"/>
      <c r="I158" s="404"/>
      <c r="J158" s="262"/>
      <c r="K158" s="704" t="s">
        <v>74</v>
      </c>
      <c r="L158" s="705"/>
      <c r="M158" s="705"/>
      <c r="N158" s="705"/>
      <c r="O158" s="705"/>
      <c r="P158" s="705"/>
      <c r="Q158" s="705"/>
      <c r="R158" s="705"/>
      <c r="S158" s="705"/>
      <c r="T158" s="706"/>
      <c r="U158" s="685" t="s">
        <v>75</v>
      </c>
      <c r="V158" s="686"/>
      <c r="W158" s="686"/>
      <c r="X158" s="686"/>
      <c r="Y158" s="686"/>
      <c r="Z158" s="686"/>
      <c r="AA158" s="686"/>
      <c r="AB158" s="686"/>
      <c r="AC158" s="686"/>
      <c r="AD158" s="687"/>
      <c r="AE158" s="185"/>
      <c r="AF158" s="638"/>
      <c r="AG158" s="638"/>
      <c r="AH158" s="638"/>
      <c r="AI158" s="638"/>
      <c r="AJ158" s="638"/>
      <c r="AK158" s="638"/>
      <c r="AL158" s="638"/>
      <c r="AM158" s="638"/>
      <c r="AN158" s="638"/>
      <c r="AO158" s="561"/>
    </row>
    <row r="159" spans="1:41">
      <c r="A159" s="404"/>
      <c r="B159" s="251"/>
      <c r="C159" s="315"/>
      <c r="D159" s="251"/>
      <c r="E159" s="404"/>
      <c r="F159" s="404"/>
      <c r="G159" s="404"/>
      <c r="H159" s="404"/>
      <c r="I159" s="404"/>
      <c r="J159" s="262"/>
      <c r="K159" s="704"/>
      <c r="L159" s="705"/>
      <c r="M159" s="705"/>
      <c r="N159" s="705"/>
      <c r="O159" s="705"/>
      <c r="P159" s="705"/>
      <c r="Q159" s="705"/>
      <c r="R159" s="705"/>
      <c r="S159" s="705"/>
      <c r="T159" s="706"/>
      <c r="U159" s="275"/>
      <c r="V159" s="276"/>
      <c r="W159" s="276"/>
      <c r="X159" s="276"/>
      <c r="Y159" s="276"/>
      <c r="Z159" s="276"/>
      <c r="AA159" s="276"/>
      <c r="AB159" s="276"/>
      <c r="AC159" s="276"/>
      <c r="AD159" s="277"/>
      <c r="AF159" s="185"/>
      <c r="AG159" s="188"/>
      <c r="AH159" s="185"/>
      <c r="AO159" s="262"/>
    </row>
    <row r="160" spans="1:41">
      <c r="B160" s="185" t="s">
        <v>76</v>
      </c>
      <c r="C160" s="305">
        <f>F199</f>
        <v>7220.4099999999989</v>
      </c>
      <c r="D160" s="185" t="s">
        <v>77</v>
      </c>
      <c r="J160" s="262"/>
      <c r="L160" s="189" t="s">
        <v>76</v>
      </c>
      <c r="M160" s="306">
        <f>P199</f>
        <v>3604.4</v>
      </c>
      <c r="N160" s="185" t="s">
        <v>77</v>
      </c>
      <c r="T160" s="262"/>
      <c r="V160" s="189" t="s">
        <v>76</v>
      </c>
      <c r="W160" s="306">
        <f>Z199</f>
        <v>10938</v>
      </c>
      <c r="X160" s="185" t="s">
        <v>77</v>
      </c>
      <c r="AD160" s="262"/>
      <c r="AO160" s="262"/>
    </row>
    <row r="161" spans="1:41">
      <c r="J161" s="262"/>
      <c r="L161" s="189" t="s">
        <v>78</v>
      </c>
      <c r="M161" s="359">
        <f>P256</f>
        <v>106.822833</v>
      </c>
      <c r="N161" s="185" t="s">
        <v>79</v>
      </c>
      <c r="T161" s="262"/>
      <c r="V161" s="189" t="s">
        <v>78</v>
      </c>
      <c r="W161" s="614">
        <f>Z253</f>
        <v>7455.3762400000005</v>
      </c>
      <c r="X161" s="185" t="s">
        <v>79</v>
      </c>
      <c r="AD161" s="262"/>
      <c r="AF161" s="185" t="s">
        <v>76</v>
      </c>
      <c r="AG161" s="614">
        <f>AJ220</f>
        <v>6444.0253300000004</v>
      </c>
      <c r="AH161" s="185" t="s">
        <v>79</v>
      </c>
      <c r="AO161" s="262"/>
    </row>
    <row r="162" spans="1:41">
      <c r="B162" s="185"/>
      <c r="C162" s="191"/>
      <c r="D162" s="185"/>
      <c r="J162" s="262"/>
      <c r="T162" s="262"/>
      <c r="V162" s="189" t="s">
        <v>80</v>
      </c>
      <c r="W162" s="359">
        <f>Z290</f>
        <v>106.822833</v>
      </c>
      <c r="X162" s="185" t="s">
        <v>79</v>
      </c>
      <c r="AD162" s="262"/>
      <c r="AF162" s="185" t="s">
        <v>78</v>
      </c>
      <c r="AG162" s="305">
        <f>AJ247</f>
        <v>2239.3999999999996</v>
      </c>
      <c r="AH162" s="185" t="s">
        <v>77</v>
      </c>
      <c r="AO162" s="262"/>
    </row>
    <row r="163" spans="1:41">
      <c r="B163" s="185"/>
      <c r="C163" s="191"/>
      <c r="D163" s="185"/>
      <c r="J163" s="262"/>
      <c r="L163" s="185"/>
      <c r="M163" s="191"/>
      <c r="N163" s="185"/>
      <c r="T163" s="262"/>
      <c r="AD163" s="262"/>
      <c r="AF163" s="185"/>
      <c r="AG163" s="191"/>
      <c r="AH163" s="185"/>
      <c r="AO163" s="262"/>
    </row>
    <row r="164" spans="1:41">
      <c r="B164" s="185"/>
      <c r="C164" s="191"/>
      <c r="D164" s="688" t="s">
        <v>81</v>
      </c>
      <c r="E164" s="688"/>
      <c r="F164" s="688"/>
      <c r="G164" s="688"/>
      <c r="H164" s="688"/>
      <c r="J164" s="262"/>
      <c r="L164" s="185"/>
      <c r="M164" s="191"/>
      <c r="N164" s="688" t="s">
        <v>81</v>
      </c>
      <c r="O164" s="688"/>
      <c r="P164" s="688"/>
      <c r="Q164" s="688"/>
      <c r="R164" s="688"/>
      <c r="T164" s="262"/>
      <c r="V164" s="185"/>
      <c r="W164" s="191"/>
      <c r="X164" s="688" t="s">
        <v>81</v>
      </c>
      <c r="Y164" s="688"/>
      <c r="Z164" s="688"/>
      <c r="AA164" s="688"/>
      <c r="AB164" s="688"/>
      <c r="AD164" s="262"/>
      <c r="AF164" s="185"/>
      <c r="AG164" s="191"/>
      <c r="AH164" s="688" t="s">
        <v>81</v>
      </c>
      <c r="AI164" s="688"/>
      <c r="AJ164" s="688"/>
      <c r="AK164" s="688"/>
      <c r="AL164" s="688"/>
      <c r="AO164" s="262"/>
    </row>
    <row r="165" spans="1:41">
      <c r="A165" s="71" t="s">
        <v>82</v>
      </c>
      <c r="B165" s="71" t="s">
        <v>83</v>
      </c>
      <c r="D165" s="688"/>
      <c r="E165" s="688"/>
      <c r="F165" s="688"/>
      <c r="G165" s="688"/>
      <c r="H165" s="688"/>
      <c r="J165" s="262"/>
      <c r="K165" s="71" t="s">
        <v>82</v>
      </c>
      <c r="L165" s="71" t="s">
        <v>83</v>
      </c>
      <c r="N165" s="688"/>
      <c r="O165" s="688"/>
      <c r="P165" s="688"/>
      <c r="Q165" s="688"/>
      <c r="R165" s="688"/>
      <c r="T165" s="262"/>
      <c r="U165" s="71" t="s">
        <v>82</v>
      </c>
      <c r="V165" s="71" t="s">
        <v>83</v>
      </c>
      <c r="X165" s="688"/>
      <c r="Y165" s="688"/>
      <c r="Z165" s="688"/>
      <c r="AA165" s="688"/>
      <c r="AB165" s="688"/>
      <c r="AD165" s="262"/>
      <c r="AE165" s="71" t="s">
        <v>82</v>
      </c>
      <c r="AF165" s="71" t="s">
        <v>83</v>
      </c>
      <c r="AH165" s="688"/>
      <c r="AI165" s="688"/>
      <c r="AJ165" s="688"/>
      <c r="AK165" s="688"/>
      <c r="AL165" s="688"/>
      <c r="AO165" s="262"/>
    </row>
    <row r="166" spans="1:41">
      <c r="A166" s="204">
        <v>1</v>
      </c>
      <c r="B166" s="205">
        <v>1</v>
      </c>
      <c r="C166" s="192"/>
      <c r="D166" s="191"/>
      <c r="E166" s="185"/>
      <c r="J166" s="263"/>
      <c r="K166" s="264">
        <v>1</v>
      </c>
      <c r="L166" s="205">
        <v>1</v>
      </c>
      <c r="M166" s="192"/>
      <c r="N166" s="191"/>
      <c r="O166" s="185"/>
      <c r="T166" s="262"/>
      <c r="U166" s="264">
        <v>1</v>
      </c>
      <c r="V166" s="205">
        <v>1</v>
      </c>
      <c r="W166" s="192"/>
      <c r="X166" s="191"/>
      <c r="Y166" s="185"/>
      <c r="AD166" s="262"/>
      <c r="AE166" s="264">
        <v>1</v>
      </c>
      <c r="AF166" s="205">
        <v>1</v>
      </c>
      <c r="AG166" s="192"/>
      <c r="AH166" s="191"/>
      <c r="AI166" s="185"/>
      <c r="AO166" s="262"/>
    </row>
    <row r="167" spans="1:41">
      <c r="A167" s="206">
        <v>2</v>
      </c>
      <c r="B167" s="207">
        <v>1</v>
      </c>
      <c r="D167" s="196" t="s">
        <v>84</v>
      </c>
      <c r="E167" s="193"/>
      <c r="F167" s="194" t="s">
        <v>85</v>
      </c>
      <c r="G167" s="185"/>
      <c r="H167" s="185"/>
      <c r="I167" s="185"/>
      <c r="J167" s="263"/>
      <c r="K167" s="71">
        <v>2</v>
      </c>
      <c r="L167" s="207">
        <v>1</v>
      </c>
      <c r="N167" s="196" t="s">
        <v>84</v>
      </c>
      <c r="O167" s="193"/>
      <c r="P167" s="194" t="s">
        <v>85</v>
      </c>
      <c r="Q167" s="185"/>
      <c r="R167" s="185"/>
      <c r="S167" s="185"/>
      <c r="T167" s="262"/>
      <c r="U167" s="71">
        <v>2</v>
      </c>
      <c r="V167" s="207">
        <v>1</v>
      </c>
      <c r="X167" s="196" t="s">
        <v>84</v>
      </c>
      <c r="Y167" s="193"/>
      <c r="Z167" s="194" t="s">
        <v>85</v>
      </c>
      <c r="AA167" s="185"/>
      <c r="AB167" s="185"/>
      <c r="AC167" s="185"/>
      <c r="AD167" s="262"/>
      <c r="AE167" s="71">
        <v>2</v>
      </c>
      <c r="AF167" s="207">
        <v>1</v>
      </c>
      <c r="AH167" s="196" t="s">
        <v>84</v>
      </c>
      <c r="AI167" s="193"/>
      <c r="AJ167" s="194" t="s">
        <v>85</v>
      </c>
      <c r="AK167" s="185"/>
      <c r="AL167" s="185"/>
      <c r="AM167" s="185"/>
      <c r="AO167" s="262"/>
    </row>
    <row r="168" spans="1:41">
      <c r="A168" s="206">
        <v>3</v>
      </c>
      <c r="B168" s="207">
        <v>1</v>
      </c>
      <c r="D168" s="197">
        <v>13</v>
      </c>
      <c r="E168" s="193"/>
      <c r="F168" s="195">
        <f>C154*C160^(B152)</f>
        <v>7782.2668810444438</v>
      </c>
      <c r="G168" s="185"/>
      <c r="H168" s="185"/>
      <c r="I168" s="185"/>
      <c r="J168" s="263"/>
      <c r="K168" s="71">
        <v>3</v>
      </c>
      <c r="L168" s="207">
        <v>1</v>
      </c>
      <c r="N168" s="197">
        <v>13</v>
      </c>
      <c r="O168" s="193"/>
      <c r="P168" s="195">
        <f>M154*M160^(L130)*M161^(L131)</f>
        <v>11298.332514134014</v>
      </c>
      <c r="Q168" s="185"/>
      <c r="R168" s="185"/>
      <c r="S168" s="185"/>
      <c r="T168" s="262"/>
      <c r="U168" s="71">
        <v>3</v>
      </c>
      <c r="V168" s="207">
        <v>1</v>
      </c>
      <c r="X168" s="197">
        <v>13</v>
      </c>
      <c r="Y168" s="193"/>
      <c r="Z168" s="195">
        <f>W154*W160^(V107)*W161^(V108)*W162^(V109)</f>
        <v>10429.809871159168</v>
      </c>
      <c r="AA168" s="185"/>
      <c r="AB168" s="185"/>
      <c r="AC168" s="185"/>
      <c r="AD168" s="262"/>
      <c r="AE168" s="71">
        <v>3</v>
      </c>
      <c r="AF168" s="207">
        <v>1</v>
      </c>
      <c r="AH168" s="197">
        <v>13</v>
      </c>
      <c r="AI168" s="193"/>
      <c r="AJ168" s="195">
        <f>AG154*AG161^(AF130)*AG162^(AF131)</f>
        <v>5499.3009918697844</v>
      </c>
      <c r="AK168" s="185"/>
      <c r="AL168" s="185"/>
      <c r="AM168" s="185"/>
      <c r="AO168" s="262"/>
    </row>
    <row r="169" spans="1:41">
      <c r="A169" s="206">
        <v>4</v>
      </c>
      <c r="B169" s="207">
        <v>1</v>
      </c>
      <c r="C169" s="185"/>
      <c r="D169" s="185"/>
      <c r="E169" s="185"/>
      <c r="F169" s="185"/>
      <c r="G169" s="185"/>
      <c r="H169" s="185"/>
      <c r="I169" s="185"/>
      <c r="J169" s="263"/>
      <c r="K169" s="71">
        <v>4</v>
      </c>
      <c r="L169" s="207">
        <v>1</v>
      </c>
      <c r="M169" s="185"/>
      <c r="N169" s="185"/>
      <c r="O169" s="185"/>
      <c r="P169" s="185"/>
      <c r="Q169" s="185"/>
      <c r="R169" s="185"/>
      <c r="S169" s="185"/>
      <c r="T169" s="262"/>
      <c r="U169" s="71">
        <v>4</v>
      </c>
      <c r="V169" s="207">
        <v>1</v>
      </c>
      <c r="W169" s="185"/>
      <c r="X169" s="185"/>
      <c r="Y169" s="185"/>
      <c r="Z169" s="185"/>
      <c r="AA169" s="185"/>
      <c r="AB169" s="185"/>
      <c r="AC169" s="185"/>
      <c r="AD169" s="262"/>
      <c r="AE169" s="71">
        <v>4</v>
      </c>
      <c r="AF169" s="207">
        <v>1</v>
      </c>
      <c r="AG169" s="185"/>
      <c r="AH169" s="185"/>
      <c r="AI169" s="185"/>
      <c r="AJ169" s="185"/>
      <c r="AK169" s="185"/>
      <c r="AL169" s="185"/>
      <c r="AM169" s="185"/>
      <c r="AO169" s="262"/>
    </row>
    <row r="170" spans="1:41">
      <c r="A170" s="206">
        <v>5</v>
      </c>
      <c r="B170" s="207">
        <v>1</v>
      </c>
      <c r="C170" s="185" t="s">
        <v>86</v>
      </c>
      <c r="D170" s="185"/>
      <c r="E170" s="185"/>
      <c r="F170" s="185"/>
      <c r="G170" s="185"/>
      <c r="H170" s="185"/>
      <c r="I170" s="185"/>
      <c r="J170" s="262"/>
      <c r="K170" s="71">
        <v>5</v>
      </c>
      <c r="L170" s="207">
        <v>1</v>
      </c>
      <c r="M170" s="185" t="s">
        <v>86</v>
      </c>
      <c r="N170" s="185"/>
      <c r="O170" s="185"/>
      <c r="P170" s="185"/>
      <c r="Q170" s="185"/>
      <c r="R170" s="185"/>
      <c r="S170" s="185"/>
      <c r="T170" s="262"/>
      <c r="U170" s="71">
        <v>5</v>
      </c>
      <c r="V170" s="207">
        <v>1</v>
      </c>
      <c r="W170" s="185" t="s">
        <v>86</v>
      </c>
      <c r="X170" s="185"/>
      <c r="Y170" s="185"/>
      <c r="Z170" s="185"/>
      <c r="AA170" s="185"/>
      <c r="AB170" s="185"/>
      <c r="AC170" s="185"/>
      <c r="AD170" s="262"/>
      <c r="AE170" s="71">
        <v>5</v>
      </c>
      <c r="AF170" s="207">
        <v>1</v>
      </c>
      <c r="AG170" s="185" t="s">
        <v>86</v>
      </c>
      <c r="AH170" s="185"/>
      <c r="AI170" s="185"/>
      <c r="AJ170" s="185"/>
      <c r="AK170" s="185"/>
      <c r="AL170" s="185"/>
      <c r="AM170" s="185"/>
      <c r="AO170" s="262"/>
    </row>
    <row r="171" spans="1:41">
      <c r="A171" s="206">
        <v>6</v>
      </c>
      <c r="B171" s="207">
        <v>1</v>
      </c>
      <c r="C171" s="185"/>
      <c r="D171" s="193"/>
      <c r="E171" s="185"/>
      <c r="F171" s="185" t="s">
        <v>87</v>
      </c>
      <c r="G171" s="185"/>
      <c r="H171" s="185" t="s">
        <v>88</v>
      </c>
      <c r="I171" s="185"/>
      <c r="J171" s="262"/>
      <c r="K171" s="71">
        <v>6</v>
      </c>
      <c r="L171" s="207">
        <v>1</v>
      </c>
      <c r="M171" s="185"/>
      <c r="N171" s="193"/>
      <c r="O171" s="185"/>
      <c r="P171" s="185" t="s">
        <v>87</v>
      </c>
      <c r="Q171" s="185"/>
      <c r="R171" s="185" t="s">
        <v>88</v>
      </c>
      <c r="S171" s="185"/>
      <c r="T171" s="262"/>
      <c r="U171" s="71">
        <v>6</v>
      </c>
      <c r="V171" s="207">
        <v>1</v>
      </c>
      <c r="W171" s="185"/>
      <c r="X171" s="185"/>
      <c r="Y171" s="185"/>
      <c r="Z171" s="185" t="s">
        <v>87</v>
      </c>
      <c r="AA171" s="185"/>
      <c r="AB171" s="185" t="s">
        <v>88</v>
      </c>
      <c r="AC171" s="185"/>
      <c r="AD171" s="262"/>
      <c r="AE171" s="71">
        <v>6</v>
      </c>
      <c r="AF171" s="207">
        <v>1</v>
      </c>
      <c r="AG171" s="185"/>
      <c r="AH171" s="185"/>
      <c r="AI171" s="185"/>
      <c r="AJ171" s="185" t="s">
        <v>87</v>
      </c>
      <c r="AK171" s="185"/>
      <c r="AL171" s="185" t="s">
        <v>88</v>
      </c>
      <c r="AM171" s="185"/>
      <c r="AO171" s="262"/>
    </row>
    <row r="172" spans="1:41">
      <c r="A172" s="206">
        <v>7</v>
      </c>
      <c r="B172" s="207">
        <v>1</v>
      </c>
      <c r="C172" s="189" t="s">
        <v>89</v>
      </c>
      <c r="D172" s="292" cm="1">
        <f t="array" ref="D172">C141*SQRT(1+MMULT(MMULT(TRANSPOSE(F172:F173),H172:I173),F172:F173))</f>
        <v>3.3582634401329116E-2</v>
      </c>
      <c r="E172" s="185"/>
      <c r="F172" s="198">
        <v>13</v>
      </c>
      <c r="G172" s="185" t="s">
        <v>84</v>
      </c>
      <c r="H172" s="200" cm="1">
        <f t="array" ref="H172:I173">MINVERSE(MMULT(TRANSPOSE(A166:B177),A166:B177))</f>
        <v>6.9930069930069921E-3</v>
      </c>
      <c r="I172" s="201">
        <v>-4.5454545454545449E-2</v>
      </c>
      <c r="J172" s="262"/>
      <c r="K172" s="71">
        <v>7</v>
      </c>
      <c r="L172" s="207">
        <v>1</v>
      </c>
      <c r="M172" s="189" t="s">
        <v>89</v>
      </c>
      <c r="N172" s="292" cm="1">
        <f t="array" ref="N172">M119*SQRT(1+MMULT(MMULT(TRANSPOSE(P172:P173),R172:S173),P172:P173))</f>
        <v>4.3516077057437832E-2</v>
      </c>
      <c r="O172" s="185"/>
      <c r="P172" s="198">
        <v>13</v>
      </c>
      <c r="Q172" s="185" t="s">
        <v>84</v>
      </c>
      <c r="R172" s="200" cm="1">
        <f t="array" ref="R172:S173">MINVERSE(MMULT(TRANSPOSE(K166:L177),K166:L177))</f>
        <v>6.9930069930069921E-3</v>
      </c>
      <c r="S172" s="201">
        <v>-4.5454545454545449E-2</v>
      </c>
      <c r="T172" s="262"/>
      <c r="U172" s="71">
        <v>7</v>
      </c>
      <c r="V172" s="207">
        <v>1</v>
      </c>
      <c r="W172" s="189" t="s">
        <v>89</v>
      </c>
      <c r="X172" s="292" cm="1">
        <f t="array" ref="X172">W96*IMSQRT(1+MMULT(MMULT(TRANSPOSE(Z172:Z173),AB172:AC173),Z172:Z173))</f>
        <v>2.2974749115258961E-2</v>
      </c>
      <c r="Y172" s="185"/>
      <c r="Z172" s="198">
        <v>13</v>
      </c>
      <c r="AA172" s="185" t="s">
        <v>84</v>
      </c>
      <c r="AB172" s="200" cm="1">
        <f t="array" ref="AB172:AC173">MINVERSE(MMULT(TRANSPOSE(U166:V177),U166:V177))</f>
        <v>6.9930069930069921E-3</v>
      </c>
      <c r="AC172" s="201">
        <v>-4.5454545454545449E-2</v>
      </c>
      <c r="AD172" s="262"/>
      <c r="AE172" s="71">
        <v>7</v>
      </c>
      <c r="AF172" s="207">
        <v>1</v>
      </c>
      <c r="AG172" s="189" t="s">
        <v>89</v>
      </c>
      <c r="AH172" s="292" cm="1">
        <f t="array" ref="AH172">AG119*SQRT(1+MMULT(MMULT(TRANSPOSE(AJ172:AJ173),AL172:AM173),AJ172:AJ173))</f>
        <v>4.6711565703471097E-2</v>
      </c>
      <c r="AI172" s="185"/>
      <c r="AJ172" s="198">
        <v>13</v>
      </c>
      <c r="AK172" s="185" t="s">
        <v>84</v>
      </c>
      <c r="AL172" s="200" cm="1">
        <f t="array" ref="AL172:AM173">MINVERSE(MMULT(TRANSPOSE(AE166:AF177),AE166:AF177))</f>
        <v>6.9930069930069921E-3</v>
      </c>
      <c r="AM172" s="201">
        <v>-4.5454545454545449E-2</v>
      </c>
      <c r="AO172" s="262"/>
    </row>
    <row r="173" spans="1:41">
      <c r="A173" s="206">
        <v>8</v>
      </c>
      <c r="B173" s="207">
        <v>1</v>
      </c>
      <c r="C173" s="185"/>
      <c r="D173" s="193"/>
      <c r="E173" s="185"/>
      <c r="F173" s="199">
        <v>1</v>
      </c>
      <c r="G173" s="185" t="s">
        <v>90</v>
      </c>
      <c r="H173" s="202">
        <v>-4.5454545454545442E-2</v>
      </c>
      <c r="I173" s="203">
        <v>0.37878787878787873</v>
      </c>
      <c r="J173" s="263"/>
      <c r="K173" s="71">
        <v>8</v>
      </c>
      <c r="L173" s="207">
        <v>1</v>
      </c>
      <c r="M173" s="185"/>
      <c r="N173" s="193"/>
      <c r="O173" s="185"/>
      <c r="P173" s="199">
        <v>1</v>
      </c>
      <c r="Q173" s="185" t="s">
        <v>90</v>
      </c>
      <c r="R173" s="202">
        <v>-4.5454545454545442E-2</v>
      </c>
      <c r="S173" s="203">
        <v>0.37878787878787873</v>
      </c>
      <c r="T173" s="262"/>
      <c r="U173" s="71">
        <v>8</v>
      </c>
      <c r="V173" s="207">
        <v>1</v>
      </c>
      <c r="W173" s="185"/>
      <c r="X173" s="193"/>
      <c r="Y173" s="185"/>
      <c r="Z173" s="199">
        <v>1</v>
      </c>
      <c r="AA173" s="185" t="s">
        <v>90</v>
      </c>
      <c r="AB173" s="202">
        <v>-4.5454545454545442E-2</v>
      </c>
      <c r="AC173" s="203">
        <v>0.37878787878787873</v>
      </c>
      <c r="AD173" s="262"/>
      <c r="AE173" s="71">
        <v>8</v>
      </c>
      <c r="AF173" s="207">
        <v>1</v>
      </c>
      <c r="AG173" s="185"/>
      <c r="AH173" s="193"/>
      <c r="AI173" s="185"/>
      <c r="AJ173" s="199">
        <v>1</v>
      </c>
      <c r="AK173" s="185" t="s">
        <v>90</v>
      </c>
      <c r="AL173" s="202">
        <v>-4.5454545454545442E-2</v>
      </c>
      <c r="AM173" s="203">
        <v>0.37878787878787873</v>
      </c>
      <c r="AO173" s="262"/>
    </row>
    <row r="174" spans="1:41">
      <c r="A174" s="206">
        <v>9</v>
      </c>
      <c r="B174" s="207">
        <v>1</v>
      </c>
      <c r="C174" s="185"/>
      <c r="D174" s="193"/>
      <c r="E174" s="185"/>
      <c r="F174" s="185"/>
      <c r="G174" s="185"/>
      <c r="H174" s="185"/>
      <c r="I174" s="185"/>
      <c r="J174" s="263"/>
      <c r="K174" s="71">
        <v>9</v>
      </c>
      <c r="L174" s="207">
        <v>1</v>
      </c>
      <c r="M174" s="185"/>
      <c r="N174" s="193"/>
      <c r="O174" s="185"/>
      <c r="P174" s="185"/>
      <c r="Q174" s="185"/>
      <c r="R174" s="185"/>
      <c r="S174" s="185"/>
      <c r="T174" s="262"/>
      <c r="U174" s="71">
        <v>9</v>
      </c>
      <c r="V174" s="207">
        <v>1</v>
      </c>
      <c r="W174" s="185"/>
      <c r="X174" s="193"/>
      <c r="Y174" s="185"/>
      <c r="Z174" s="185"/>
      <c r="AA174" s="185"/>
      <c r="AB174" s="185"/>
      <c r="AC174" s="185"/>
      <c r="AD174" s="262"/>
      <c r="AE174" s="71">
        <v>9</v>
      </c>
      <c r="AF174" s="207">
        <v>1</v>
      </c>
      <c r="AG174" s="185"/>
      <c r="AH174" s="193"/>
      <c r="AI174" s="185"/>
      <c r="AJ174" s="185"/>
      <c r="AK174" s="185"/>
      <c r="AL174" s="185"/>
      <c r="AM174" s="185"/>
      <c r="AO174" s="262"/>
    </row>
    <row r="175" spans="1:41">
      <c r="A175" s="206">
        <v>10</v>
      </c>
      <c r="B175" s="207">
        <v>1</v>
      </c>
      <c r="C175" s="189" t="s">
        <v>91</v>
      </c>
      <c r="D175" s="292">
        <f>ABS(1/F168)</f>
        <v>1.2849726375174013E-4</v>
      </c>
      <c r="E175" s="185"/>
      <c r="F175" s="185"/>
      <c r="G175" s="185"/>
      <c r="H175" s="185"/>
      <c r="I175" s="185"/>
      <c r="J175" s="263"/>
      <c r="K175" s="71">
        <v>10</v>
      </c>
      <c r="L175" s="207">
        <v>1</v>
      </c>
      <c r="M175" s="189" t="s">
        <v>91</v>
      </c>
      <c r="N175" s="292">
        <f>ABS(1/P168)</f>
        <v>8.850863600881083E-5</v>
      </c>
      <c r="O175" s="185"/>
      <c r="P175" s="185"/>
      <c r="Q175" s="185"/>
      <c r="R175" s="185"/>
      <c r="S175" s="185"/>
      <c r="T175" s="262"/>
      <c r="U175" s="71">
        <v>10</v>
      </c>
      <c r="V175" s="207">
        <v>1</v>
      </c>
      <c r="W175" s="189" t="s">
        <v>91</v>
      </c>
      <c r="X175" s="292">
        <f>ABS(1/Z168)</f>
        <v>9.5879024867484002E-5</v>
      </c>
      <c r="Y175" s="185"/>
      <c r="Z175" s="185"/>
      <c r="AA175" s="185"/>
      <c r="AB175" s="185"/>
      <c r="AC175" s="185"/>
      <c r="AD175" s="262"/>
      <c r="AE175" s="71">
        <v>10</v>
      </c>
      <c r="AF175" s="207">
        <v>1</v>
      </c>
      <c r="AG175" s="189" t="s">
        <v>91</v>
      </c>
      <c r="AH175" s="292">
        <f>ABS(1/AJ168)</f>
        <v>1.8184129246215272E-4</v>
      </c>
      <c r="AI175" s="185"/>
      <c r="AJ175" s="185"/>
      <c r="AK175" s="185"/>
      <c r="AL175" s="185"/>
      <c r="AM175" s="185"/>
      <c r="AO175" s="262"/>
    </row>
    <row r="176" spans="1:41" ht="25.5" customHeight="1">
      <c r="A176" s="206">
        <v>11</v>
      </c>
      <c r="B176" s="207">
        <v>1</v>
      </c>
      <c r="C176" s="185"/>
      <c r="D176" s="193"/>
      <c r="E176" s="185"/>
      <c r="F176" s="638" t="s">
        <v>92</v>
      </c>
      <c r="G176" s="638"/>
      <c r="H176" s="638"/>
      <c r="I176" s="638"/>
      <c r="J176" s="263"/>
      <c r="K176" s="71">
        <v>11</v>
      </c>
      <c r="L176" s="207">
        <v>1</v>
      </c>
      <c r="M176" s="185"/>
      <c r="N176" s="193"/>
      <c r="O176" s="185"/>
      <c r="P176" s="638" t="s">
        <v>93</v>
      </c>
      <c r="Q176" s="638"/>
      <c r="R176" s="638"/>
      <c r="S176" s="638"/>
      <c r="T176" s="262"/>
      <c r="U176" s="71">
        <v>11</v>
      </c>
      <c r="V176" s="207">
        <v>1</v>
      </c>
      <c r="W176" s="185"/>
      <c r="X176" s="193"/>
      <c r="Y176" s="185"/>
      <c r="Z176" s="638" t="s">
        <v>94</v>
      </c>
      <c r="AA176" s="638"/>
      <c r="AB176" s="638"/>
      <c r="AC176" s="638"/>
      <c r="AD176" s="262"/>
      <c r="AE176" s="71">
        <v>11</v>
      </c>
      <c r="AF176" s="207">
        <v>1</v>
      </c>
      <c r="AG176" s="185"/>
      <c r="AH176" s="193"/>
      <c r="AI176" s="185"/>
      <c r="AJ176" s="638" t="s">
        <v>95</v>
      </c>
      <c r="AK176" s="638"/>
      <c r="AL176" s="638"/>
      <c r="AM176" s="638"/>
      <c r="AO176" s="262"/>
    </row>
    <row r="177" spans="1:41">
      <c r="A177" s="208">
        <v>12</v>
      </c>
      <c r="B177" s="209">
        <v>1</v>
      </c>
      <c r="C177" s="192" t="s">
        <v>96</v>
      </c>
      <c r="D177" s="187">
        <f>D172/D175</f>
        <v>261.34902347968739</v>
      </c>
      <c r="F177" s="638"/>
      <c r="G177" s="638"/>
      <c r="H177" s="638"/>
      <c r="I177" s="638"/>
      <c r="J177" s="263"/>
      <c r="K177" s="265">
        <v>12</v>
      </c>
      <c r="L177" s="209">
        <v>1</v>
      </c>
      <c r="M177" s="189" t="s">
        <v>97</v>
      </c>
      <c r="N177" s="187">
        <f>N172/N175</f>
        <v>491.65910830561108</v>
      </c>
      <c r="P177" s="638"/>
      <c r="Q177" s="638"/>
      <c r="R177" s="638"/>
      <c r="S177" s="638"/>
      <c r="T177" s="262"/>
      <c r="U177" s="265">
        <v>12</v>
      </c>
      <c r="V177" s="209">
        <v>1</v>
      </c>
      <c r="W177" s="192" t="s">
        <v>96</v>
      </c>
      <c r="X177" s="187">
        <f>X172/X175</f>
        <v>239.62226510973329</v>
      </c>
      <c r="Z177" s="638"/>
      <c r="AA177" s="638"/>
      <c r="AB177" s="638"/>
      <c r="AC177" s="638"/>
      <c r="AD177" s="262"/>
      <c r="AE177" s="265">
        <v>12</v>
      </c>
      <c r="AF177" s="209">
        <v>1</v>
      </c>
      <c r="AG177" s="192" t="s">
        <v>96</v>
      </c>
      <c r="AH177" s="187">
        <f>AH172/AH175</f>
        <v>256.8809596048892</v>
      </c>
      <c r="AJ177" s="638"/>
      <c r="AK177" s="638"/>
      <c r="AL177" s="638"/>
      <c r="AM177" s="638"/>
      <c r="AO177" s="262"/>
    </row>
    <row r="178" spans="1:41">
      <c r="A178" s="71"/>
      <c r="B178" s="71"/>
      <c r="C178" s="185"/>
      <c r="D178" s="185"/>
      <c r="F178" s="638"/>
      <c r="G178" s="638"/>
      <c r="H178" s="638"/>
      <c r="I178" s="638"/>
      <c r="J178" s="263"/>
      <c r="M178" s="185"/>
      <c r="N178" s="185"/>
      <c r="P178" s="638"/>
      <c r="Q178" s="638"/>
      <c r="R178" s="638"/>
      <c r="S178" s="638"/>
      <c r="T178" s="262"/>
      <c r="W178" s="185"/>
      <c r="X178" s="185"/>
      <c r="Z178" s="638"/>
      <c r="AA178" s="638"/>
      <c r="AB178" s="638"/>
      <c r="AC178" s="638"/>
      <c r="AD178" s="262"/>
      <c r="AG178" s="185"/>
      <c r="AH178" s="185"/>
      <c r="AJ178" s="638"/>
      <c r="AK178" s="638"/>
      <c r="AL178" s="638"/>
      <c r="AM178" s="638"/>
      <c r="AO178" s="262"/>
    </row>
    <row r="179" spans="1:41">
      <c r="A179" s="71"/>
      <c r="B179" s="71"/>
      <c r="H179" s="185"/>
      <c r="I179" s="185"/>
      <c r="J179" s="262"/>
      <c r="R179" s="185"/>
      <c r="S179" s="185"/>
      <c r="T179" s="262"/>
      <c r="AB179" s="185"/>
      <c r="AC179" s="185"/>
      <c r="AD179" s="262"/>
      <c r="AL179" s="185"/>
      <c r="AM179" s="185"/>
      <c r="AO179" s="262"/>
    </row>
    <row r="180" spans="1:41">
      <c r="A180" s="71"/>
      <c r="B180" s="71"/>
      <c r="D180" s="189" t="s">
        <v>98</v>
      </c>
      <c r="E180" s="210">
        <f>D177/F168</f>
        <v>3.3582634401329116E-2</v>
      </c>
      <c r="F180" s="185" t="s">
        <v>99</v>
      </c>
      <c r="G180" s="185"/>
      <c r="H180" s="185"/>
      <c r="J180" s="262"/>
      <c r="N180" s="185" t="s">
        <v>98</v>
      </c>
      <c r="O180" s="210">
        <f>N177/P168</f>
        <v>4.3516077057437832E-2</v>
      </c>
      <c r="P180" s="185" t="s">
        <v>99</v>
      </c>
      <c r="Q180" s="185"/>
      <c r="R180" s="185"/>
      <c r="T180" s="262"/>
      <c r="X180" s="185" t="s">
        <v>98</v>
      </c>
      <c r="Y180" s="210">
        <f>X177/Z168</f>
        <v>2.2974749115258961E-2</v>
      </c>
      <c r="Z180" s="185" t="s">
        <v>99</v>
      </c>
      <c r="AA180" s="185"/>
      <c r="AB180" s="185"/>
      <c r="AD180" s="262"/>
      <c r="AH180" s="185" t="s">
        <v>98</v>
      </c>
      <c r="AI180" s="210">
        <f>AH177/AJ168</f>
        <v>4.6711565703471097E-2</v>
      </c>
      <c r="AJ180" s="185" t="s">
        <v>99</v>
      </c>
      <c r="AK180" s="185"/>
      <c r="AL180" s="185"/>
      <c r="AO180" s="262"/>
    </row>
    <row r="181" spans="1:41">
      <c r="B181" s="185"/>
      <c r="C181" s="191"/>
      <c r="D181" s="185"/>
      <c r="J181" s="262"/>
      <c r="T181" s="262"/>
      <c r="AD181" s="262"/>
      <c r="AO181" s="262"/>
    </row>
    <row r="182" spans="1:41" ht="15" customHeight="1">
      <c r="A182" s="668" t="s">
        <v>100</v>
      </c>
      <c r="B182" s="669"/>
      <c r="C182" s="669"/>
      <c r="D182" s="669"/>
      <c r="E182" s="669"/>
      <c r="F182" s="669"/>
      <c r="G182" s="669"/>
      <c r="H182" s="669"/>
      <c r="I182" s="669"/>
      <c r="J182" s="669"/>
      <c r="K182" s="669"/>
      <c r="L182" s="669"/>
      <c r="M182" s="669"/>
      <c r="N182" s="669"/>
      <c r="O182" s="669"/>
      <c r="P182" s="669"/>
      <c r="Q182" s="669"/>
      <c r="R182" s="344"/>
      <c r="S182" s="344"/>
      <c r="T182" s="344"/>
      <c r="U182" s="344"/>
      <c r="V182" s="344"/>
      <c r="W182" s="344"/>
      <c r="X182" s="344"/>
      <c r="Y182" s="344"/>
      <c r="Z182" s="344"/>
      <c r="AA182" s="344"/>
      <c r="AB182" s="344"/>
      <c r="AC182" s="344"/>
      <c r="AD182" s="344"/>
      <c r="AE182" s="344"/>
      <c r="AF182" s="344"/>
      <c r="AG182" s="344"/>
      <c r="AH182" s="344"/>
      <c r="AI182" s="344"/>
      <c r="AJ182" s="344"/>
      <c r="AK182" s="344"/>
      <c r="AL182" s="344"/>
      <c r="AM182" s="344"/>
      <c r="AN182" s="344"/>
      <c r="AO182" s="562"/>
    </row>
    <row r="183" spans="1:41" ht="15" customHeight="1">
      <c r="A183" s="670"/>
      <c r="B183" s="671"/>
      <c r="C183" s="671"/>
      <c r="D183" s="671"/>
      <c r="E183" s="671"/>
      <c r="F183" s="671"/>
      <c r="G183" s="671"/>
      <c r="H183" s="671"/>
      <c r="I183" s="671"/>
      <c r="J183" s="671"/>
      <c r="K183" s="671"/>
      <c r="L183" s="671"/>
      <c r="M183" s="671"/>
      <c r="N183" s="671"/>
      <c r="O183" s="671"/>
      <c r="P183" s="671"/>
      <c r="Q183" s="671"/>
      <c r="R183" s="345"/>
      <c r="S183" s="345"/>
      <c r="T183" s="345"/>
      <c r="U183" s="345"/>
      <c r="V183" s="345"/>
      <c r="W183" s="345"/>
      <c r="X183" s="345"/>
      <c r="Y183" s="345"/>
      <c r="Z183" s="345"/>
      <c r="AA183" s="345"/>
      <c r="AB183" s="345"/>
      <c r="AC183" s="345"/>
      <c r="AD183" s="345"/>
      <c r="AE183" s="345"/>
      <c r="AF183" s="345"/>
      <c r="AG183" s="345"/>
      <c r="AH183" s="345"/>
      <c r="AI183" s="345"/>
      <c r="AJ183" s="345"/>
      <c r="AK183" s="345"/>
      <c r="AL183" s="345"/>
      <c r="AM183" s="345"/>
      <c r="AN183" s="345"/>
      <c r="AO183" s="563"/>
    </row>
    <row r="184" spans="1:41" ht="28.15" customHeight="1">
      <c r="A184" s="636" t="s">
        <v>101</v>
      </c>
      <c r="B184" s="636"/>
      <c r="C184" s="636"/>
      <c r="D184" s="636"/>
      <c r="E184" s="636"/>
      <c r="F184" s="636"/>
      <c r="G184" s="636"/>
      <c r="H184" s="636"/>
      <c r="I184" s="636"/>
      <c r="J184" s="637"/>
      <c r="K184" s="636" t="s">
        <v>101</v>
      </c>
      <c r="L184" s="636"/>
      <c r="M184" s="636"/>
      <c r="N184" s="636"/>
      <c r="O184" s="636"/>
      <c r="P184" s="636"/>
      <c r="Q184" s="636"/>
      <c r="R184" s="636"/>
      <c r="S184" s="636"/>
      <c r="T184" s="637"/>
      <c r="U184" s="636" t="s">
        <v>101</v>
      </c>
      <c r="V184" s="636"/>
      <c r="W184" s="636"/>
      <c r="X184" s="636"/>
      <c r="Y184" s="636"/>
      <c r="Z184" s="636"/>
      <c r="AA184" s="636"/>
      <c r="AB184" s="636"/>
      <c r="AC184" s="636"/>
      <c r="AD184" s="637"/>
      <c r="AE184" s="636" t="s">
        <v>101</v>
      </c>
      <c r="AF184" s="636"/>
      <c r="AG184" s="636"/>
      <c r="AH184" s="636"/>
      <c r="AI184" s="636"/>
      <c r="AJ184" s="636"/>
      <c r="AK184" s="636"/>
      <c r="AL184" s="636"/>
      <c r="AM184" s="636"/>
      <c r="AN184" s="636"/>
      <c r="AO184" s="262"/>
    </row>
    <row r="185" spans="1:41" ht="58">
      <c r="B185" s="661" t="s">
        <v>102</v>
      </c>
      <c r="C185" s="662"/>
      <c r="D185" s="662"/>
      <c r="E185" s="663"/>
      <c r="F185" s="640" t="s">
        <v>103</v>
      </c>
      <c r="G185" s="641"/>
      <c r="H185" s="642"/>
      <c r="J185" s="262"/>
      <c r="L185" s="682" t="s">
        <v>102</v>
      </c>
      <c r="M185" s="683"/>
      <c r="N185" s="683"/>
      <c r="O185" s="684"/>
      <c r="P185" s="640" t="s">
        <v>103</v>
      </c>
      <c r="Q185" s="641"/>
      <c r="R185" s="642"/>
      <c r="T185" s="262"/>
      <c r="V185" s="674" t="s">
        <v>102</v>
      </c>
      <c r="W185" s="675"/>
      <c r="X185" s="675"/>
      <c r="Y185" s="676"/>
      <c r="Z185" s="640" t="s">
        <v>103</v>
      </c>
      <c r="AA185" s="641"/>
      <c r="AB185" s="642"/>
      <c r="AE185" s="339" t="s">
        <v>1</v>
      </c>
      <c r="AF185" s="405" t="s">
        <v>13</v>
      </c>
      <c r="AG185" s="340" t="s">
        <v>82</v>
      </c>
      <c r="AH185" s="341" t="s">
        <v>104</v>
      </c>
      <c r="AI185" s="342" t="s">
        <v>83</v>
      </c>
      <c r="AO185" s="262"/>
    </row>
    <row r="186" spans="1:41" ht="17.5">
      <c r="B186" s="346" t="s">
        <v>82</v>
      </c>
      <c r="C186" s="118" t="s">
        <v>1</v>
      </c>
      <c r="D186" s="118" t="s">
        <v>14</v>
      </c>
      <c r="E186" s="118" t="s">
        <v>105</v>
      </c>
      <c r="F186" s="121" t="s">
        <v>106</v>
      </c>
      <c r="G186" s="119" t="s">
        <v>107</v>
      </c>
      <c r="H186" s="347" t="s">
        <v>108</v>
      </c>
      <c r="J186" s="262"/>
      <c r="L186" s="355" t="s">
        <v>82</v>
      </c>
      <c r="M186" s="294" t="s">
        <v>1</v>
      </c>
      <c r="N186" s="294" t="s">
        <v>14</v>
      </c>
      <c r="O186" s="294" t="s">
        <v>105</v>
      </c>
      <c r="P186" s="121" t="s">
        <v>106</v>
      </c>
      <c r="Q186" s="119" t="s">
        <v>107</v>
      </c>
      <c r="R186" s="347" t="s">
        <v>108</v>
      </c>
      <c r="T186" s="262"/>
      <c r="V186" s="495" t="s">
        <v>82</v>
      </c>
      <c r="W186" s="496" t="s">
        <v>1</v>
      </c>
      <c r="X186" s="496" t="s">
        <v>14</v>
      </c>
      <c r="Y186" s="496" t="s">
        <v>105</v>
      </c>
      <c r="Z186" s="121" t="s">
        <v>106</v>
      </c>
      <c r="AA186" s="119" t="s">
        <v>107</v>
      </c>
      <c r="AB186" s="347" t="s">
        <v>108</v>
      </c>
      <c r="AE186" s="406">
        <v>2010</v>
      </c>
      <c r="AF186" s="66">
        <v>3243.15</v>
      </c>
      <c r="AG186" s="407">
        <v>1</v>
      </c>
      <c r="AH186" s="407">
        <v>1</v>
      </c>
      <c r="AI186" s="408">
        <v>1</v>
      </c>
      <c r="AO186" s="262"/>
    </row>
    <row r="187" spans="1:41" ht="15" customHeight="1">
      <c r="B187" s="348">
        <v>1</v>
      </c>
      <c r="C187" s="409">
        <v>2010</v>
      </c>
      <c r="D187" s="409">
        <v>3814.08</v>
      </c>
      <c r="E187" s="334"/>
      <c r="F187" s="334"/>
      <c r="G187" s="334"/>
      <c r="H187" s="349"/>
      <c r="J187" s="393"/>
      <c r="L187" s="348">
        <v>1</v>
      </c>
      <c r="M187" s="409">
        <v>2010</v>
      </c>
      <c r="N187" s="334">
        <v>3286.9</v>
      </c>
      <c r="O187" s="334"/>
      <c r="P187" s="334"/>
      <c r="Q187" s="334"/>
      <c r="R187" s="349"/>
      <c r="T187" s="262"/>
      <c r="V187" s="460">
        <v>1</v>
      </c>
      <c r="W187" s="410">
        <v>2010</v>
      </c>
      <c r="X187" s="65">
        <v>3189</v>
      </c>
      <c r="Y187" s="307"/>
      <c r="Z187" s="307"/>
      <c r="AA187" s="307"/>
      <c r="AB187" s="461"/>
      <c r="AE187" s="411">
        <v>2011</v>
      </c>
      <c r="AF187" s="66">
        <v>3427.06</v>
      </c>
      <c r="AG187" s="412">
        <v>2</v>
      </c>
      <c r="AH187" s="412">
        <v>4</v>
      </c>
      <c r="AI187" s="408">
        <v>1</v>
      </c>
      <c r="AO187" s="262"/>
    </row>
    <row r="188" spans="1:41" ht="15" customHeight="1">
      <c r="B188" s="348">
        <v>2</v>
      </c>
      <c r="C188" s="409">
        <v>2011</v>
      </c>
      <c r="D188" s="409">
        <v>3987.13</v>
      </c>
      <c r="E188" s="334">
        <f t="shared" ref="E188:E198" si="15">D187</f>
        <v>3814.08</v>
      </c>
      <c r="F188" s="334"/>
      <c r="G188" s="334"/>
      <c r="H188" s="349"/>
      <c r="J188" s="393"/>
      <c r="L188" s="348">
        <v>2</v>
      </c>
      <c r="M188" s="409">
        <v>2011</v>
      </c>
      <c r="N188" s="334">
        <v>3303.1</v>
      </c>
      <c r="O188" s="334">
        <f t="shared" ref="O188:O198" si="16">N187</f>
        <v>3286.9</v>
      </c>
      <c r="P188" s="334"/>
      <c r="Q188" s="334"/>
      <c r="R188" s="349"/>
      <c r="T188" s="262"/>
      <c r="V188" s="460">
        <v>2</v>
      </c>
      <c r="W188" s="410">
        <v>2011</v>
      </c>
      <c r="X188" s="65">
        <v>5719</v>
      </c>
      <c r="Y188" s="307">
        <f t="shared" ref="Y188:Y198" si="17">X187</f>
        <v>3189</v>
      </c>
      <c r="Z188" s="307"/>
      <c r="AA188" s="307"/>
      <c r="AB188" s="461"/>
      <c r="AE188" s="411">
        <v>2012</v>
      </c>
      <c r="AF188" s="66">
        <v>3568.84</v>
      </c>
      <c r="AG188" s="412">
        <v>3</v>
      </c>
      <c r="AH188" s="412">
        <v>9</v>
      </c>
      <c r="AI188" s="408">
        <v>1</v>
      </c>
      <c r="AO188" s="262"/>
    </row>
    <row r="189" spans="1:41" ht="15" customHeight="1">
      <c r="B189" s="348">
        <v>3</v>
      </c>
      <c r="C189" s="409">
        <v>2012</v>
      </c>
      <c r="D189" s="409">
        <v>4119.68</v>
      </c>
      <c r="E189" s="334">
        <f t="shared" si="15"/>
        <v>3987.13</v>
      </c>
      <c r="F189" s="334">
        <f t="shared" ref="F189:F199" si="18">D188+(D188-D187)</f>
        <v>4160.18</v>
      </c>
      <c r="G189" s="334">
        <f t="shared" ref="G189:G198" si="19">D189-F189</f>
        <v>-40.5</v>
      </c>
      <c r="H189" s="349">
        <f>G189^2</f>
        <v>1640.25</v>
      </c>
      <c r="J189" s="393"/>
      <c r="L189" s="348">
        <v>3</v>
      </c>
      <c r="M189" s="409">
        <v>2012</v>
      </c>
      <c r="N189" s="334">
        <v>3316.7</v>
      </c>
      <c r="O189" s="334">
        <f t="shared" si="16"/>
        <v>3303.1</v>
      </c>
      <c r="P189" s="334">
        <f t="shared" ref="P189:P199" si="20">N188+(N188-N187)</f>
        <v>3319.2999999999997</v>
      </c>
      <c r="Q189" s="334">
        <f>N189-P189</f>
        <v>-2.5999999999999091</v>
      </c>
      <c r="R189" s="349">
        <f t="shared" ref="R189:R198" si="21">Q189^2</f>
        <v>6.7599999999995273</v>
      </c>
      <c r="T189" s="262"/>
      <c r="V189" s="460">
        <v>3</v>
      </c>
      <c r="W189" s="410">
        <v>2012</v>
      </c>
      <c r="X189" s="65">
        <v>6737</v>
      </c>
      <c r="Y189" s="307">
        <f t="shared" si="17"/>
        <v>5719</v>
      </c>
      <c r="Z189" s="307">
        <f t="shared" ref="Z189:Z198" si="22">X188+(X188-X187)</f>
        <v>8249</v>
      </c>
      <c r="AA189" s="307">
        <f t="shared" ref="AA189:AA198" si="23">X189-Z189</f>
        <v>-1512</v>
      </c>
      <c r="AB189" s="461">
        <f t="shared" ref="AB189:AB198" si="24">AA189^2</f>
        <v>2286144</v>
      </c>
      <c r="AE189" s="411">
        <v>2013</v>
      </c>
      <c r="AF189" s="66">
        <v>3710.91</v>
      </c>
      <c r="AG189" s="412">
        <v>4</v>
      </c>
      <c r="AH189" s="412">
        <v>16</v>
      </c>
      <c r="AI189" s="408">
        <v>1</v>
      </c>
      <c r="AO189" s="262"/>
    </row>
    <row r="190" spans="1:41" ht="15" customHeight="1">
      <c r="B190" s="348">
        <v>4</v>
      </c>
      <c r="C190" s="409">
        <v>2013</v>
      </c>
      <c r="D190" s="409">
        <v>4256.82</v>
      </c>
      <c r="E190" s="334">
        <f t="shared" si="15"/>
        <v>4119.68</v>
      </c>
      <c r="F190" s="334">
        <f t="shared" si="18"/>
        <v>4252.2300000000005</v>
      </c>
      <c r="G190" s="334">
        <f t="shared" si="19"/>
        <v>4.589999999999236</v>
      </c>
      <c r="H190" s="349">
        <f t="shared" ref="H190:H198" si="25">G190^2</f>
        <v>21.068099999992988</v>
      </c>
      <c r="J190" s="393"/>
      <c r="L190" s="348">
        <v>4</v>
      </c>
      <c r="M190" s="409">
        <v>2013</v>
      </c>
      <c r="N190" s="334">
        <v>3333.9</v>
      </c>
      <c r="O190" s="334">
        <f t="shared" si="16"/>
        <v>3316.7</v>
      </c>
      <c r="P190" s="334">
        <f t="shared" si="20"/>
        <v>3330.2999999999997</v>
      </c>
      <c r="Q190" s="334">
        <f t="shared" ref="Q190:Q198" si="26">N190-P190</f>
        <v>3.6000000000003638</v>
      </c>
      <c r="R190" s="349">
        <f t="shared" si="21"/>
        <v>12.960000000002619</v>
      </c>
      <c r="T190" s="262"/>
      <c r="V190" s="460">
        <v>4</v>
      </c>
      <c r="W190" s="410">
        <v>2013</v>
      </c>
      <c r="X190" s="65">
        <v>7154</v>
      </c>
      <c r="Y190" s="307">
        <f t="shared" si="17"/>
        <v>6737</v>
      </c>
      <c r="Z190" s="307">
        <f t="shared" si="22"/>
        <v>7755</v>
      </c>
      <c r="AA190" s="307">
        <f t="shared" si="23"/>
        <v>-601</v>
      </c>
      <c r="AB190" s="461">
        <f t="shared" si="24"/>
        <v>361201</v>
      </c>
      <c r="AE190" s="411">
        <v>2014</v>
      </c>
      <c r="AF190" s="66">
        <v>3837.47</v>
      </c>
      <c r="AG190" s="412">
        <v>5</v>
      </c>
      <c r="AH190" s="412">
        <v>25</v>
      </c>
      <c r="AI190" s="408">
        <v>1</v>
      </c>
      <c r="AO190" s="262"/>
    </row>
    <row r="191" spans="1:41" ht="15" customHeight="1">
      <c r="B191" s="348">
        <v>5</v>
      </c>
      <c r="C191" s="409">
        <v>2014</v>
      </c>
      <c r="D191" s="409">
        <v>4354.3999999999996</v>
      </c>
      <c r="E191" s="334">
        <f t="shared" si="15"/>
        <v>4256.82</v>
      </c>
      <c r="F191" s="334">
        <f t="shared" si="18"/>
        <v>4393.9599999999991</v>
      </c>
      <c r="G191" s="334">
        <f t="shared" si="19"/>
        <v>-39.559999999999491</v>
      </c>
      <c r="H191" s="349">
        <f t="shared" si="25"/>
        <v>1564.9935999999598</v>
      </c>
      <c r="J191" s="393"/>
      <c r="L191" s="348">
        <v>5</v>
      </c>
      <c r="M191" s="409">
        <v>2014</v>
      </c>
      <c r="N191" s="334">
        <v>3355.2</v>
      </c>
      <c r="O191" s="334">
        <f t="shared" si="16"/>
        <v>3333.9</v>
      </c>
      <c r="P191" s="334">
        <f t="shared" si="20"/>
        <v>3351.1000000000004</v>
      </c>
      <c r="Q191" s="334">
        <f t="shared" si="26"/>
        <v>4.0999999999994543</v>
      </c>
      <c r="R191" s="349">
        <f t="shared" si="21"/>
        <v>16.809999999995526</v>
      </c>
      <c r="T191" s="262"/>
      <c r="V191" s="460">
        <v>5</v>
      </c>
      <c r="W191" s="410">
        <v>2014</v>
      </c>
      <c r="X191" s="65">
        <v>6053</v>
      </c>
      <c r="Y191" s="307">
        <f t="shared" si="17"/>
        <v>7154</v>
      </c>
      <c r="Z191" s="307">
        <f t="shared" si="22"/>
        <v>7571</v>
      </c>
      <c r="AA191" s="307">
        <f t="shared" si="23"/>
        <v>-1518</v>
      </c>
      <c r="AB191" s="461">
        <f t="shared" si="24"/>
        <v>2304324</v>
      </c>
      <c r="AE191" s="411">
        <v>2015</v>
      </c>
      <c r="AF191" s="66">
        <v>4047.78</v>
      </c>
      <c r="AG191" s="412">
        <v>6</v>
      </c>
      <c r="AH191" s="412">
        <v>36</v>
      </c>
      <c r="AI191" s="408">
        <v>1</v>
      </c>
      <c r="AO191" s="262"/>
    </row>
    <row r="192" spans="1:41" ht="15" customHeight="1">
      <c r="B192" s="348">
        <v>6</v>
      </c>
      <c r="C192" s="409">
        <v>2015</v>
      </c>
      <c r="D192" s="409">
        <v>4549.1099999999997</v>
      </c>
      <c r="E192" s="334">
        <f t="shared" si="15"/>
        <v>4354.3999999999996</v>
      </c>
      <c r="F192" s="334">
        <f t="shared" si="18"/>
        <v>4451.9799999999996</v>
      </c>
      <c r="G192" s="334">
        <f t="shared" si="19"/>
        <v>97.130000000000109</v>
      </c>
      <c r="H192" s="349">
        <f t="shared" si="25"/>
        <v>9434.2369000000217</v>
      </c>
      <c r="J192" s="393"/>
      <c r="L192" s="348">
        <v>6</v>
      </c>
      <c r="M192" s="409">
        <v>2015</v>
      </c>
      <c r="N192" s="334">
        <v>3372.4</v>
      </c>
      <c r="O192" s="334">
        <f t="shared" si="16"/>
        <v>3355.2</v>
      </c>
      <c r="P192" s="334">
        <f t="shared" si="20"/>
        <v>3376.4999999999995</v>
      </c>
      <c r="Q192" s="334">
        <f t="shared" si="26"/>
        <v>-4.0999999999994543</v>
      </c>
      <c r="R192" s="349">
        <f t="shared" si="21"/>
        <v>16.809999999995526</v>
      </c>
      <c r="T192" s="262"/>
      <c r="V192" s="460">
        <v>6</v>
      </c>
      <c r="W192" s="410">
        <v>2015</v>
      </c>
      <c r="X192" s="65">
        <v>7261</v>
      </c>
      <c r="Y192" s="307">
        <f t="shared" si="17"/>
        <v>6053</v>
      </c>
      <c r="Z192" s="307">
        <f t="shared" si="22"/>
        <v>4952</v>
      </c>
      <c r="AA192" s="307">
        <f t="shared" si="23"/>
        <v>2309</v>
      </c>
      <c r="AB192" s="461">
        <f t="shared" si="24"/>
        <v>5331481</v>
      </c>
      <c r="AE192" s="411">
        <v>2016</v>
      </c>
      <c r="AF192" s="66">
        <v>4230.12</v>
      </c>
      <c r="AG192" s="412">
        <v>7</v>
      </c>
      <c r="AH192" s="412">
        <v>49</v>
      </c>
      <c r="AI192" s="408">
        <v>1</v>
      </c>
      <c r="AO192" s="262"/>
    </row>
    <row r="193" spans="1:41" ht="15" customHeight="1">
      <c r="B193" s="348">
        <v>7</v>
      </c>
      <c r="C193" s="409">
        <v>2016</v>
      </c>
      <c r="D193" s="409">
        <v>4770.9399999999996</v>
      </c>
      <c r="E193" s="334">
        <f t="shared" si="15"/>
        <v>4549.1099999999997</v>
      </c>
      <c r="F193" s="334">
        <f t="shared" si="18"/>
        <v>4743.82</v>
      </c>
      <c r="G193" s="334">
        <f t="shared" si="19"/>
        <v>27.119999999999891</v>
      </c>
      <c r="H193" s="349">
        <f t="shared" si="25"/>
        <v>735.49439999999413</v>
      </c>
      <c r="J193" s="393"/>
      <c r="L193" s="348">
        <v>7</v>
      </c>
      <c r="M193" s="409">
        <v>2016</v>
      </c>
      <c r="N193" s="334">
        <v>3391</v>
      </c>
      <c r="O193" s="334">
        <f t="shared" si="16"/>
        <v>3372.4</v>
      </c>
      <c r="P193" s="334">
        <f t="shared" si="20"/>
        <v>3389.6000000000004</v>
      </c>
      <c r="Q193" s="334">
        <f t="shared" si="26"/>
        <v>1.3999999999996362</v>
      </c>
      <c r="R193" s="349">
        <f t="shared" si="21"/>
        <v>1.9599999999989814</v>
      </c>
      <c r="T193" s="262"/>
      <c r="V193" s="460">
        <v>7</v>
      </c>
      <c r="W193" s="410">
        <v>2016</v>
      </c>
      <c r="X193" s="65">
        <v>8144</v>
      </c>
      <c r="Y193" s="307">
        <f t="shared" si="17"/>
        <v>7261</v>
      </c>
      <c r="Z193" s="307">
        <f t="shared" si="22"/>
        <v>8469</v>
      </c>
      <c r="AA193" s="307">
        <f t="shared" si="23"/>
        <v>-325</v>
      </c>
      <c r="AB193" s="461">
        <f t="shared" si="24"/>
        <v>105625</v>
      </c>
      <c r="AE193" s="411">
        <v>2017</v>
      </c>
      <c r="AF193" s="66">
        <v>4462.5</v>
      </c>
      <c r="AG193" s="412">
        <v>8</v>
      </c>
      <c r="AH193" s="412">
        <v>64</v>
      </c>
      <c r="AI193" s="408">
        <v>1</v>
      </c>
      <c r="AO193" s="262"/>
    </row>
    <row r="194" spans="1:41" ht="15" customHeight="1">
      <c r="B194" s="348">
        <v>8</v>
      </c>
      <c r="C194" s="409">
        <v>2017</v>
      </c>
      <c r="D194" s="409">
        <v>5062.37</v>
      </c>
      <c r="E194" s="334">
        <f t="shared" si="15"/>
        <v>4770.9399999999996</v>
      </c>
      <c r="F194" s="334">
        <f t="shared" si="18"/>
        <v>4992.7699999999995</v>
      </c>
      <c r="G194" s="334">
        <f t="shared" si="19"/>
        <v>69.600000000000364</v>
      </c>
      <c r="H194" s="349">
        <f t="shared" si="25"/>
        <v>4844.1600000000508</v>
      </c>
      <c r="J194" s="266"/>
      <c r="L194" s="348">
        <v>8</v>
      </c>
      <c r="M194" s="409">
        <v>2017</v>
      </c>
      <c r="N194" s="334">
        <v>3411.6</v>
      </c>
      <c r="O194" s="334">
        <f t="shared" si="16"/>
        <v>3391</v>
      </c>
      <c r="P194" s="334">
        <f t="shared" si="20"/>
        <v>3409.6</v>
      </c>
      <c r="Q194" s="334">
        <f t="shared" si="26"/>
        <v>2</v>
      </c>
      <c r="R194" s="349">
        <f t="shared" si="21"/>
        <v>4</v>
      </c>
      <c r="T194" s="262"/>
      <c r="V194" s="460">
        <v>8</v>
      </c>
      <c r="W194" s="410">
        <v>2017</v>
      </c>
      <c r="X194" s="65">
        <v>8892</v>
      </c>
      <c r="Y194" s="307">
        <f t="shared" si="17"/>
        <v>8144</v>
      </c>
      <c r="Z194" s="307">
        <f t="shared" si="22"/>
        <v>9027</v>
      </c>
      <c r="AA194" s="307">
        <f t="shared" si="23"/>
        <v>-135</v>
      </c>
      <c r="AB194" s="461">
        <f t="shared" si="24"/>
        <v>18225</v>
      </c>
      <c r="AE194" s="411">
        <v>2018</v>
      </c>
      <c r="AF194" s="66">
        <v>4779.47</v>
      </c>
      <c r="AG194" s="412">
        <v>9</v>
      </c>
      <c r="AH194" s="412">
        <v>81</v>
      </c>
      <c r="AI194" s="408">
        <v>1</v>
      </c>
      <c r="AO194" s="262"/>
    </row>
    <row r="195" spans="1:41" ht="15" customHeight="1">
      <c r="B195" s="348">
        <v>9</v>
      </c>
      <c r="C195" s="409">
        <v>2018</v>
      </c>
      <c r="D195" s="409">
        <v>5355.57</v>
      </c>
      <c r="E195" s="334">
        <f t="shared" si="15"/>
        <v>5062.37</v>
      </c>
      <c r="F195" s="334">
        <f t="shared" si="18"/>
        <v>5353.8</v>
      </c>
      <c r="G195" s="334">
        <f t="shared" si="19"/>
        <v>1.7699999999995271</v>
      </c>
      <c r="H195" s="349">
        <f t="shared" si="25"/>
        <v>3.132899999998326</v>
      </c>
      <c r="J195" s="393"/>
      <c r="L195" s="348">
        <v>9</v>
      </c>
      <c r="M195" s="409">
        <v>2018</v>
      </c>
      <c r="N195" s="334">
        <v>3437.4</v>
      </c>
      <c r="O195" s="334">
        <f t="shared" si="16"/>
        <v>3411.6</v>
      </c>
      <c r="P195" s="334">
        <f t="shared" si="20"/>
        <v>3432.2</v>
      </c>
      <c r="Q195" s="334">
        <f t="shared" si="26"/>
        <v>5.2000000000002728</v>
      </c>
      <c r="R195" s="349">
        <f t="shared" si="21"/>
        <v>27.040000000002838</v>
      </c>
      <c r="T195" s="262"/>
      <c r="V195" s="460">
        <v>9</v>
      </c>
      <c r="W195" s="413">
        <v>2018</v>
      </c>
      <c r="X195" s="336">
        <v>10034</v>
      </c>
      <c r="Y195" s="307">
        <f t="shared" si="17"/>
        <v>8892</v>
      </c>
      <c r="Z195" s="307">
        <f t="shared" si="22"/>
        <v>9640</v>
      </c>
      <c r="AA195" s="307">
        <f t="shared" si="23"/>
        <v>394</v>
      </c>
      <c r="AB195" s="461">
        <f t="shared" si="24"/>
        <v>155236</v>
      </c>
      <c r="AE195" s="411">
        <v>2019</v>
      </c>
      <c r="AF195" s="66">
        <v>5174.84</v>
      </c>
      <c r="AG195" s="412">
        <v>10</v>
      </c>
      <c r="AH195" s="412">
        <v>100</v>
      </c>
      <c r="AI195" s="408">
        <v>1</v>
      </c>
      <c r="AO195" s="262"/>
    </row>
    <row r="196" spans="1:41" ht="15" customHeight="1">
      <c r="B196" s="348">
        <v>10</v>
      </c>
      <c r="C196" s="409">
        <v>2019</v>
      </c>
      <c r="D196" s="409">
        <v>5713.03</v>
      </c>
      <c r="E196" s="334">
        <f t="shared" si="15"/>
        <v>5355.57</v>
      </c>
      <c r="F196" s="334">
        <f t="shared" si="18"/>
        <v>5648.7699999999995</v>
      </c>
      <c r="G196" s="334">
        <f t="shared" si="19"/>
        <v>64.260000000000218</v>
      </c>
      <c r="H196" s="349">
        <f t="shared" si="25"/>
        <v>4129.3476000000283</v>
      </c>
      <c r="J196" s="393"/>
      <c r="L196" s="348">
        <v>10</v>
      </c>
      <c r="M196" s="409">
        <v>2019</v>
      </c>
      <c r="N196" s="334">
        <v>3461.9</v>
      </c>
      <c r="O196" s="334">
        <f t="shared" si="16"/>
        <v>3437.4</v>
      </c>
      <c r="P196" s="334">
        <f t="shared" si="20"/>
        <v>3463.2000000000003</v>
      </c>
      <c r="Q196" s="334">
        <f t="shared" si="26"/>
        <v>-1.3000000000001819</v>
      </c>
      <c r="R196" s="349">
        <f t="shared" si="21"/>
        <v>1.6900000000004729</v>
      </c>
      <c r="T196" s="262"/>
      <c r="V196" s="462">
        <v>10</v>
      </c>
      <c r="W196" s="414">
        <v>2019</v>
      </c>
      <c r="X196" s="337">
        <v>10084</v>
      </c>
      <c r="Y196" s="335">
        <f t="shared" si="17"/>
        <v>10034</v>
      </c>
      <c r="Z196" s="307">
        <f t="shared" si="22"/>
        <v>11176</v>
      </c>
      <c r="AA196" s="307">
        <f t="shared" si="23"/>
        <v>-1092</v>
      </c>
      <c r="AB196" s="461">
        <f t="shared" si="24"/>
        <v>1192464</v>
      </c>
      <c r="AE196" s="411">
        <v>2020</v>
      </c>
      <c r="AF196" s="66">
        <v>5510.99</v>
      </c>
      <c r="AG196" s="412">
        <v>11</v>
      </c>
      <c r="AH196" s="412">
        <v>121</v>
      </c>
      <c r="AI196" s="408">
        <v>1</v>
      </c>
      <c r="AO196" s="262"/>
    </row>
    <row r="197" spans="1:41" ht="15" customHeight="1">
      <c r="B197" s="348">
        <v>11</v>
      </c>
      <c r="C197" s="409">
        <v>2020</v>
      </c>
      <c r="D197" s="409">
        <v>6104.97</v>
      </c>
      <c r="E197" s="334">
        <f t="shared" si="15"/>
        <v>5713.03</v>
      </c>
      <c r="F197" s="334">
        <f t="shared" si="18"/>
        <v>6070.49</v>
      </c>
      <c r="G197" s="334">
        <f t="shared" si="19"/>
        <v>34.480000000000473</v>
      </c>
      <c r="H197" s="349">
        <f t="shared" si="25"/>
        <v>1188.8704000000325</v>
      </c>
      <c r="J197" s="393"/>
      <c r="L197" s="348">
        <v>11</v>
      </c>
      <c r="M197" s="409">
        <v>2020</v>
      </c>
      <c r="N197" s="334">
        <v>3599.4</v>
      </c>
      <c r="O197" s="334">
        <f t="shared" si="16"/>
        <v>3461.9</v>
      </c>
      <c r="P197" s="334">
        <f t="shared" si="20"/>
        <v>3486.4</v>
      </c>
      <c r="Q197" s="334">
        <f t="shared" si="26"/>
        <v>113</v>
      </c>
      <c r="R197" s="349">
        <f t="shared" si="21"/>
        <v>12769</v>
      </c>
      <c r="T197" s="262"/>
      <c r="V197" s="462">
        <v>11</v>
      </c>
      <c r="W197" s="414">
        <v>2020</v>
      </c>
      <c r="X197" s="337">
        <v>8480</v>
      </c>
      <c r="Y197" s="335">
        <f t="shared" si="17"/>
        <v>10084</v>
      </c>
      <c r="Z197" s="307">
        <f t="shared" si="22"/>
        <v>10134</v>
      </c>
      <c r="AA197" s="307">
        <f t="shared" si="23"/>
        <v>-1654</v>
      </c>
      <c r="AB197" s="461">
        <f t="shared" si="24"/>
        <v>2735716</v>
      </c>
      <c r="AE197" s="415">
        <v>2021</v>
      </c>
      <c r="AF197" s="343">
        <v>6062.04</v>
      </c>
      <c r="AG197" s="416">
        <v>12</v>
      </c>
      <c r="AH197" s="416">
        <v>144</v>
      </c>
      <c r="AI197" s="417">
        <v>1</v>
      </c>
      <c r="AO197" s="262"/>
    </row>
    <row r="198" spans="1:41" ht="15" customHeight="1">
      <c r="B198" s="350">
        <v>12</v>
      </c>
      <c r="C198" s="418">
        <v>2021</v>
      </c>
      <c r="D198" s="418">
        <v>6662.69</v>
      </c>
      <c r="E198" s="351">
        <f t="shared" si="15"/>
        <v>6104.97</v>
      </c>
      <c r="F198" s="351">
        <f t="shared" si="18"/>
        <v>6496.9100000000008</v>
      </c>
      <c r="G198" s="351">
        <f t="shared" si="19"/>
        <v>165.77999999999884</v>
      </c>
      <c r="H198" s="352">
        <f t="shared" si="25"/>
        <v>27483.008399999613</v>
      </c>
      <c r="J198" s="393"/>
      <c r="L198" s="350">
        <v>12</v>
      </c>
      <c r="M198" s="418">
        <v>2021</v>
      </c>
      <c r="N198" s="351">
        <v>3601.9</v>
      </c>
      <c r="O198" s="351">
        <f t="shared" si="16"/>
        <v>3599.4</v>
      </c>
      <c r="P198" s="351">
        <f t="shared" si="20"/>
        <v>3736.9</v>
      </c>
      <c r="Q198" s="351">
        <f t="shared" si="26"/>
        <v>-135</v>
      </c>
      <c r="R198" s="352">
        <f t="shared" si="21"/>
        <v>18225</v>
      </c>
      <c r="T198" s="262"/>
      <c r="V198" s="463">
        <v>12</v>
      </c>
      <c r="W198" s="464">
        <v>2021</v>
      </c>
      <c r="X198" s="465">
        <v>9709</v>
      </c>
      <c r="Y198" s="466">
        <f t="shared" si="17"/>
        <v>8480</v>
      </c>
      <c r="Z198" s="467">
        <f t="shared" si="22"/>
        <v>6876</v>
      </c>
      <c r="AA198" s="467">
        <f t="shared" si="23"/>
        <v>2833</v>
      </c>
      <c r="AB198" s="468">
        <f t="shared" si="24"/>
        <v>8025889</v>
      </c>
      <c r="AD198" s="262"/>
      <c r="AO198" s="262"/>
    </row>
    <row r="199" spans="1:41" ht="15" customHeight="1">
      <c r="C199" s="299"/>
      <c r="D199" s="300"/>
      <c r="E199" s="301"/>
      <c r="F199" s="353">
        <f t="shared" si="18"/>
        <v>7220.4099999999989</v>
      </c>
      <c r="G199" s="301"/>
      <c r="H199" s="302">
        <f>AVERAGE(H189:H198)</f>
        <v>5104.4562299999689</v>
      </c>
      <c r="I199" s="183" t="s">
        <v>109</v>
      </c>
      <c r="J199" s="266"/>
      <c r="M199" s="299"/>
      <c r="N199" s="300"/>
      <c r="O199" s="301"/>
      <c r="P199" s="353">
        <f t="shared" si="20"/>
        <v>3604.4</v>
      </c>
      <c r="Q199" s="301"/>
      <c r="R199" s="302">
        <f>AVERAGE(R189:R198)</f>
        <v>3108.2029999999995</v>
      </c>
      <c r="S199" s="183" t="s">
        <v>109</v>
      </c>
      <c r="T199" s="262"/>
      <c r="W199" s="299"/>
      <c r="X199" s="300"/>
      <c r="Y199" s="301"/>
      <c r="Z199" s="469">
        <f>X198+(X198-X197)</f>
        <v>10938</v>
      </c>
      <c r="AA199" s="301"/>
      <c r="AB199" s="302">
        <f>AVERAGE(AB189:AB198)</f>
        <v>2251630.5</v>
      </c>
      <c r="AC199" s="183" t="s">
        <v>109</v>
      </c>
      <c r="AD199" s="262"/>
      <c r="AE199" s="672" t="s">
        <v>110</v>
      </c>
      <c r="AF199" s="673"/>
      <c r="AG199" s="673"/>
      <c r="AH199" s="673"/>
      <c r="AI199" s="673"/>
      <c r="AJ199" s="673"/>
      <c r="AK199" s="673"/>
      <c r="AL199" s="673"/>
      <c r="AM199" s="673"/>
      <c r="AN199" s="673"/>
      <c r="AO199" s="262"/>
    </row>
    <row r="200" spans="1:41" ht="18.75" customHeight="1">
      <c r="C200" s="356" t="s">
        <v>111</v>
      </c>
      <c r="E200" s="354">
        <f>H200/F199</f>
        <v>9.8949335735256713E-3</v>
      </c>
      <c r="H200" s="303">
        <f>SQRT(H199)</f>
        <v>71.44547732362048</v>
      </c>
      <c r="I200" s="183" t="s">
        <v>112</v>
      </c>
      <c r="J200" s="393"/>
      <c r="M200" s="356" t="s">
        <v>111</v>
      </c>
      <c r="O200" s="354">
        <f>R200/P199</f>
        <v>1.5467556340984859E-2</v>
      </c>
      <c r="P200" s="301"/>
      <c r="Q200" s="301"/>
      <c r="R200" s="303">
        <f>SQRT(R199)</f>
        <v>55.751260075445828</v>
      </c>
      <c r="S200" s="183" t="s">
        <v>112</v>
      </c>
      <c r="T200" s="262"/>
      <c r="W200" s="183" t="s">
        <v>111</v>
      </c>
      <c r="Y200" s="304">
        <f>AB200/Z199</f>
        <v>0.13718626819999793</v>
      </c>
      <c r="Z200" s="470"/>
      <c r="AA200" s="301"/>
      <c r="AB200" s="303">
        <f>SQRT(AB199)</f>
        <v>1500.5434015715773</v>
      </c>
      <c r="AC200" s="183" t="s">
        <v>112</v>
      </c>
      <c r="AD200" s="262"/>
      <c r="AE200" s="672" t="s">
        <v>113</v>
      </c>
      <c r="AF200" s="673"/>
      <c r="AG200" s="673"/>
      <c r="AH200" s="673"/>
      <c r="AI200" s="673"/>
      <c r="AJ200" s="673"/>
      <c r="AK200" s="673"/>
      <c r="AL200" s="673"/>
      <c r="AM200" s="673"/>
      <c r="AN200" s="673"/>
      <c r="AO200" s="262"/>
    </row>
    <row r="201" spans="1:41">
      <c r="I201" s="60"/>
      <c r="J201" s="393"/>
      <c r="T201" s="262"/>
      <c r="Z201" s="70"/>
      <c r="AD201" s="262"/>
      <c r="AE201" s="60" t="s">
        <v>28</v>
      </c>
      <c r="AF201" s="60"/>
      <c r="AG201" s="60"/>
      <c r="AH201" s="60"/>
      <c r="AI201" s="60"/>
      <c r="AJ201" s="60"/>
      <c r="AK201" s="60"/>
      <c r="AL201" s="60"/>
      <c r="AM201" s="60"/>
      <c r="AO201" s="262"/>
    </row>
    <row r="202" spans="1:41">
      <c r="I202" s="60"/>
      <c r="J202" s="393"/>
      <c r="T202" s="262"/>
      <c r="AD202" s="262"/>
      <c r="AE202" s="60"/>
      <c r="AF202" s="60"/>
      <c r="AG202" s="60"/>
      <c r="AH202" s="60"/>
      <c r="AI202" s="60"/>
      <c r="AJ202" s="60"/>
      <c r="AK202" s="60"/>
      <c r="AL202" s="60"/>
      <c r="AM202" s="60"/>
      <c r="AO202" s="262"/>
    </row>
    <row r="203" spans="1:41">
      <c r="A203" s="73"/>
      <c r="B203" s="73"/>
      <c r="C203" s="60"/>
      <c r="D203" s="60"/>
      <c r="E203" s="60"/>
      <c r="F203" s="60"/>
      <c r="G203" s="60"/>
      <c r="H203" s="60"/>
      <c r="I203" s="60"/>
      <c r="J203" s="393"/>
      <c r="K203" s="73"/>
      <c r="L203" s="73"/>
      <c r="M203" s="60"/>
      <c r="N203" s="60"/>
      <c r="P203" s="60"/>
      <c r="Q203" s="60"/>
      <c r="R203" s="60"/>
      <c r="S203" s="60"/>
      <c r="T203" s="262"/>
      <c r="AD203" s="262"/>
      <c r="AE203" s="635" t="s">
        <v>30</v>
      </c>
      <c r="AF203" s="635"/>
      <c r="AG203" s="635"/>
      <c r="AH203" s="60"/>
      <c r="AI203" s="60"/>
      <c r="AJ203" s="60"/>
      <c r="AK203" s="60"/>
      <c r="AL203" s="60"/>
      <c r="AM203" s="60"/>
      <c r="AO203" s="262"/>
    </row>
    <row r="204" spans="1:41">
      <c r="A204" s="60"/>
      <c r="B204" s="60"/>
      <c r="C204" s="60"/>
      <c r="D204" s="60"/>
      <c r="E204" s="60"/>
      <c r="F204" s="60"/>
      <c r="G204" s="60"/>
      <c r="H204" s="60"/>
      <c r="I204" s="60"/>
      <c r="J204" s="393"/>
      <c r="T204" s="262"/>
      <c r="AD204" s="262"/>
      <c r="AE204" s="631" t="s">
        <v>31</v>
      </c>
      <c r="AF204" s="631"/>
      <c r="AG204" s="487">
        <v>0.99762899999999999</v>
      </c>
      <c r="AH204" s="60"/>
      <c r="AI204" s="60"/>
      <c r="AJ204" s="60"/>
      <c r="AK204" s="60"/>
      <c r="AL204" s="60"/>
      <c r="AM204" s="60"/>
      <c r="AO204" s="262"/>
    </row>
    <row r="205" spans="1:41">
      <c r="A205" s="60"/>
      <c r="B205" s="60"/>
      <c r="C205" s="60"/>
      <c r="D205" s="60"/>
      <c r="E205" s="60"/>
      <c r="F205" s="60"/>
      <c r="G205" s="60"/>
      <c r="H205" s="60"/>
      <c r="I205" s="394"/>
      <c r="J205" s="393"/>
      <c r="T205" s="262"/>
      <c r="AD205" s="262"/>
      <c r="AE205" s="628" t="s">
        <v>32</v>
      </c>
      <c r="AF205" s="628"/>
      <c r="AG205" s="487">
        <v>0.99526400000000004</v>
      </c>
      <c r="AH205" s="60"/>
      <c r="AI205" s="60"/>
      <c r="AJ205" s="60"/>
      <c r="AK205" s="60"/>
      <c r="AL205" s="60"/>
      <c r="AM205" s="60"/>
      <c r="AO205" s="262"/>
    </row>
    <row r="206" spans="1:41">
      <c r="A206" s="394"/>
      <c r="B206" s="394"/>
      <c r="C206" s="394"/>
      <c r="D206" s="279"/>
      <c r="E206" s="394"/>
      <c r="F206" s="394"/>
      <c r="G206" s="394"/>
      <c r="H206" s="60"/>
      <c r="I206" s="394"/>
      <c r="J206" s="262"/>
      <c r="T206" s="262"/>
      <c r="AD206" s="262"/>
      <c r="AE206" s="629" t="s">
        <v>33</v>
      </c>
      <c r="AF206" s="628"/>
      <c r="AG206" s="487">
        <v>0.99479099999999998</v>
      </c>
      <c r="AH206" s="60"/>
      <c r="AI206" s="188" t="s">
        <v>60</v>
      </c>
      <c r="AJ206" s="60"/>
      <c r="AK206" s="60"/>
      <c r="AL206" s="60"/>
      <c r="AM206" s="60"/>
      <c r="AO206" s="262"/>
    </row>
    <row r="207" spans="1:41">
      <c r="A207" s="394"/>
      <c r="B207" s="394"/>
      <c r="C207" s="394"/>
      <c r="D207" s="295"/>
      <c r="E207" s="394"/>
      <c r="F207" s="394"/>
      <c r="G207" s="394"/>
      <c r="H207" s="60"/>
      <c r="I207" s="394"/>
      <c r="J207" s="262"/>
      <c r="T207" s="262"/>
      <c r="AD207" s="262"/>
      <c r="AE207" s="628" t="s">
        <v>34</v>
      </c>
      <c r="AF207" s="628"/>
      <c r="AG207" s="487">
        <v>63.888170000000002</v>
      </c>
      <c r="AH207" s="60"/>
      <c r="AI207" s="248">
        <f>AG207/AVERAGE(AF186:AF197)</f>
        <v>1.4727798218697588E-2</v>
      </c>
      <c r="AJ207" s="60"/>
      <c r="AK207" s="60"/>
      <c r="AL207" s="60"/>
      <c r="AM207" s="60"/>
      <c r="AO207" s="262"/>
    </row>
    <row r="208" spans="1:41">
      <c r="A208" s="394"/>
      <c r="B208" s="394"/>
      <c r="C208" s="394"/>
      <c r="D208" s="394"/>
      <c r="E208" s="394"/>
      <c r="F208" s="394"/>
      <c r="G208" s="394"/>
      <c r="H208" s="394"/>
      <c r="I208" s="394"/>
      <c r="J208" s="262"/>
      <c r="T208" s="262"/>
      <c r="AD208" s="262"/>
      <c r="AE208" s="630" t="s">
        <v>35</v>
      </c>
      <c r="AF208" s="630"/>
      <c r="AG208" s="488">
        <v>12</v>
      </c>
      <c r="AH208" s="60"/>
      <c r="AI208" s="60"/>
      <c r="AJ208" s="60"/>
      <c r="AK208" s="60"/>
      <c r="AL208" s="60"/>
      <c r="AM208" s="60"/>
      <c r="AO208" s="262"/>
    </row>
    <row r="209" spans="1:41">
      <c r="A209" s="394"/>
      <c r="B209" s="394"/>
      <c r="C209" s="394"/>
      <c r="D209" s="394"/>
      <c r="E209" s="394"/>
      <c r="F209" s="394"/>
      <c r="G209" s="394"/>
      <c r="H209" s="394"/>
      <c r="I209" s="394"/>
      <c r="J209" s="262"/>
      <c r="T209" s="262"/>
      <c r="AD209" s="262"/>
      <c r="AE209" s="60"/>
      <c r="AF209" s="60"/>
      <c r="AG209" s="60"/>
      <c r="AH209" s="60"/>
      <c r="AI209" s="60"/>
      <c r="AJ209" s="60"/>
      <c r="AK209" s="60"/>
      <c r="AL209" s="60"/>
      <c r="AM209" s="60"/>
      <c r="AO209" s="262"/>
    </row>
    <row r="210" spans="1:41">
      <c r="A210" s="394"/>
      <c r="B210" s="394"/>
      <c r="C210" s="394"/>
      <c r="D210" s="394"/>
      <c r="E210" s="394"/>
      <c r="F210" s="394"/>
      <c r="G210" s="394"/>
      <c r="H210" s="394"/>
      <c r="I210" s="394"/>
      <c r="J210" s="262"/>
      <c r="T210" s="262"/>
      <c r="AD210" s="262"/>
      <c r="AE210" s="60" t="s">
        <v>36</v>
      </c>
      <c r="AF210" s="60"/>
      <c r="AG210" s="60"/>
      <c r="AH210" s="60"/>
      <c r="AI210" s="60"/>
      <c r="AJ210" s="60"/>
      <c r="AK210" s="60"/>
      <c r="AL210" s="60"/>
      <c r="AM210" s="60"/>
      <c r="AO210" s="262"/>
    </row>
    <row r="211" spans="1:41">
      <c r="A211" s="246"/>
      <c r="B211" s="246"/>
      <c r="C211" s="246"/>
      <c r="D211" s="246"/>
      <c r="E211" s="246"/>
      <c r="F211" s="246"/>
      <c r="G211" s="394"/>
      <c r="H211" s="394"/>
      <c r="I211" s="394"/>
      <c r="J211" s="262"/>
      <c r="T211" s="262"/>
      <c r="AD211" s="262"/>
      <c r="AE211" s="186" t="s">
        <v>29</v>
      </c>
      <c r="AF211" s="483" t="s">
        <v>37</v>
      </c>
      <c r="AG211" s="483" t="s">
        <v>38</v>
      </c>
      <c r="AH211" s="483" t="s">
        <v>39</v>
      </c>
      <c r="AI211" s="483" t="s">
        <v>40</v>
      </c>
      <c r="AJ211" s="483" t="s">
        <v>41</v>
      </c>
      <c r="AK211" s="60"/>
      <c r="AL211" s="60"/>
      <c r="AM211" s="60"/>
      <c r="AO211" s="262"/>
    </row>
    <row r="212" spans="1:41">
      <c r="A212" s="394"/>
      <c r="B212" s="394"/>
      <c r="C212" s="394"/>
      <c r="D212" s="394"/>
      <c r="E212" s="394"/>
      <c r="F212" s="397"/>
      <c r="G212" s="394"/>
      <c r="H212" s="394"/>
      <c r="I212" s="394"/>
      <c r="J212" s="262"/>
      <c r="T212" s="262"/>
      <c r="AD212" s="262"/>
      <c r="AE212" s="60" t="s">
        <v>42</v>
      </c>
      <c r="AF212" s="487">
        <v>1</v>
      </c>
      <c r="AG212" s="487">
        <v>8578164</v>
      </c>
      <c r="AH212" s="487">
        <v>8578164</v>
      </c>
      <c r="AI212" s="487">
        <v>2101.616</v>
      </c>
      <c r="AJ212" s="555">
        <v>5.8700000000000002E-13</v>
      </c>
      <c r="AK212" s="60"/>
      <c r="AM212" s="60"/>
      <c r="AO212" s="262"/>
    </row>
    <row r="213" spans="1:41">
      <c r="A213" s="394"/>
      <c r="B213" s="394"/>
      <c r="C213" s="394"/>
      <c r="D213" s="394"/>
      <c r="E213" s="394"/>
      <c r="F213" s="394"/>
      <c r="G213" s="394"/>
      <c r="H213" s="394"/>
      <c r="I213" s="394"/>
      <c r="J213" s="262"/>
      <c r="T213" s="333"/>
      <c r="U213" s="332"/>
      <c r="AD213" s="262"/>
      <c r="AE213" s="60" t="s">
        <v>43</v>
      </c>
      <c r="AF213" s="487">
        <v>10</v>
      </c>
      <c r="AG213" s="487">
        <v>40816.99</v>
      </c>
      <c r="AH213" s="487">
        <v>4081.6990000000001</v>
      </c>
      <c r="AI213" s="487"/>
      <c r="AJ213" s="487"/>
      <c r="AK213" s="60"/>
      <c r="AM213" s="60"/>
      <c r="AO213" s="262"/>
    </row>
    <row r="214" spans="1:41">
      <c r="A214" s="394"/>
      <c r="B214" s="394"/>
      <c r="C214" s="394"/>
      <c r="D214" s="394"/>
      <c r="E214" s="394"/>
      <c r="F214" s="394"/>
      <c r="G214" s="394"/>
      <c r="H214" s="394"/>
      <c r="I214" s="394"/>
      <c r="J214" s="262"/>
      <c r="T214" s="262"/>
      <c r="AD214" s="262"/>
      <c r="AE214" s="396" t="s">
        <v>44</v>
      </c>
      <c r="AF214" s="488">
        <v>11</v>
      </c>
      <c r="AG214" s="488">
        <v>8618981</v>
      </c>
      <c r="AH214" s="488" t="s">
        <v>29</v>
      </c>
      <c r="AI214" s="488" t="s">
        <v>29</v>
      </c>
      <c r="AJ214" s="488" t="s">
        <v>29</v>
      </c>
      <c r="AK214" s="60"/>
      <c r="AL214" s="60"/>
      <c r="AM214" s="60"/>
      <c r="AO214" s="262"/>
    </row>
    <row r="215" spans="1:41">
      <c r="A215" s="394"/>
      <c r="B215" s="394"/>
      <c r="C215" s="394"/>
      <c r="D215" s="394"/>
      <c r="E215" s="394"/>
      <c r="F215" s="394"/>
      <c r="G215" s="394"/>
      <c r="H215" s="394"/>
      <c r="I215" s="394"/>
      <c r="J215" s="262"/>
      <c r="T215" s="333"/>
      <c r="AD215" s="262"/>
      <c r="AE215" s="60"/>
      <c r="AF215" s="60"/>
      <c r="AG215" s="60"/>
      <c r="AH215" s="60"/>
      <c r="AI215" s="60"/>
      <c r="AJ215" s="60"/>
      <c r="AK215" s="60"/>
      <c r="AL215" s="60"/>
      <c r="AM215" s="60"/>
      <c r="AO215" s="262"/>
    </row>
    <row r="216" spans="1:41" ht="23.5">
      <c r="A216" s="357"/>
      <c r="B216" s="357"/>
      <c r="C216" s="357"/>
      <c r="D216" s="357"/>
      <c r="E216" s="357"/>
      <c r="F216" s="357"/>
      <c r="G216" s="357"/>
      <c r="H216" s="357"/>
      <c r="I216" s="357"/>
      <c r="J216" s="358"/>
      <c r="T216" s="333"/>
      <c r="U216" s="632"/>
      <c r="V216" s="632"/>
      <c r="W216" s="632"/>
      <c r="X216" s="632"/>
      <c r="Y216" s="632"/>
      <c r="Z216" s="632"/>
      <c r="AA216" s="632"/>
      <c r="AB216" s="632"/>
      <c r="AC216" s="632"/>
      <c r="AD216" s="644"/>
      <c r="AE216" s="484" t="s">
        <v>29</v>
      </c>
      <c r="AF216" s="490" t="s">
        <v>45</v>
      </c>
      <c r="AG216" s="490" t="s">
        <v>34</v>
      </c>
      <c r="AH216" s="484" t="s">
        <v>46</v>
      </c>
      <c r="AI216" s="484" t="s">
        <v>47</v>
      </c>
      <c r="AJ216" s="484" t="s">
        <v>48</v>
      </c>
      <c r="AK216" s="484" t="s">
        <v>49</v>
      </c>
      <c r="AL216" s="484" t="s">
        <v>50</v>
      </c>
      <c r="AM216" s="490" t="s">
        <v>51</v>
      </c>
      <c r="AO216" s="262"/>
    </row>
    <row r="217" spans="1:41" ht="23.5">
      <c r="A217" s="394"/>
      <c r="B217" s="394"/>
      <c r="C217" s="394"/>
      <c r="D217" s="394"/>
      <c r="E217" s="397"/>
      <c r="F217" s="394"/>
      <c r="G217" s="394"/>
      <c r="H217" s="394"/>
      <c r="I217" s="394"/>
      <c r="J217" s="333"/>
      <c r="L217" s="493"/>
      <c r="M217" s="493"/>
      <c r="N217" s="493"/>
      <c r="O217" s="493"/>
      <c r="P217" s="493"/>
      <c r="Q217" s="493"/>
      <c r="R217" s="493"/>
      <c r="S217" s="493"/>
      <c r="T217" s="494"/>
      <c r="U217" s="636"/>
      <c r="V217" s="636"/>
      <c r="W217" s="636"/>
      <c r="X217" s="636"/>
      <c r="Y217" s="636"/>
      <c r="Z217" s="636"/>
      <c r="AA217" s="636"/>
      <c r="AB217" s="636"/>
      <c r="AC217" s="636"/>
      <c r="AD217" s="681"/>
      <c r="AE217" s="485" t="s">
        <v>52</v>
      </c>
      <c r="AF217" s="485">
        <v>3344.4690000000001</v>
      </c>
      <c r="AG217" s="485">
        <v>28.456119999999999</v>
      </c>
      <c r="AH217" s="485">
        <v>117.5307</v>
      </c>
      <c r="AI217" s="489">
        <v>4.8799999999999999E-17</v>
      </c>
      <c r="AJ217" s="485">
        <v>3281.0650000000001</v>
      </c>
      <c r="AK217" s="485">
        <v>3407.873</v>
      </c>
      <c r="AL217" s="485">
        <v>3281.0650000000001</v>
      </c>
      <c r="AM217" s="485">
        <v>3407.873</v>
      </c>
      <c r="AO217" s="262"/>
    </row>
    <row r="218" spans="1:41" ht="42.75" customHeight="1">
      <c r="A218" s="394"/>
      <c r="B218" s="394"/>
      <c r="C218" s="394"/>
      <c r="D218" s="394"/>
      <c r="E218" s="397"/>
      <c r="F218" s="394"/>
      <c r="G218" s="394"/>
      <c r="H218" s="394"/>
      <c r="I218" s="394"/>
      <c r="J218" s="262"/>
      <c r="K218" s="373" t="s">
        <v>1</v>
      </c>
      <c r="L218" s="375" t="s">
        <v>53</v>
      </c>
      <c r="M218" s="615" t="s">
        <v>82</v>
      </c>
      <c r="N218" s="616" t="s">
        <v>104</v>
      </c>
      <c r="O218" s="617" t="s">
        <v>83</v>
      </c>
      <c r="P218" s="678" t="s">
        <v>114</v>
      </c>
      <c r="Q218" s="636"/>
      <c r="R218" s="636"/>
      <c r="S218" s="636"/>
      <c r="T218" s="637"/>
      <c r="U218" s="479" t="s">
        <v>1</v>
      </c>
      <c r="V218" s="378" t="s">
        <v>13</v>
      </c>
      <c r="W218" s="308" t="s">
        <v>82</v>
      </c>
      <c r="X218" s="309" t="s">
        <v>104</v>
      </c>
      <c r="Y218" s="310" t="s">
        <v>83</v>
      </c>
      <c r="Z218" s="678" t="s">
        <v>114</v>
      </c>
      <c r="AA218" s="636"/>
      <c r="AB218" s="636"/>
      <c r="AC218" s="636"/>
      <c r="AD218" s="637"/>
      <c r="AE218" s="486" t="s">
        <v>104</v>
      </c>
      <c r="AF218" s="486">
        <v>18.34057</v>
      </c>
      <c r="AG218" s="486">
        <v>0.40006999999999998</v>
      </c>
      <c r="AH218" s="486">
        <v>45.843389999999999</v>
      </c>
      <c r="AI218" s="501">
        <v>5.8700000000000002E-13</v>
      </c>
      <c r="AJ218" s="486">
        <v>17.449159999999999</v>
      </c>
      <c r="AK218" s="486">
        <v>19.23198</v>
      </c>
      <c r="AL218" s="486">
        <v>17.449159999999999</v>
      </c>
      <c r="AM218" s="486">
        <v>19.23198</v>
      </c>
      <c r="AO218" s="262"/>
    </row>
    <row r="219" spans="1:41" ht="18.75" customHeight="1">
      <c r="A219" s="394"/>
      <c r="B219" s="394"/>
      <c r="C219" s="394"/>
      <c r="D219" s="394"/>
      <c r="E219" s="394"/>
      <c r="F219" s="394"/>
      <c r="G219" s="394"/>
      <c r="H219" s="394"/>
      <c r="I219" s="394"/>
      <c r="J219" s="262"/>
      <c r="K219" s="190">
        <v>2010</v>
      </c>
      <c r="L219" s="100">
        <v>102.6</v>
      </c>
      <c r="M219" s="407">
        <v>1</v>
      </c>
      <c r="N219" s="407">
        <v>1</v>
      </c>
      <c r="O219" s="419">
        <v>1</v>
      </c>
      <c r="T219" s="333"/>
      <c r="U219" s="480">
        <v>2010</v>
      </c>
      <c r="V219" s="66">
        <v>4108.37</v>
      </c>
      <c r="W219" s="407">
        <v>1</v>
      </c>
      <c r="X219" s="407">
        <v>1</v>
      </c>
      <c r="Y219" s="497">
        <v>1</v>
      </c>
      <c r="Z219" s="716" t="s">
        <v>110</v>
      </c>
      <c r="AA219" s="645"/>
      <c r="AB219" s="645"/>
      <c r="AC219" s="645"/>
      <c r="AD219" s="717"/>
      <c r="AO219" s="262"/>
    </row>
    <row r="220" spans="1:41" ht="29.25" customHeight="1">
      <c r="A220" s="394"/>
      <c r="B220" s="255"/>
      <c r="C220" s="255"/>
      <c r="D220" s="667"/>
      <c r="E220" s="667"/>
      <c r="F220" s="296"/>
      <c r="G220" s="394"/>
      <c r="H220" s="394"/>
      <c r="I220" s="394"/>
      <c r="J220" s="262"/>
      <c r="K220" s="190">
        <v>2011</v>
      </c>
      <c r="L220" s="100">
        <v>104.3</v>
      </c>
      <c r="M220" s="412">
        <v>2</v>
      </c>
      <c r="N220" s="412">
        <v>4</v>
      </c>
      <c r="O220" s="419">
        <v>1</v>
      </c>
      <c r="P220" s="679" t="s">
        <v>115</v>
      </c>
      <c r="Q220" s="646"/>
      <c r="R220" s="646"/>
      <c r="S220" s="646"/>
      <c r="T220" s="680"/>
      <c r="U220" s="481">
        <v>2011</v>
      </c>
      <c r="V220" s="66">
        <v>4327.3500000000004</v>
      </c>
      <c r="W220" s="412">
        <v>2</v>
      </c>
      <c r="X220" s="412">
        <v>4</v>
      </c>
      <c r="Y220" s="497">
        <v>1</v>
      </c>
      <c r="Z220" s="679" t="s">
        <v>116</v>
      </c>
      <c r="AA220" s="646"/>
      <c r="AB220" s="646"/>
      <c r="AC220" s="646"/>
      <c r="AD220" s="680"/>
      <c r="AE220" s="394" t="s">
        <v>29</v>
      </c>
      <c r="AF220" s="255" t="s">
        <v>117</v>
      </c>
      <c r="AG220" s="255"/>
      <c r="AH220" s="657" t="s">
        <v>118</v>
      </c>
      <c r="AI220" s="658"/>
      <c r="AJ220" s="655">
        <f>AF217+AH224*AF218</f>
        <v>6444.0253300000004</v>
      </c>
      <c r="AK220" s="394" t="s">
        <v>29</v>
      </c>
      <c r="AL220" s="394" t="s">
        <v>29</v>
      </c>
      <c r="AO220" s="262"/>
    </row>
    <row r="221" spans="1:41" ht="15.5">
      <c r="A221" s="394"/>
      <c r="B221" s="256"/>
      <c r="C221" s="256"/>
      <c r="D221" s="257"/>
      <c r="E221" s="257"/>
      <c r="F221" s="258"/>
      <c r="G221" s="394"/>
      <c r="H221" s="394"/>
      <c r="I221" s="394"/>
      <c r="J221" s="262"/>
      <c r="K221" s="190">
        <v>2012</v>
      </c>
      <c r="L221" s="100">
        <v>103.7</v>
      </c>
      <c r="M221" s="412">
        <v>3</v>
      </c>
      <c r="N221" s="412">
        <v>9</v>
      </c>
      <c r="O221" s="419">
        <v>1</v>
      </c>
      <c r="T221" s="333"/>
      <c r="U221" s="481">
        <v>2012</v>
      </c>
      <c r="V221" s="66">
        <v>4411.71</v>
      </c>
      <c r="W221" s="412">
        <v>3</v>
      </c>
      <c r="X221" s="412">
        <v>9</v>
      </c>
      <c r="Y221" s="419">
        <v>1</v>
      </c>
      <c r="AD221" s="262"/>
      <c r="AE221" s="394" t="s">
        <v>29</v>
      </c>
      <c r="AF221" s="256" t="s">
        <v>119</v>
      </c>
      <c r="AG221" s="256"/>
      <c r="AH221" s="659"/>
      <c r="AI221" s="660"/>
      <c r="AJ221" s="656"/>
      <c r="AK221" s="394" t="s">
        <v>29</v>
      </c>
      <c r="AL221" s="394" t="s">
        <v>29</v>
      </c>
      <c r="AO221" s="262"/>
    </row>
    <row r="222" spans="1:41">
      <c r="A222" s="394"/>
      <c r="B222" s="394"/>
      <c r="C222" s="394"/>
      <c r="D222" s="394"/>
      <c r="E222" s="394"/>
      <c r="F222" s="394"/>
      <c r="G222" s="394"/>
      <c r="H222" s="394"/>
      <c r="I222" s="394"/>
      <c r="J222" s="262"/>
      <c r="K222" s="190">
        <v>2013</v>
      </c>
      <c r="L222" s="100">
        <v>100.9</v>
      </c>
      <c r="M222" s="412">
        <v>4</v>
      </c>
      <c r="N222" s="412">
        <v>16</v>
      </c>
      <c r="O222" s="419">
        <v>1</v>
      </c>
      <c r="T222" s="333"/>
      <c r="U222" s="481">
        <v>2013</v>
      </c>
      <c r="V222" s="66">
        <v>4562.66</v>
      </c>
      <c r="W222" s="412">
        <v>4</v>
      </c>
      <c r="X222" s="412">
        <v>16</v>
      </c>
      <c r="Y222" s="419">
        <v>1</v>
      </c>
      <c r="AD222" s="262"/>
      <c r="AE222" s="394" t="s">
        <v>29</v>
      </c>
      <c r="AF222" s="394" t="s">
        <v>29</v>
      </c>
      <c r="AG222" s="394" t="s">
        <v>29</v>
      </c>
      <c r="AH222" s="394" t="s">
        <v>29</v>
      </c>
      <c r="AI222" s="394" t="s">
        <v>29</v>
      </c>
      <c r="AJ222" s="394" t="s">
        <v>29</v>
      </c>
      <c r="AK222" s="394" t="s">
        <v>29</v>
      </c>
      <c r="AL222" s="394" t="s">
        <v>29</v>
      </c>
      <c r="AO222" s="262"/>
    </row>
    <row r="223" spans="1:41">
      <c r="A223" s="255"/>
      <c r="B223" s="255"/>
      <c r="D223" s="279"/>
      <c r="E223" s="279"/>
      <c r="F223" s="280"/>
      <c r="G223" s="280"/>
      <c r="H223" s="280"/>
      <c r="I223" s="394"/>
      <c r="J223" s="262"/>
      <c r="K223" s="190">
        <v>2014</v>
      </c>
      <c r="L223" s="100">
        <v>100</v>
      </c>
      <c r="M223" s="412">
        <v>5</v>
      </c>
      <c r="N223" s="412">
        <v>25</v>
      </c>
      <c r="O223" s="419">
        <v>1</v>
      </c>
      <c r="T223" s="333"/>
      <c r="U223" s="481">
        <v>2014</v>
      </c>
      <c r="V223" s="66">
        <v>4814.1400000000003</v>
      </c>
      <c r="W223" s="412">
        <v>5</v>
      </c>
      <c r="X223" s="412">
        <v>25</v>
      </c>
      <c r="Y223" s="419">
        <v>1</v>
      </c>
      <c r="AD223" s="262"/>
      <c r="AE223" s="255" t="s">
        <v>29</v>
      </c>
      <c r="AF223" s="255" t="s">
        <v>29</v>
      </c>
      <c r="AH223" s="279" t="s">
        <v>87</v>
      </c>
      <c r="AI223" s="279" t="s">
        <v>29</v>
      </c>
      <c r="AJ223" s="280" t="s">
        <v>29</v>
      </c>
      <c r="AK223" s="280" t="s">
        <v>88</v>
      </c>
      <c r="AL223" s="280" t="s">
        <v>29</v>
      </c>
      <c r="AO223" s="262"/>
    </row>
    <row r="224" spans="1:41">
      <c r="A224" s="255"/>
      <c r="B224" s="255"/>
      <c r="D224" s="297"/>
      <c r="E224" s="287"/>
      <c r="F224" s="420"/>
      <c r="G224" s="288"/>
      <c r="H224" s="280"/>
      <c r="I224" s="394"/>
      <c r="J224" s="262"/>
      <c r="K224" s="190">
        <v>2015</v>
      </c>
      <c r="L224" s="100">
        <v>99.1</v>
      </c>
      <c r="M224" s="412">
        <v>6</v>
      </c>
      <c r="N224" s="412">
        <v>36</v>
      </c>
      <c r="O224" s="419">
        <v>1</v>
      </c>
      <c r="T224" s="333"/>
      <c r="U224" s="481">
        <v>2015</v>
      </c>
      <c r="V224" s="66">
        <v>4992.1400000000003</v>
      </c>
      <c r="W224" s="412">
        <v>6</v>
      </c>
      <c r="X224" s="412">
        <v>36</v>
      </c>
      <c r="Y224" s="419">
        <v>1</v>
      </c>
      <c r="AD224" s="262"/>
      <c r="AE224" s="255" t="s">
        <v>29</v>
      </c>
      <c r="AF224" s="279" t="s">
        <v>29</v>
      </c>
      <c r="AH224" s="285">
        <v>169</v>
      </c>
      <c r="AI224" s="287" t="s">
        <v>104</v>
      </c>
      <c r="AJ224" s="420" t="s">
        <v>29</v>
      </c>
      <c r="AK224" s="281" cm="1">
        <f t="array" ref="AK224:AL225">MINVERSE(MMULT(TRANSPOSE(AH186:AI197),AH186:AI197))</f>
        <v>3.9213123325272858E-5</v>
      </c>
      <c r="AL224" s="282">
        <v>-2.1240441801189461E-3</v>
      </c>
      <c r="AO224" s="262"/>
    </row>
    <row r="225" spans="1:41">
      <c r="B225" s="278"/>
      <c r="D225" s="279"/>
      <c r="E225" s="287"/>
      <c r="F225" s="420"/>
      <c r="G225" s="280"/>
      <c r="H225" s="280"/>
      <c r="I225" s="394"/>
      <c r="J225" s="262"/>
      <c r="K225" s="190">
        <v>2016</v>
      </c>
      <c r="L225" s="100">
        <v>99.4</v>
      </c>
      <c r="M225" s="412">
        <v>7</v>
      </c>
      <c r="N225" s="412">
        <v>49</v>
      </c>
      <c r="O225" s="419">
        <v>1</v>
      </c>
      <c r="T225" s="333"/>
      <c r="U225" s="481">
        <v>2016</v>
      </c>
      <c r="V225" s="66">
        <v>5118.59</v>
      </c>
      <c r="W225" s="412">
        <v>7</v>
      </c>
      <c r="X225" s="412">
        <v>49</v>
      </c>
      <c r="Y225" s="419">
        <v>1</v>
      </c>
      <c r="AD225" s="262"/>
      <c r="AF225" s="279" t="s">
        <v>120</v>
      </c>
      <c r="AH225" s="286">
        <v>1</v>
      </c>
      <c r="AI225" s="287" t="s">
        <v>121</v>
      </c>
      <c r="AJ225" s="420" t="s">
        <v>29</v>
      </c>
      <c r="AK225" s="283">
        <v>-2.1240441801189461E-3</v>
      </c>
      <c r="AL225" s="284">
        <v>0.19838572642310956</v>
      </c>
      <c r="AO225" s="262"/>
    </row>
    <row r="226" spans="1:41" ht="15" customHeight="1">
      <c r="A226" s="278"/>
      <c r="B226" s="258"/>
      <c r="C226" s="394"/>
      <c r="D226" s="394"/>
      <c r="E226" s="394"/>
      <c r="F226" s="280"/>
      <c r="G226" s="280"/>
      <c r="H226" s="280"/>
      <c r="I226" s="394"/>
      <c r="J226" s="263"/>
      <c r="K226" s="190">
        <v>2017</v>
      </c>
      <c r="L226" s="100">
        <v>102</v>
      </c>
      <c r="M226" s="412">
        <v>8</v>
      </c>
      <c r="N226" s="412">
        <v>64</v>
      </c>
      <c r="O226" s="419">
        <v>1</v>
      </c>
      <c r="T226" s="333"/>
      <c r="U226" s="481">
        <v>2017</v>
      </c>
      <c r="V226" s="66">
        <v>5312.48</v>
      </c>
      <c r="W226" s="412">
        <v>8</v>
      </c>
      <c r="X226" s="412">
        <v>64</v>
      </c>
      <c r="Y226" s="419">
        <v>1</v>
      </c>
      <c r="AD226" s="262"/>
      <c r="AE226" s="278"/>
      <c r="AF226" s="491" cm="1">
        <f t="array" ref="AF226">AG207*SQRT(1+MMULT(MMULT(TRANSPOSE(AH224:AH225),AK224:AL225),AH224:AH225))</f>
        <v>80.823580513409567</v>
      </c>
      <c r="AG226" s="394" t="s">
        <v>29</v>
      </c>
      <c r="AH226" s="394" t="s">
        <v>29</v>
      </c>
      <c r="AI226" s="394" t="s">
        <v>29</v>
      </c>
      <c r="AJ226" s="280"/>
      <c r="AK226" s="280"/>
      <c r="AL226" s="280"/>
      <c r="AO226" s="262"/>
    </row>
    <row r="227" spans="1:41">
      <c r="A227" s="255"/>
      <c r="B227" s="255"/>
      <c r="C227" s="255"/>
      <c r="D227" s="255"/>
      <c r="E227" s="255"/>
      <c r="F227" s="255"/>
      <c r="G227" s="255"/>
      <c r="H227" s="255"/>
      <c r="I227" s="394"/>
      <c r="J227" s="263"/>
      <c r="K227" s="190">
        <v>2018</v>
      </c>
      <c r="L227" s="100">
        <v>101.6</v>
      </c>
      <c r="M227" s="412">
        <v>9</v>
      </c>
      <c r="N227" s="412">
        <v>81</v>
      </c>
      <c r="O227" s="419">
        <v>1</v>
      </c>
      <c r="T227" s="333"/>
      <c r="U227" s="481">
        <v>2018</v>
      </c>
      <c r="V227" s="66">
        <v>5642</v>
      </c>
      <c r="W227" s="412">
        <v>9</v>
      </c>
      <c r="X227" s="412">
        <v>81</v>
      </c>
      <c r="Y227" s="419">
        <v>1</v>
      </c>
      <c r="AD227" s="262"/>
      <c r="AE227" s="255" t="s">
        <v>29</v>
      </c>
      <c r="AF227" s="279" t="s">
        <v>29</v>
      </c>
      <c r="AG227" s="255" t="s">
        <v>29</v>
      </c>
      <c r="AH227" s="255" t="s">
        <v>29</v>
      </c>
      <c r="AI227" s="255" t="s">
        <v>29</v>
      </c>
      <c r="AJ227" s="255" t="s">
        <v>29</v>
      </c>
      <c r="AK227" s="255" t="s">
        <v>29</v>
      </c>
      <c r="AL227" s="255" t="s">
        <v>29</v>
      </c>
      <c r="AO227" s="262"/>
    </row>
    <row r="228" spans="1:41">
      <c r="B228" s="298"/>
      <c r="C228" s="665"/>
      <c r="D228" s="665"/>
      <c r="E228" s="665"/>
      <c r="F228" s="255"/>
      <c r="G228" s="255"/>
      <c r="H228" s="255"/>
      <c r="I228" s="394"/>
      <c r="J228" s="263"/>
      <c r="K228" s="190">
        <v>2019</v>
      </c>
      <c r="L228" s="100">
        <v>102.3</v>
      </c>
      <c r="M228" s="412">
        <v>10</v>
      </c>
      <c r="N228" s="412">
        <v>100</v>
      </c>
      <c r="O228" s="419">
        <v>1</v>
      </c>
      <c r="T228" s="333"/>
      <c r="U228" s="481">
        <v>2019</v>
      </c>
      <c r="V228" s="66">
        <v>6154.35</v>
      </c>
      <c r="W228" s="412">
        <v>10</v>
      </c>
      <c r="X228" s="412">
        <v>100</v>
      </c>
      <c r="Y228" s="419">
        <v>1</v>
      </c>
      <c r="AD228" s="262"/>
      <c r="AF228" s="492">
        <f>AF226/AJ220</f>
        <v>1.2542405775026581E-2</v>
      </c>
      <c r="AG228" s="664" t="s">
        <v>122</v>
      </c>
      <c r="AH228" s="665"/>
      <c r="AI228" s="255"/>
      <c r="AJ228" s="255" t="s">
        <v>29</v>
      </c>
      <c r="AK228" s="255" t="s">
        <v>29</v>
      </c>
      <c r="AL228" s="255" t="s">
        <v>29</v>
      </c>
      <c r="AO228" s="262"/>
    </row>
    <row r="229" spans="1:41">
      <c r="J229" s="262"/>
      <c r="K229" s="190">
        <v>2020</v>
      </c>
      <c r="L229" s="100">
        <v>103.4</v>
      </c>
      <c r="M229" s="412">
        <v>11</v>
      </c>
      <c r="N229" s="412">
        <v>121</v>
      </c>
      <c r="O229" s="419">
        <v>1</v>
      </c>
      <c r="T229" s="333"/>
      <c r="U229" s="481">
        <v>2020</v>
      </c>
      <c r="V229" s="66">
        <v>6490.53</v>
      </c>
      <c r="W229" s="412">
        <v>11</v>
      </c>
      <c r="X229" s="412">
        <v>121</v>
      </c>
      <c r="Y229" s="419">
        <v>1</v>
      </c>
      <c r="AD229" s="262"/>
      <c r="AF229" s="70"/>
      <c r="AO229" s="262"/>
    </row>
    <row r="230" spans="1:41" ht="23.5">
      <c r="J230" s="262"/>
      <c r="K230" s="241">
        <v>2021</v>
      </c>
      <c r="L230" s="102">
        <v>105.1</v>
      </c>
      <c r="M230" s="423">
        <v>12</v>
      </c>
      <c r="N230" s="423">
        <v>144</v>
      </c>
      <c r="O230" s="424">
        <v>1</v>
      </c>
      <c r="T230" s="333"/>
      <c r="U230" s="423">
        <v>2021</v>
      </c>
      <c r="V230" s="91">
        <v>7084.42</v>
      </c>
      <c r="W230" s="423">
        <v>12</v>
      </c>
      <c r="X230" s="423">
        <v>144</v>
      </c>
      <c r="Y230" s="424">
        <v>1</v>
      </c>
      <c r="AD230" s="262"/>
      <c r="AE230" s="643" t="s">
        <v>123</v>
      </c>
      <c r="AF230" s="632"/>
      <c r="AG230" s="632"/>
      <c r="AH230" s="632"/>
      <c r="AI230" s="632"/>
      <c r="AJ230" s="632"/>
      <c r="AK230" s="632"/>
      <c r="AL230" s="632"/>
      <c r="AM230" s="632"/>
      <c r="AN230" s="632"/>
      <c r="AO230" s="262"/>
    </row>
    <row r="231" spans="1:41">
      <c r="J231" s="262"/>
      <c r="T231" s="333"/>
      <c r="AD231" s="262"/>
      <c r="AO231" s="262"/>
    </row>
    <row r="232" spans="1:41" ht="18.5">
      <c r="J232" s="262"/>
      <c r="T232" s="333"/>
      <c r="U232" s="645"/>
      <c r="V232" s="645"/>
      <c r="W232" s="645"/>
      <c r="X232" s="645"/>
      <c r="Y232" s="645"/>
      <c r="AD232" s="262"/>
      <c r="AF232" s="647" t="s">
        <v>102</v>
      </c>
      <c r="AG232" s="648"/>
      <c r="AH232" s="648"/>
      <c r="AI232" s="648"/>
      <c r="AJ232" s="651" t="s">
        <v>103</v>
      </c>
      <c r="AK232" s="651"/>
      <c r="AL232" s="652"/>
      <c r="AO232" s="262"/>
    </row>
    <row r="233" spans="1:41" ht="18.5">
      <c r="J233" s="262"/>
      <c r="T233" s="333"/>
      <c r="U233" s="646"/>
      <c r="V233" s="646"/>
      <c r="W233" s="646"/>
      <c r="X233" s="646"/>
      <c r="Y233" s="646"/>
      <c r="AD233" s="262"/>
      <c r="AF233" s="649"/>
      <c r="AG233" s="650"/>
      <c r="AH233" s="650"/>
      <c r="AI233" s="650"/>
      <c r="AJ233" s="653"/>
      <c r="AK233" s="653"/>
      <c r="AL233" s="654"/>
      <c r="AO233" s="262"/>
    </row>
    <row r="234" spans="1:41" ht="17.5">
      <c r="J234" s="262"/>
      <c r="T234" s="333"/>
      <c r="U234" s="60"/>
      <c r="V234" s="60"/>
      <c r="W234" s="60"/>
      <c r="X234" s="60"/>
      <c r="Y234" s="60"/>
      <c r="Z234" s="60"/>
      <c r="AA234" s="60"/>
      <c r="AB234" s="60"/>
      <c r="AC234" s="60"/>
      <c r="AD234" s="262"/>
      <c r="AF234" s="546" t="s">
        <v>82</v>
      </c>
      <c r="AG234" s="118" t="s">
        <v>1</v>
      </c>
      <c r="AH234" s="118" t="s">
        <v>14</v>
      </c>
      <c r="AI234" s="118" t="s">
        <v>105</v>
      </c>
      <c r="AJ234" s="544" t="s">
        <v>106</v>
      </c>
      <c r="AK234" s="545" t="s">
        <v>107</v>
      </c>
      <c r="AL234" s="547" t="s">
        <v>124</v>
      </c>
      <c r="AO234" s="262"/>
    </row>
    <row r="235" spans="1:41">
      <c r="J235" s="262"/>
      <c r="T235" s="333"/>
      <c r="U235" s="677" t="s">
        <v>28</v>
      </c>
      <c r="V235" s="677"/>
      <c r="W235" s="677"/>
      <c r="X235" s="60"/>
      <c r="Y235" s="60"/>
      <c r="Z235" s="60"/>
      <c r="AA235" s="60"/>
      <c r="AB235" s="60"/>
      <c r="AC235" s="60"/>
      <c r="AD235" s="262"/>
      <c r="AF235" s="548">
        <v>1</v>
      </c>
      <c r="AG235" s="410">
        <v>2010</v>
      </c>
      <c r="AH235" s="66">
        <v>2491.5</v>
      </c>
      <c r="AI235" s="307"/>
      <c r="AJ235" s="307"/>
      <c r="AK235" s="307"/>
      <c r="AL235" s="549"/>
      <c r="AO235" s="262"/>
    </row>
    <row r="236" spans="1:41">
      <c r="J236" s="262"/>
      <c r="T236" s="333"/>
      <c r="U236" s="634" t="s">
        <v>30</v>
      </c>
      <c r="V236" s="634"/>
      <c r="W236" s="634"/>
      <c r="X236" s="60"/>
      <c r="Y236" s="60"/>
      <c r="Z236" s="60"/>
      <c r="AA236" s="60"/>
      <c r="AB236" s="60"/>
      <c r="AC236" s="60"/>
      <c r="AD236" s="262"/>
      <c r="AF236" s="548">
        <v>2</v>
      </c>
      <c r="AG236" s="410">
        <v>2011</v>
      </c>
      <c r="AH236" s="66">
        <v>2472.5</v>
      </c>
      <c r="AI236" s="307">
        <f t="shared" ref="AI236:AI246" si="27">AH235</f>
        <v>2491.5</v>
      </c>
      <c r="AJ236" s="307"/>
      <c r="AK236" s="307"/>
      <c r="AL236" s="549"/>
      <c r="AO236" s="262"/>
    </row>
    <row r="237" spans="1:41">
      <c r="J237" s="262"/>
      <c r="K237" s="677" t="s">
        <v>28</v>
      </c>
      <c r="L237" s="677"/>
      <c r="M237" s="677"/>
      <c r="N237" s="60"/>
      <c r="O237" s="60"/>
      <c r="P237" s="60"/>
      <c r="Q237" s="60"/>
      <c r="R237" s="60"/>
      <c r="S237" s="60"/>
      <c r="T237" s="333"/>
      <c r="U237" s="631" t="s">
        <v>31</v>
      </c>
      <c r="V237" s="631"/>
      <c r="W237" s="498">
        <v>0.99527500000000002</v>
      </c>
      <c r="X237" s="60"/>
      <c r="Y237" s="60"/>
      <c r="Z237" s="60"/>
      <c r="AA237" s="60"/>
      <c r="AB237" s="60"/>
      <c r="AC237" s="60"/>
      <c r="AD237" s="262"/>
      <c r="AF237" s="548">
        <v>3</v>
      </c>
      <c r="AG237" s="410">
        <v>2012</v>
      </c>
      <c r="AH237" s="66">
        <v>2451.6999999999998</v>
      </c>
      <c r="AI237" s="307">
        <f t="shared" si="27"/>
        <v>2472.5</v>
      </c>
      <c r="AJ237" s="307">
        <f t="shared" ref="AJ237:AJ247" si="28">AH236+(AH236-AH235)</f>
        <v>2453.5</v>
      </c>
      <c r="AK237" s="307">
        <f t="shared" ref="AK237:AK246" si="29">AH237-AJ237</f>
        <v>-1.8000000000001819</v>
      </c>
      <c r="AL237" s="549">
        <f t="shared" ref="AL237:AL246" si="30">AK237^2</f>
        <v>3.2400000000006548</v>
      </c>
      <c r="AO237" s="262"/>
    </row>
    <row r="238" spans="1:41" ht="15" customHeight="1">
      <c r="J238" s="262"/>
      <c r="K238" s="634" t="s">
        <v>30</v>
      </c>
      <c r="L238" s="634"/>
      <c r="M238" s="634"/>
      <c r="N238" s="60"/>
      <c r="O238" s="60"/>
      <c r="P238" s="60"/>
      <c r="Q238" s="60"/>
      <c r="R238" s="60"/>
      <c r="S238" s="60"/>
      <c r="T238" s="333"/>
      <c r="U238" s="628" t="s">
        <v>32</v>
      </c>
      <c r="V238" s="628"/>
      <c r="W238" s="485">
        <v>0.99057200000000001</v>
      </c>
      <c r="X238" s="60"/>
      <c r="Y238" s="60"/>
      <c r="Z238" s="60"/>
      <c r="AA238" s="60"/>
      <c r="AB238" s="60"/>
      <c r="AC238" s="60"/>
      <c r="AD238" s="262"/>
      <c r="AF238" s="548">
        <v>4</v>
      </c>
      <c r="AG238" s="410">
        <v>2013</v>
      </c>
      <c r="AH238" s="66">
        <v>2425.6999999999998</v>
      </c>
      <c r="AI238" s="307">
        <f t="shared" si="27"/>
        <v>2451.6999999999998</v>
      </c>
      <c r="AJ238" s="307">
        <f t="shared" si="28"/>
        <v>2430.8999999999996</v>
      </c>
      <c r="AK238" s="307">
        <f t="shared" si="29"/>
        <v>-5.1999999999998181</v>
      </c>
      <c r="AL238" s="549">
        <f t="shared" si="30"/>
        <v>27.039999999998109</v>
      </c>
      <c r="AO238" s="262"/>
    </row>
    <row r="239" spans="1:41" ht="24.75" customHeight="1">
      <c r="J239" s="262"/>
      <c r="K239" s="631" t="s">
        <v>31</v>
      </c>
      <c r="L239" s="631"/>
      <c r="M239" s="500">
        <v>0.83044799999999996</v>
      </c>
      <c r="N239" s="60"/>
      <c r="O239" s="60"/>
      <c r="P239" s="60"/>
      <c r="Q239" s="60"/>
      <c r="R239" s="60"/>
      <c r="S239" s="60"/>
      <c r="T239" s="333"/>
      <c r="U239" s="629" t="s">
        <v>33</v>
      </c>
      <c r="V239" s="628"/>
      <c r="W239" s="485">
        <v>0.98963000000000001</v>
      </c>
      <c r="X239" s="60"/>
      <c r="Y239" s="60"/>
      <c r="Z239" s="60"/>
      <c r="AA239" s="60"/>
      <c r="AB239" s="60"/>
      <c r="AC239" s="60"/>
      <c r="AD239" s="262"/>
      <c r="AF239" s="548">
        <v>5</v>
      </c>
      <c r="AG239" s="410">
        <v>2014</v>
      </c>
      <c r="AH239" s="66">
        <v>2407.5</v>
      </c>
      <c r="AI239" s="307">
        <f t="shared" si="27"/>
        <v>2425.6999999999998</v>
      </c>
      <c r="AJ239" s="307">
        <f t="shared" si="28"/>
        <v>2399.6999999999998</v>
      </c>
      <c r="AK239" s="307">
        <f t="shared" si="29"/>
        <v>7.8000000000001819</v>
      </c>
      <c r="AL239" s="549">
        <f t="shared" si="30"/>
        <v>60.840000000002838</v>
      </c>
      <c r="AO239" s="262"/>
    </row>
    <row r="240" spans="1:41" ht="15" customHeight="1">
      <c r="J240" s="262"/>
      <c r="K240" s="628" t="s">
        <v>32</v>
      </c>
      <c r="L240" s="628"/>
      <c r="M240" s="485">
        <v>0.68964300000000001</v>
      </c>
      <c r="N240" s="60"/>
      <c r="O240" s="60"/>
      <c r="P240" s="60"/>
      <c r="Q240" s="60"/>
      <c r="R240" s="60"/>
      <c r="S240" s="60"/>
      <c r="T240" s="333"/>
      <c r="U240" s="629" t="s">
        <v>34</v>
      </c>
      <c r="V240" s="628"/>
      <c r="W240" s="485">
        <v>94.549959999999999</v>
      </c>
      <c r="X240" s="60"/>
      <c r="Y240" s="60"/>
      <c r="Z240" s="60"/>
      <c r="AA240" s="60"/>
      <c r="AB240" s="60"/>
      <c r="AC240" s="60"/>
      <c r="AD240" s="262"/>
      <c r="AF240" s="548">
        <v>6</v>
      </c>
      <c r="AG240" s="410">
        <v>2015</v>
      </c>
      <c r="AH240" s="66">
        <v>2390.4</v>
      </c>
      <c r="AI240" s="307">
        <f t="shared" si="27"/>
        <v>2407.5</v>
      </c>
      <c r="AJ240" s="307">
        <f t="shared" si="28"/>
        <v>2389.3000000000002</v>
      </c>
      <c r="AK240" s="307">
        <f t="shared" si="29"/>
        <v>1.0999999999999091</v>
      </c>
      <c r="AL240" s="549">
        <f t="shared" si="30"/>
        <v>1.2099999999997999</v>
      </c>
      <c r="AO240" s="262"/>
    </row>
    <row r="241" spans="1:41">
      <c r="J241" s="262"/>
      <c r="K241" s="629" t="s">
        <v>33</v>
      </c>
      <c r="L241" s="628"/>
      <c r="M241" s="485">
        <v>0.62067499999999998</v>
      </c>
      <c r="N241" s="60"/>
      <c r="O241" s="60"/>
      <c r="P241" s="60"/>
      <c r="Q241" s="60"/>
      <c r="R241" s="60"/>
      <c r="S241" s="60"/>
      <c r="T241" s="333"/>
      <c r="U241" s="697" t="s">
        <v>35</v>
      </c>
      <c r="V241" s="630"/>
      <c r="W241" s="499">
        <v>12</v>
      </c>
      <c r="X241" s="60"/>
      <c r="Y241" s="60"/>
      <c r="Z241" s="60"/>
      <c r="AA241" s="60"/>
      <c r="AB241" s="60"/>
      <c r="AC241" s="60"/>
      <c r="AD241" s="262"/>
      <c r="AF241" s="548">
        <v>7</v>
      </c>
      <c r="AG241" s="410">
        <v>2016</v>
      </c>
      <c r="AH241" s="66">
        <v>2375.1</v>
      </c>
      <c r="AI241" s="307">
        <f t="shared" si="27"/>
        <v>2390.4</v>
      </c>
      <c r="AJ241" s="307">
        <f t="shared" si="28"/>
        <v>2373.3000000000002</v>
      </c>
      <c r="AK241" s="307">
        <f t="shared" si="29"/>
        <v>1.7999999999997272</v>
      </c>
      <c r="AL241" s="549">
        <f t="shared" si="30"/>
        <v>3.2399999999990179</v>
      </c>
      <c r="AO241" s="262"/>
    </row>
    <row r="242" spans="1:41">
      <c r="J242" s="333"/>
      <c r="K242" s="628" t="s">
        <v>34</v>
      </c>
      <c r="L242" s="628"/>
      <c r="M242" s="485">
        <v>1.1850830000000001</v>
      </c>
      <c r="N242" s="60"/>
      <c r="O242" s="60"/>
      <c r="P242" s="60"/>
      <c r="Q242" s="60"/>
      <c r="R242" s="60"/>
      <c r="S242" s="60"/>
      <c r="T242" s="333"/>
      <c r="U242" s="60"/>
      <c r="V242" s="60"/>
      <c r="W242" s="60"/>
      <c r="X242" s="60"/>
      <c r="Y242" s="60"/>
      <c r="Z242" s="60"/>
      <c r="AA242" s="60"/>
      <c r="AB242" s="60"/>
      <c r="AC242" s="60"/>
      <c r="AD242" s="262"/>
      <c r="AF242" s="548">
        <v>8</v>
      </c>
      <c r="AG242" s="410">
        <v>2017</v>
      </c>
      <c r="AH242" s="66">
        <v>2354.4</v>
      </c>
      <c r="AI242" s="307">
        <f t="shared" si="27"/>
        <v>2375.1</v>
      </c>
      <c r="AJ242" s="307">
        <f t="shared" si="28"/>
        <v>2359.7999999999997</v>
      </c>
      <c r="AK242" s="307">
        <f t="shared" si="29"/>
        <v>-5.3999999999996362</v>
      </c>
      <c r="AL242" s="549">
        <f t="shared" si="30"/>
        <v>29.159999999996071</v>
      </c>
      <c r="AO242" s="262"/>
    </row>
    <row r="243" spans="1:41">
      <c r="J243" s="333"/>
      <c r="K243" s="630" t="s">
        <v>35</v>
      </c>
      <c r="L243" s="630"/>
      <c r="M243" s="486">
        <v>12</v>
      </c>
      <c r="N243" s="60"/>
      <c r="O243" s="60"/>
      <c r="P243" s="60"/>
      <c r="Q243" s="60"/>
      <c r="R243" s="60"/>
      <c r="S243" s="60"/>
      <c r="T243" s="333"/>
      <c r="U243" s="60" t="s">
        <v>36</v>
      </c>
      <c r="V243" s="60"/>
      <c r="W243" s="60"/>
      <c r="X243" s="60"/>
      <c r="Y243" s="60"/>
      <c r="Z243" s="60"/>
      <c r="AA243" s="60"/>
      <c r="AB243" s="60"/>
      <c r="AC243" s="60"/>
      <c r="AD243" s="262"/>
      <c r="AF243" s="548">
        <v>9</v>
      </c>
      <c r="AG243" s="410">
        <v>2018</v>
      </c>
      <c r="AH243" s="66">
        <v>2336.9</v>
      </c>
      <c r="AI243" s="307">
        <f t="shared" si="27"/>
        <v>2354.4</v>
      </c>
      <c r="AJ243" s="307">
        <f t="shared" si="28"/>
        <v>2333.7000000000003</v>
      </c>
      <c r="AK243" s="307">
        <f t="shared" si="29"/>
        <v>3.1999999999998181</v>
      </c>
      <c r="AL243" s="549">
        <f t="shared" si="30"/>
        <v>10.239999999998837</v>
      </c>
      <c r="AO243" s="262"/>
    </row>
    <row r="244" spans="1:41" ht="15" customHeight="1">
      <c r="J244" s="333"/>
      <c r="K244" s="482"/>
      <c r="L244" s="60"/>
      <c r="M244" s="325"/>
      <c r="N244" s="325"/>
      <c r="O244" s="325"/>
      <c r="P244" s="325"/>
      <c r="Q244" s="325"/>
      <c r="R244" s="60"/>
      <c r="S244" s="60"/>
      <c r="T244" s="333"/>
      <c r="U244" s="186" t="s">
        <v>29</v>
      </c>
      <c r="V244" s="484" t="s">
        <v>37</v>
      </c>
      <c r="W244" s="484" t="s">
        <v>38</v>
      </c>
      <c r="X244" s="484" t="s">
        <v>39</v>
      </c>
      <c r="Y244" s="484" t="s">
        <v>40</v>
      </c>
      <c r="Z244" s="484" t="s">
        <v>41</v>
      </c>
      <c r="AA244" s="60"/>
      <c r="AB244" s="60"/>
      <c r="AC244" s="60"/>
      <c r="AD244" s="262"/>
      <c r="AF244" s="548">
        <v>10</v>
      </c>
      <c r="AG244" s="410">
        <v>2019</v>
      </c>
      <c r="AH244" s="66">
        <v>2318.6</v>
      </c>
      <c r="AI244" s="307">
        <f t="shared" si="27"/>
        <v>2336.9</v>
      </c>
      <c r="AJ244" s="307">
        <f t="shared" si="28"/>
        <v>2319.4</v>
      </c>
      <c r="AK244" s="307">
        <f t="shared" si="29"/>
        <v>-0.8000000000001819</v>
      </c>
      <c r="AL244" s="549">
        <f t="shared" si="30"/>
        <v>0.640000000000291</v>
      </c>
      <c r="AO244" s="262"/>
    </row>
    <row r="245" spans="1:41">
      <c r="J245" s="333"/>
      <c r="K245" s="60" t="s">
        <v>36</v>
      </c>
      <c r="L245" s="60"/>
      <c r="M245" s="60"/>
      <c r="N245" s="60"/>
      <c r="O245" s="60"/>
      <c r="P245" s="60"/>
      <c r="Q245" s="60"/>
      <c r="R245" s="60"/>
      <c r="S245" s="60"/>
      <c r="T245" s="333"/>
      <c r="U245" s="60" t="s">
        <v>42</v>
      </c>
      <c r="V245" s="485">
        <v>1</v>
      </c>
      <c r="W245" s="485">
        <v>9393064</v>
      </c>
      <c r="X245" s="485">
        <v>9393064</v>
      </c>
      <c r="Y245" s="485">
        <v>1050.7139999999999</v>
      </c>
      <c r="Z245" s="489">
        <v>1.8399999999999999E-11</v>
      </c>
      <c r="AA245" s="60"/>
      <c r="AB245" s="188" t="s">
        <v>60</v>
      </c>
      <c r="AC245" s="60"/>
      <c r="AD245" s="262"/>
      <c r="AF245" s="548">
        <v>11</v>
      </c>
      <c r="AG245" s="410">
        <v>2020</v>
      </c>
      <c r="AH245" s="66">
        <v>2295</v>
      </c>
      <c r="AI245" s="307">
        <f t="shared" si="27"/>
        <v>2318.6</v>
      </c>
      <c r="AJ245" s="307">
        <f t="shared" si="28"/>
        <v>2300.2999999999997</v>
      </c>
      <c r="AK245" s="307">
        <f t="shared" si="29"/>
        <v>-5.2999999999997272</v>
      </c>
      <c r="AL245" s="549">
        <f t="shared" si="30"/>
        <v>28.089999999997108</v>
      </c>
      <c r="AO245" s="262"/>
    </row>
    <row r="246" spans="1:41">
      <c r="J246" s="333"/>
      <c r="K246" s="186" t="s">
        <v>29</v>
      </c>
      <c r="L246" s="484" t="s">
        <v>37</v>
      </c>
      <c r="M246" s="483" t="s">
        <v>38</v>
      </c>
      <c r="N246" s="484" t="s">
        <v>39</v>
      </c>
      <c r="O246" s="484" t="s">
        <v>40</v>
      </c>
      <c r="P246" s="484" t="s">
        <v>41</v>
      </c>
      <c r="Q246" s="60"/>
      <c r="R246" s="60"/>
      <c r="S246" s="60"/>
      <c r="T246" s="333"/>
      <c r="U246" s="60" t="s">
        <v>43</v>
      </c>
      <c r="V246" s="485">
        <v>10</v>
      </c>
      <c r="W246" s="485">
        <v>89396.95</v>
      </c>
      <c r="X246" s="485">
        <v>8939.6949999999997</v>
      </c>
      <c r="Y246" s="485"/>
      <c r="Z246" s="485"/>
      <c r="AA246" s="60"/>
      <c r="AB246" s="248">
        <f>W240/AVERAGE(V219:V230)</f>
        <v>1.8004160667128542E-2</v>
      </c>
      <c r="AC246" s="60"/>
      <c r="AD246" s="262"/>
      <c r="AF246" s="550">
        <v>12</v>
      </c>
      <c r="AG246" s="551">
        <v>2021</v>
      </c>
      <c r="AH246" s="91">
        <v>2267.1999999999998</v>
      </c>
      <c r="AI246" s="552">
        <f t="shared" si="27"/>
        <v>2295</v>
      </c>
      <c r="AJ246" s="552">
        <f t="shared" si="28"/>
        <v>2271.4</v>
      </c>
      <c r="AK246" s="552">
        <f t="shared" si="29"/>
        <v>-4.2000000000002728</v>
      </c>
      <c r="AL246" s="553">
        <f t="shared" si="30"/>
        <v>17.640000000002292</v>
      </c>
      <c r="AO246" s="262"/>
    </row>
    <row r="247" spans="1:41">
      <c r="J247" s="333"/>
      <c r="K247" s="60" t="s">
        <v>42</v>
      </c>
      <c r="L247" s="485">
        <v>2</v>
      </c>
      <c r="M247" s="487">
        <v>28.086880000000001</v>
      </c>
      <c r="N247" s="485">
        <v>14.04344</v>
      </c>
      <c r="O247" s="485">
        <v>9.9994499999999995</v>
      </c>
      <c r="P247" s="485">
        <v>5.169E-3</v>
      </c>
      <c r="Q247" s="60"/>
      <c r="R247" s="188" t="s">
        <v>60</v>
      </c>
      <c r="S247" s="60"/>
      <c r="T247" s="333"/>
      <c r="U247" s="396" t="s">
        <v>44</v>
      </c>
      <c r="V247" s="486">
        <v>11</v>
      </c>
      <c r="W247" s="486">
        <v>9482461</v>
      </c>
      <c r="X247" s="486" t="s">
        <v>29</v>
      </c>
      <c r="Y247" s="486" t="s">
        <v>29</v>
      </c>
      <c r="Z247" s="486" t="s">
        <v>29</v>
      </c>
      <c r="AA247" s="60"/>
      <c r="AB247" s="60"/>
      <c r="AC247" s="60"/>
      <c r="AD247" s="262"/>
      <c r="AG247" s="299"/>
      <c r="AH247" s="300"/>
      <c r="AI247" s="470"/>
      <c r="AJ247" s="469">
        <f t="shared" si="28"/>
        <v>2239.3999999999996</v>
      </c>
      <c r="AK247" s="301"/>
      <c r="AL247" s="302">
        <f>AVERAGE(AL237:AL246)</f>
        <v>18.133999999999499</v>
      </c>
      <c r="AM247" s="183" t="s">
        <v>109</v>
      </c>
      <c r="AO247" s="262"/>
    </row>
    <row r="248" spans="1:41">
      <c r="J248" s="333"/>
      <c r="K248" s="60" t="s">
        <v>43</v>
      </c>
      <c r="L248" s="485">
        <v>9</v>
      </c>
      <c r="M248" s="487">
        <v>12.63979</v>
      </c>
      <c r="N248" s="485">
        <v>1.4044209999999999</v>
      </c>
      <c r="O248" s="485"/>
      <c r="P248" s="485"/>
      <c r="Q248" s="60"/>
      <c r="R248" s="248">
        <f>M242/AVERAGE(L219:L230)</f>
        <v>1.1614665142110424E-2</v>
      </c>
      <c r="S248" s="60"/>
      <c r="T248" s="333"/>
      <c r="U248" s="60"/>
      <c r="V248" s="60"/>
      <c r="W248" s="60"/>
      <c r="X248" s="60"/>
      <c r="Y248" s="60"/>
      <c r="Z248" s="60"/>
      <c r="AA248" s="60"/>
      <c r="AB248" s="60"/>
      <c r="AC248" s="60"/>
      <c r="AD248" s="262"/>
      <c r="AG248" s="567" t="s">
        <v>111</v>
      </c>
      <c r="AI248" s="354">
        <f>AL248/AJ247</f>
        <v>1.9015823241474905E-3</v>
      </c>
      <c r="AJ248" s="470"/>
      <c r="AK248" s="301"/>
      <c r="AL248" s="303">
        <f>SQRT(AL247)</f>
        <v>4.2584034566958895</v>
      </c>
      <c r="AM248" s="183" t="s">
        <v>112</v>
      </c>
      <c r="AO248" s="262"/>
    </row>
    <row r="249" spans="1:41">
      <c r="A249" s="60"/>
      <c r="B249" s="60"/>
      <c r="C249" s="60"/>
      <c r="D249" s="60"/>
      <c r="E249" s="398"/>
      <c r="F249" s="60"/>
      <c r="G249" s="60"/>
      <c r="H249" s="60"/>
      <c r="I249" s="60"/>
      <c r="J249" s="333"/>
      <c r="K249" s="396" t="s">
        <v>44</v>
      </c>
      <c r="L249" s="486">
        <v>11</v>
      </c>
      <c r="M249" s="488">
        <v>40.726669999999999</v>
      </c>
      <c r="N249" s="486" t="s">
        <v>29</v>
      </c>
      <c r="O249" s="486" t="s">
        <v>29</v>
      </c>
      <c r="P249" s="486" t="s">
        <v>29</v>
      </c>
      <c r="Q249" s="60"/>
      <c r="R249" s="60"/>
      <c r="S249" s="60"/>
      <c r="T249" s="333"/>
      <c r="U249" s="186" t="s">
        <v>29</v>
      </c>
      <c r="V249" s="490" t="s">
        <v>45</v>
      </c>
      <c r="W249" s="490" t="s">
        <v>34</v>
      </c>
      <c r="X249" s="484" t="s">
        <v>46</v>
      </c>
      <c r="Y249" s="484" t="s">
        <v>47</v>
      </c>
      <c r="Z249" s="484" t="s">
        <v>48</v>
      </c>
      <c r="AA249" s="484" t="s">
        <v>49</v>
      </c>
      <c r="AB249" s="484" t="s">
        <v>50</v>
      </c>
      <c r="AC249" s="490" t="s">
        <v>51</v>
      </c>
      <c r="AD249" s="262"/>
      <c r="AI249" s="70"/>
      <c r="AJ249" s="70"/>
      <c r="AO249" s="262"/>
    </row>
    <row r="250" spans="1:41">
      <c r="A250" s="60"/>
      <c r="B250" s="60"/>
      <c r="C250" s="60"/>
      <c r="D250" s="60"/>
      <c r="E250" s="60"/>
      <c r="F250" s="60"/>
      <c r="G250" s="60"/>
      <c r="H250" s="60"/>
      <c r="I250" s="60"/>
      <c r="J250" s="333"/>
      <c r="K250" s="60"/>
      <c r="L250" s="60"/>
      <c r="M250" s="60"/>
      <c r="N250" s="60"/>
      <c r="O250" s="60"/>
      <c r="P250" s="60"/>
      <c r="Q250" s="60"/>
      <c r="R250" s="60"/>
      <c r="S250" s="60"/>
      <c r="T250" s="333"/>
      <c r="U250" s="459" t="s">
        <v>52</v>
      </c>
      <c r="V250" s="485">
        <v>4211.9350000000004</v>
      </c>
      <c r="W250" s="485">
        <v>42.113039999999998</v>
      </c>
      <c r="X250" s="485">
        <v>100.015</v>
      </c>
      <c r="Y250" s="489">
        <v>2.4499999999999999E-16</v>
      </c>
      <c r="Z250" s="485">
        <v>4118.1019999999999</v>
      </c>
      <c r="AA250" s="485">
        <v>4305.7690000000002</v>
      </c>
      <c r="AB250" s="485">
        <v>4118.1019999999999</v>
      </c>
      <c r="AC250" s="485">
        <v>4305.7690000000002</v>
      </c>
      <c r="AD250" s="262"/>
      <c r="AI250" s="70"/>
      <c r="AJ250" s="70"/>
      <c r="AO250" s="262"/>
    </row>
    <row r="251" spans="1:41" ht="28.5" customHeight="1">
      <c r="A251" s="60"/>
      <c r="B251" s="60"/>
      <c r="C251" s="60"/>
      <c r="D251" s="60"/>
      <c r="E251" s="60"/>
      <c r="F251" s="60"/>
      <c r="G251" s="60"/>
      <c r="H251" s="60"/>
      <c r="I251" s="60"/>
      <c r="J251" s="333"/>
      <c r="K251" s="186" t="s">
        <v>29</v>
      </c>
      <c r="L251" s="484" t="s">
        <v>45</v>
      </c>
      <c r="M251" s="490" t="s">
        <v>34</v>
      </c>
      <c r="N251" s="484" t="s">
        <v>46</v>
      </c>
      <c r="O251" s="484" t="s">
        <v>47</v>
      </c>
      <c r="P251" s="484" t="s">
        <v>48</v>
      </c>
      <c r="Q251" s="484" t="s">
        <v>49</v>
      </c>
      <c r="R251" s="484" t="s">
        <v>50</v>
      </c>
      <c r="S251" s="484" t="s">
        <v>51</v>
      </c>
      <c r="T251" s="262"/>
      <c r="U251" s="486" t="s">
        <v>104</v>
      </c>
      <c r="V251" s="486">
        <v>19.191960000000002</v>
      </c>
      <c r="W251" s="486">
        <v>0.59207500000000002</v>
      </c>
      <c r="X251" s="486">
        <v>32.414720000000003</v>
      </c>
      <c r="Y251" s="501">
        <v>1.8399999999999999E-11</v>
      </c>
      <c r="Z251" s="486">
        <v>17.872730000000001</v>
      </c>
      <c r="AA251" s="486">
        <v>20.511189999999999</v>
      </c>
      <c r="AB251" s="486">
        <v>17.872730000000001</v>
      </c>
      <c r="AC251" s="486">
        <v>20.511189999999999</v>
      </c>
      <c r="AD251" s="262"/>
      <c r="AI251" s="70"/>
      <c r="AJ251" s="70"/>
      <c r="AO251" s="262"/>
    </row>
    <row r="252" spans="1:41">
      <c r="J252" s="333"/>
      <c r="K252" s="459" t="s">
        <v>52</v>
      </c>
      <c r="L252" s="485">
        <v>105.9409</v>
      </c>
      <c r="M252" s="485">
        <v>1.224817</v>
      </c>
      <c r="N252" s="485">
        <v>86.495279999999994</v>
      </c>
      <c r="O252" s="489">
        <v>1.8699999999999999E-14</v>
      </c>
      <c r="P252" s="485">
        <v>103.17019999999999</v>
      </c>
      <c r="Q252" s="485">
        <v>108.7116</v>
      </c>
      <c r="R252" s="485">
        <v>103.17019999999999</v>
      </c>
      <c r="S252" s="485">
        <v>108.7116</v>
      </c>
      <c r="T252" s="262"/>
      <c r="AD252" s="262"/>
      <c r="AO252" s="262"/>
    </row>
    <row r="253" spans="1:41" ht="27" customHeight="1">
      <c r="A253" s="251"/>
      <c r="J253" s="333"/>
      <c r="K253" s="485" t="s">
        <v>82</v>
      </c>
      <c r="L253" s="485">
        <v>-1.7958000000000001</v>
      </c>
      <c r="M253" s="485">
        <v>0.43319000000000002</v>
      </c>
      <c r="N253" s="485">
        <v>-4.1455299999999999</v>
      </c>
      <c r="O253" s="485">
        <v>2.5010000000000002E-3</v>
      </c>
      <c r="P253" s="485">
        <v>-2.7757499999999999</v>
      </c>
      <c r="Q253" s="485">
        <v>-0.81586000000000003</v>
      </c>
      <c r="R253" s="485">
        <v>-2.7757499999999999</v>
      </c>
      <c r="S253" s="485">
        <v>-0.81586000000000003</v>
      </c>
      <c r="T253" s="262"/>
      <c r="V253" s="255" t="s">
        <v>117</v>
      </c>
      <c r="W253" s="255"/>
      <c r="X253" s="709" t="s">
        <v>125</v>
      </c>
      <c r="Y253" s="710"/>
      <c r="Z253" s="713">
        <f>V250+X257*V251</f>
        <v>7455.3762400000005</v>
      </c>
      <c r="AA253" s="394" t="s">
        <v>29</v>
      </c>
      <c r="AB253" s="394" t="s">
        <v>29</v>
      </c>
      <c r="AD253" s="262"/>
      <c r="AO253" s="262"/>
    </row>
    <row r="254" spans="1:41" ht="15.5">
      <c r="J254" s="333"/>
      <c r="K254" s="486" t="s">
        <v>104</v>
      </c>
      <c r="L254" s="486">
        <v>0.14335700000000001</v>
      </c>
      <c r="M254" s="486">
        <v>3.2439000000000003E-2</v>
      </c>
      <c r="N254" s="486">
        <v>4.4193210000000001</v>
      </c>
      <c r="O254" s="486">
        <v>1.673E-3</v>
      </c>
      <c r="P254" s="486">
        <v>6.9974999999999996E-2</v>
      </c>
      <c r="Q254" s="486">
        <v>0.21673799999999999</v>
      </c>
      <c r="R254" s="486">
        <v>6.9974999999999996E-2</v>
      </c>
      <c r="S254" s="486">
        <v>0.21673799999999999</v>
      </c>
      <c r="T254" s="262"/>
      <c r="V254" s="256" t="s">
        <v>119</v>
      </c>
      <c r="W254" s="256"/>
      <c r="X254" s="711"/>
      <c r="Y254" s="712"/>
      <c r="Z254" s="714"/>
      <c r="AA254" s="394" t="s">
        <v>29</v>
      </c>
      <c r="AB254" s="394" t="s">
        <v>29</v>
      </c>
      <c r="AD254" s="262"/>
      <c r="AO254" s="262"/>
    </row>
    <row r="255" spans="1:41" ht="15.75" customHeight="1">
      <c r="B255" s="185"/>
      <c r="C255" s="185"/>
      <c r="D255" s="666"/>
      <c r="E255" s="666"/>
      <c r="F255" s="191"/>
      <c r="J255" s="333"/>
      <c r="T255" s="262"/>
      <c r="V255" s="394" t="s">
        <v>29</v>
      </c>
      <c r="W255" s="394" t="s">
        <v>29</v>
      </c>
      <c r="X255" s="394" t="s">
        <v>29</v>
      </c>
      <c r="Y255" s="394" t="s">
        <v>29</v>
      </c>
      <c r="Z255" s="394" t="s">
        <v>29</v>
      </c>
      <c r="AA255" s="394" t="s">
        <v>29</v>
      </c>
      <c r="AB255" s="394" t="s">
        <v>29</v>
      </c>
      <c r="AD255" s="262"/>
      <c r="AO255" s="262"/>
    </row>
    <row r="256" spans="1:41" ht="41.25" customHeight="1">
      <c r="B256" s="253"/>
      <c r="C256" s="185"/>
      <c r="D256" s="252"/>
      <c r="E256" s="252"/>
      <c r="F256" s="191"/>
      <c r="K256" s="471" t="s">
        <v>29</v>
      </c>
      <c r="L256" s="255" t="s">
        <v>117</v>
      </c>
      <c r="M256" s="255"/>
      <c r="N256" s="709" t="s">
        <v>126</v>
      </c>
      <c r="O256" s="710"/>
      <c r="P256" s="713">
        <f>L252+N260*L253+N261*L254</f>
        <v>106.822833</v>
      </c>
      <c r="Q256" s="394" t="s">
        <v>29</v>
      </c>
      <c r="R256" s="394" t="s">
        <v>29</v>
      </c>
      <c r="T256" s="262"/>
      <c r="V256" s="280" t="s">
        <v>29</v>
      </c>
      <c r="X256" s="279" t="s">
        <v>87</v>
      </c>
      <c r="Y256" s="279" t="s">
        <v>29</v>
      </c>
      <c r="Z256" s="280"/>
      <c r="AA256" s="279" t="s">
        <v>88</v>
      </c>
      <c r="AB256" s="280" t="s">
        <v>29</v>
      </c>
      <c r="AD256" s="262"/>
      <c r="AO256" s="262"/>
    </row>
    <row r="257" spans="2:41" ht="15.5">
      <c r="D257" s="252"/>
      <c r="E257" s="252"/>
      <c r="F257" s="191"/>
      <c r="K257" s="471" t="s">
        <v>29</v>
      </c>
      <c r="L257" s="256" t="s">
        <v>119</v>
      </c>
      <c r="M257" s="256"/>
      <c r="N257" s="711"/>
      <c r="O257" s="712"/>
      <c r="P257" s="714"/>
      <c r="Q257" s="394" t="s">
        <v>29</v>
      </c>
      <c r="R257" s="394" t="s">
        <v>29</v>
      </c>
      <c r="T257" s="262"/>
      <c r="V257" s="280" t="s">
        <v>29</v>
      </c>
      <c r="X257" s="285">
        <v>169</v>
      </c>
      <c r="Y257" s="287" t="s">
        <v>104</v>
      </c>
      <c r="Z257" s="420" t="s">
        <v>29</v>
      </c>
      <c r="AA257" s="281" cm="1">
        <f t="array" ref="AA257:AB258">MINVERSE(MMULT(TRANSPOSE(X219:Y230),X219:Y230))</f>
        <v>3.9213123325272858E-5</v>
      </c>
      <c r="AB257" s="282">
        <v>-2.1240441801189461E-3</v>
      </c>
      <c r="AD257" s="262"/>
      <c r="AO257" s="262"/>
    </row>
    <row r="258" spans="2:41">
      <c r="B258" s="185"/>
      <c r="C258" s="185"/>
      <c r="D258" s="185"/>
      <c r="E258" s="185"/>
      <c r="F258" s="185"/>
      <c r="G258" s="185"/>
      <c r="H258" s="185"/>
      <c r="I258" s="185"/>
      <c r="K258" s="471" t="s">
        <v>29</v>
      </c>
      <c r="L258" s="394" t="s">
        <v>29</v>
      </c>
      <c r="M258" s="394" t="s">
        <v>29</v>
      </c>
      <c r="N258" s="394" t="s">
        <v>29</v>
      </c>
      <c r="O258" s="394" t="s">
        <v>29</v>
      </c>
      <c r="P258" s="394" t="s">
        <v>29</v>
      </c>
      <c r="Q258" s="394" t="s">
        <v>29</v>
      </c>
      <c r="R258" s="394" t="s">
        <v>29</v>
      </c>
      <c r="T258" s="262"/>
      <c r="V258" s="280" t="s">
        <v>120</v>
      </c>
      <c r="X258" s="286">
        <v>1</v>
      </c>
      <c r="Y258" s="287" t="s">
        <v>121</v>
      </c>
      <c r="Z258" s="420" t="s">
        <v>29</v>
      </c>
      <c r="AA258" s="283">
        <v>-2.1240441801189461E-3</v>
      </c>
      <c r="AB258" s="284">
        <v>0.19838572642310956</v>
      </c>
      <c r="AD258" s="262"/>
      <c r="AO258" s="262"/>
    </row>
    <row r="259" spans="2:41">
      <c r="B259" s="185"/>
      <c r="C259" s="185"/>
      <c r="D259" s="254"/>
      <c r="E259" s="185"/>
      <c r="F259" s="185"/>
      <c r="G259" s="185"/>
      <c r="H259" s="185"/>
      <c r="I259" s="185"/>
      <c r="K259" s="472" t="s">
        <v>29</v>
      </c>
      <c r="L259" s="255" t="s">
        <v>29</v>
      </c>
      <c r="N259" s="279" t="s">
        <v>87</v>
      </c>
      <c r="O259" s="279" t="s">
        <v>29</v>
      </c>
      <c r="P259" s="280" t="s">
        <v>29</v>
      </c>
      <c r="Q259" s="280" t="s">
        <v>88</v>
      </c>
      <c r="R259" s="280" t="s">
        <v>29</v>
      </c>
      <c r="T259" s="262"/>
      <c r="V259" s="502" cm="1">
        <f t="array" ref="V259">W240*SQRT(1+MMULT(MMULT(TRANSPOSE(X257:X258),AA257:AB258),X257:X258))</f>
        <v>119.61316632797048</v>
      </c>
      <c r="W259" s="394" t="s">
        <v>29</v>
      </c>
      <c r="X259" s="394" t="s">
        <v>29</v>
      </c>
      <c r="Y259" s="394" t="s">
        <v>29</v>
      </c>
      <c r="Z259" s="280"/>
      <c r="AA259" s="280"/>
      <c r="AB259" s="280"/>
      <c r="AD259" s="262"/>
      <c r="AO259" s="262"/>
    </row>
    <row r="260" spans="2:41">
      <c r="B260" s="185"/>
      <c r="C260" s="185"/>
      <c r="D260" s="254"/>
      <c r="E260" s="185"/>
      <c r="F260" s="185"/>
      <c r="G260" s="185"/>
      <c r="H260" s="185"/>
      <c r="I260" s="185"/>
      <c r="K260" s="472" t="s">
        <v>29</v>
      </c>
      <c r="L260" s="279" t="s">
        <v>29</v>
      </c>
      <c r="N260" s="289">
        <v>13</v>
      </c>
      <c r="O260" s="68" t="s">
        <v>82</v>
      </c>
      <c r="P260" s="420" t="s">
        <v>29</v>
      </c>
      <c r="Q260" s="281" cm="1">
        <f t="array" ref="Q260:S262">MINVERSE(MMULT(TRANSPOSE(M219:O230),M219:O230))</f>
        <v>0.13361638361638437</v>
      </c>
      <c r="R260" s="326">
        <v>-9.7402597402597973E-3</v>
      </c>
      <c r="S260" s="327">
        <v>-0.34090909090909283</v>
      </c>
      <c r="T260" s="262"/>
      <c r="V260" s="280" t="s">
        <v>29</v>
      </c>
      <c r="W260" s="255" t="s">
        <v>29</v>
      </c>
      <c r="X260" s="255" t="s">
        <v>29</v>
      </c>
      <c r="Y260" s="255" t="s">
        <v>29</v>
      </c>
      <c r="Z260" s="255" t="s">
        <v>29</v>
      </c>
      <c r="AA260" s="255" t="s">
        <v>29</v>
      </c>
      <c r="AB260" s="255" t="s">
        <v>29</v>
      </c>
      <c r="AD260" s="262"/>
      <c r="AO260" s="262"/>
    </row>
    <row r="261" spans="2:41">
      <c r="B261" s="192"/>
      <c r="C261" s="185"/>
      <c r="D261" s="185"/>
      <c r="E261" s="185"/>
      <c r="F261" s="185"/>
      <c r="G261" s="185"/>
      <c r="H261" s="185"/>
      <c r="I261" s="185"/>
      <c r="K261" s="473"/>
      <c r="L261" s="279" t="s">
        <v>120</v>
      </c>
      <c r="N261" s="290">
        <v>169</v>
      </c>
      <c r="O261" s="68" t="s">
        <v>104</v>
      </c>
      <c r="P261" s="420" t="s">
        <v>29</v>
      </c>
      <c r="Q261" s="328">
        <v>-9.7402597402597973E-3</v>
      </c>
      <c r="R261" s="280">
        <v>7.4925074925075348E-4</v>
      </c>
      <c r="S261" s="329">
        <v>2.272727272727287E-2</v>
      </c>
      <c r="T261" s="262"/>
      <c r="V261" s="503">
        <f>V259/Z253</f>
        <v>1.6043880614128533E-2</v>
      </c>
      <c r="W261" s="664" t="s">
        <v>122</v>
      </c>
      <c r="X261" s="665"/>
      <c r="Y261" s="255"/>
      <c r="Z261" s="255" t="s">
        <v>29</v>
      </c>
      <c r="AA261" s="255" t="s">
        <v>29</v>
      </c>
      <c r="AB261" s="255" t="s">
        <v>29</v>
      </c>
      <c r="AD261" s="262"/>
      <c r="AO261" s="262"/>
    </row>
    <row r="262" spans="2:41">
      <c r="B262" s="185"/>
      <c r="C262" s="185"/>
      <c r="D262" s="185"/>
      <c r="E262" s="185"/>
      <c r="F262" s="185"/>
      <c r="G262" s="185"/>
      <c r="H262" s="185"/>
      <c r="I262" s="185"/>
      <c r="K262" s="474"/>
      <c r="L262" s="491" cm="1">
        <f t="array" ref="L262">M242*SQRT(1+MMULT(MMULT(TRANSPOSE(N260:N262),Q260:S262),N260:N262))</f>
        <v>1.7042885494919924</v>
      </c>
      <c r="M262" s="394" t="s">
        <v>29</v>
      </c>
      <c r="N262" s="291">
        <v>1</v>
      </c>
      <c r="O262" s="287" t="s">
        <v>121</v>
      </c>
      <c r="P262" s="188"/>
      <c r="Q262" s="283">
        <v>-0.34090909090909272</v>
      </c>
      <c r="R262" s="330">
        <v>2.272727272727286E-2</v>
      </c>
      <c r="S262" s="331">
        <v>1.0681818181818228</v>
      </c>
      <c r="T262" s="262"/>
      <c r="AD262" s="262"/>
      <c r="AO262" s="262"/>
    </row>
    <row r="263" spans="2:41" ht="23.5">
      <c r="B263" s="250"/>
      <c r="C263" s="185"/>
      <c r="D263" s="185"/>
      <c r="E263" s="185"/>
      <c r="F263" s="185"/>
      <c r="G263" s="185"/>
      <c r="H263" s="185"/>
      <c r="I263" s="185"/>
      <c r="K263" s="472" t="s">
        <v>29</v>
      </c>
      <c r="L263" s="279" t="s">
        <v>29</v>
      </c>
      <c r="M263" s="255" t="s">
        <v>29</v>
      </c>
      <c r="N263" s="255" t="s">
        <v>29</v>
      </c>
      <c r="O263" s="255" t="s">
        <v>8</v>
      </c>
      <c r="P263" s="255" t="s">
        <v>29</v>
      </c>
      <c r="Q263" s="255" t="s">
        <v>29</v>
      </c>
      <c r="R263" s="255" t="s">
        <v>29</v>
      </c>
      <c r="T263" s="262"/>
      <c r="U263" s="632" t="s">
        <v>127</v>
      </c>
      <c r="V263" s="632"/>
      <c r="W263" s="632"/>
      <c r="X263" s="632"/>
      <c r="Y263" s="632"/>
      <c r="Z263" s="632"/>
      <c r="AA263" s="632"/>
      <c r="AB263" s="632"/>
      <c r="AC263" s="632"/>
      <c r="AD263" s="633"/>
      <c r="AE263" s="560"/>
      <c r="AF263" s="560"/>
      <c r="AG263" s="560"/>
      <c r="AH263" s="560"/>
      <c r="AI263" s="560"/>
      <c r="AJ263" s="560"/>
      <c r="AK263" s="560"/>
      <c r="AL263" s="560"/>
      <c r="AM263" s="560"/>
      <c r="AN263" s="560"/>
      <c r="AO263" s="564"/>
    </row>
    <row r="264" spans="2:41" ht="18.75" customHeight="1">
      <c r="K264" s="473"/>
      <c r="L264" s="503">
        <f>L262/P256</f>
        <v>1.5954347040131319E-2</v>
      </c>
      <c r="M264" s="720" t="s">
        <v>122</v>
      </c>
      <c r="N264" s="721"/>
      <c r="O264" s="721"/>
      <c r="P264" s="255" t="s">
        <v>29</v>
      </c>
      <c r="Q264" s="255" t="s">
        <v>29</v>
      </c>
      <c r="R264" s="255" t="s">
        <v>29</v>
      </c>
      <c r="T264" s="262"/>
      <c r="U264" s="719" t="s">
        <v>115</v>
      </c>
      <c r="V264" s="646"/>
      <c r="W264" s="646"/>
      <c r="X264" s="646"/>
      <c r="Y264" s="646"/>
      <c r="Z264" s="646"/>
      <c r="AA264" s="646"/>
      <c r="AB264" s="646"/>
      <c r="AC264" s="646"/>
      <c r="AD264" s="680"/>
    </row>
    <row r="265" spans="2:41">
      <c r="K265" s="475"/>
      <c r="L265" s="324"/>
      <c r="M265" s="324"/>
      <c r="N265" s="324"/>
      <c r="O265" s="324"/>
      <c r="P265" s="324"/>
      <c r="Q265" s="324"/>
      <c r="R265" s="324"/>
      <c r="S265" s="324"/>
      <c r="T265" s="476"/>
      <c r="AD265" s="333"/>
    </row>
    <row r="266" spans="2:41">
      <c r="U266" s="473"/>
      <c r="AD266" s="333"/>
    </row>
    <row r="267" spans="2:41">
      <c r="U267" s="473"/>
      <c r="AD267" s="333"/>
    </row>
    <row r="268" spans="2:41">
      <c r="U268" s="473"/>
      <c r="AD268" s="333"/>
    </row>
    <row r="269" spans="2:41">
      <c r="U269" s="473"/>
      <c r="AD269" s="333"/>
    </row>
    <row r="270" spans="2:41">
      <c r="U270" s="473"/>
      <c r="AD270" s="333"/>
    </row>
    <row r="271" spans="2:41">
      <c r="U271" s="718" t="s">
        <v>28</v>
      </c>
      <c r="V271" s="677"/>
      <c r="W271" s="677"/>
      <c r="X271" s="60"/>
      <c r="Y271" s="60"/>
      <c r="Z271" s="60"/>
      <c r="AA271" s="60"/>
      <c r="AB271" s="60"/>
      <c r="AC271" s="60"/>
      <c r="AD271" s="333"/>
    </row>
    <row r="272" spans="2:41">
      <c r="T272" s="333"/>
      <c r="U272" s="634" t="s">
        <v>30</v>
      </c>
      <c r="V272" s="634"/>
      <c r="W272" s="634"/>
      <c r="X272" s="60"/>
      <c r="Y272" s="60"/>
      <c r="Z272" s="60"/>
      <c r="AA272" s="60"/>
      <c r="AB272" s="60"/>
      <c r="AC272" s="60"/>
      <c r="AD272" s="262"/>
    </row>
    <row r="273" spans="20:30">
      <c r="T273" s="333"/>
      <c r="U273" s="631" t="s">
        <v>31</v>
      </c>
      <c r="V273" s="631"/>
      <c r="W273" s="500">
        <v>0.83044799999999996</v>
      </c>
      <c r="X273" s="60"/>
      <c r="Y273" s="60"/>
      <c r="Z273" s="60"/>
      <c r="AA273" s="60"/>
      <c r="AB273" s="60"/>
      <c r="AC273" s="60"/>
      <c r="AD273" s="262"/>
    </row>
    <row r="274" spans="20:30">
      <c r="T274" s="333"/>
      <c r="U274" s="628" t="s">
        <v>32</v>
      </c>
      <c r="V274" s="628"/>
      <c r="W274" s="485">
        <v>0.68964300000000001</v>
      </c>
      <c r="X274" s="60"/>
      <c r="Y274" s="60"/>
      <c r="Z274" s="60"/>
      <c r="AA274" s="60"/>
      <c r="AB274" s="60"/>
      <c r="AC274" s="60"/>
      <c r="AD274" s="262"/>
    </row>
    <row r="275" spans="20:30">
      <c r="T275" s="262"/>
      <c r="U275" s="629" t="s">
        <v>33</v>
      </c>
      <c r="V275" s="628"/>
      <c r="W275" s="485">
        <v>0.62067499999999998</v>
      </c>
      <c r="X275" s="60"/>
      <c r="Y275" s="60"/>
      <c r="Z275" s="60"/>
      <c r="AA275" s="60"/>
      <c r="AB275" s="60"/>
      <c r="AC275" s="60"/>
      <c r="AD275" s="262"/>
    </row>
    <row r="276" spans="20:30">
      <c r="T276" s="262"/>
      <c r="U276" s="628" t="s">
        <v>34</v>
      </c>
      <c r="V276" s="628"/>
      <c r="W276" s="485">
        <v>1.1850830000000001</v>
      </c>
      <c r="X276" s="60"/>
      <c r="Y276" s="60"/>
      <c r="Z276" s="60"/>
      <c r="AA276" s="60"/>
      <c r="AB276" s="60"/>
      <c r="AC276" s="60"/>
      <c r="AD276" s="262"/>
    </row>
    <row r="277" spans="20:30">
      <c r="T277" s="262"/>
      <c r="U277" s="630" t="s">
        <v>35</v>
      </c>
      <c r="V277" s="630"/>
      <c r="W277" s="486">
        <v>12</v>
      </c>
      <c r="X277" s="60"/>
      <c r="Y277" s="60"/>
      <c r="Z277" s="60"/>
      <c r="AA277" s="60"/>
      <c r="AB277" s="60"/>
      <c r="AC277" s="60"/>
      <c r="AD277" s="262"/>
    </row>
    <row r="278" spans="20:30" ht="18.5">
      <c r="T278" s="262"/>
      <c r="U278" s="60"/>
      <c r="V278" s="60"/>
      <c r="W278" s="325"/>
      <c r="X278" s="325"/>
      <c r="Y278" s="325"/>
      <c r="Z278" s="325"/>
      <c r="AA278" s="325"/>
      <c r="AB278" s="60"/>
      <c r="AC278" s="60"/>
      <c r="AD278" s="262"/>
    </row>
    <row r="279" spans="20:30">
      <c r="T279" s="262"/>
      <c r="U279" s="60" t="s">
        <v>36</v>
      </c>
      <c r="V279" s="60"/>
      <c r="W279" s="60"/>
      <c r="X279" s="60"/>
      <c r="Y279" s="60"/>
      <c r="Z279" s="60"/>
      <c r="AA279" s="60"/>
      <c r="AB279" s="60"/>
      <c r="AC279" s="60"/>
      <c r="AD279" s="262"/>
    </row>
    <row r="280" spans="20:30">
      <c r="T280" s="262"/>
      <c r="U280" s="186" t="s">
        <v>29</v>
      </c>
      <c r="V280" s="484" t="s">
        <v>37</v>
      </c>
      <c r="W280" s="484" t="s">
        <v>38</v>
      </c>
      <c r="X280" s="484" t="s">
        <v>39</v>
      </c>
      <c r="Y280" s="484" t="s">
        <v>40</v>
      </c>
      <c r="Z280" s="484" t="s">
        <v>41</v>
      </c>
      <c r="AA280" s="60"/>
      <c r="AB280" s="60"/>
      <c r="AC280" s="60"/>
      <c r="AD280" s="262"/>
    </row>
    <row r="281" spans="20:30">
      <c r="T281" s="262"/>
      <c r="U281" s="421" t="s">
        <v>42</v>
      </c>
      <c r="V281" s="485">
        <v>2</v>
      </c>
      <c r="W281" s="485">
        <v>28.086880000000001</v>
      </c>
      <c r="X281" s="485">
        <v>14.04344</v>
      </c>
      <c r="Y281" s="485">
        <v>9.9994499999999995</v>
      </c>
      <c r="Z281" s="485">
        <v>5.169E-3</v>
      </c>
      <c r="AA281" s="60"/>
      <c r="AB281" s="188" t="s">
        <v>60</v>
      </c>
      <c r="AC281" s="60"/>
      <c r="AD281" s="262"/>
    </row>
    <row r="282" spans="20:30">
      <c r="T282" s="262"/>
      <c r="U282" s="421" t="s">
        <v>43</v>
      </c>
      <c r="V282" s="485">
        <v>9</v>
      </c>
      <c r="W282" s="485">
        <v>12.63979</v>
      </c>
      <c r="X282" s="485">
        <v>1.4044209999999999</v>
      </c>
      <c r="Y282" s="485"/>
      <c r="Z282" s="485"/>
      <c r="AA282" s="60"/>
      <c r="AB282" s="248">
        <f>W276/AVERAGE(L219:L230)</f>
        <v>1.1614665142110424E-2</v>
      </c>
      <c r="AC282" s="60"/>
      <c r="AD282" s="262"/>
    </row>
    <row r="283" spans="20:30">
      <c r="T283" s="262"/>
      <c r="U283" s="422" t="s">
        <v>44</v>
      </c>
      <c r="V283" s="486">
        <v>11</v>
      </c>
      <c r="W283" s="486">
        <v>40.726669999999999</v>
      </c>
      <c r="X283" s="486" t="s">
        <v>29</v>
      </c>
      <c r="Y283" s="486" t="s">
        <v>29</v>
      </c>
      <c r="Z283" s="486" t="s">
        <v>29</v>
      </c>
      <c r="AA283" s="60"/>
      <c r="AB283" s="60"/>
      <c r="AC283" s="60"/>
      <c r="AD283" s="262"/>
    </row>
    <row r="284" spans="20:30">
      <c r="T284" s="262"/>
      <c r="U284" s="60"/>
      <c r="V284" s="60"/>
      <c r="W284" s="60"/>
      <c r="X284" s="60"/>
      <c r="Y284" s="60"/>
      <c r="Z284" s="60"/>
      <c r="AA284" s="60"/>
      <c r="AB284" s="60"/>
      <c r="AC284" s="60"/>
      <c r="AD284" s="262"/>
    </row>
    <row r="285" spans="20:30">
      <c r="T285" s="262"/>
      <c r="U285" s="186" t="s">
        <v>29</v>
      </c>
      <c r="V285" s="532" t="s">
        <v>45</v>
      </c>
      <c r="W285" s="532" t="s">
        <v>34</v>
      </c>
      <c r="X285" s="484" t="s">
        <v>46</v>
      </c>
      <c r="Y285" s="484" t="s">
        <v>47</v>
      </c>
      <c r="Z285" s="484" t="s">
        <v>48</v>
      </c>
      <c r="AA285" s="484" t="s">
        <v>49</v>
      </c>
      <c r="AB285" s="484" t="s">
        <v>50</v>
      </c>
      <c r="AC285" s="490" t="s">
        <v>51</v>
      </c>
      <c r="AD285" s="262"/>
    </row>
    <row r="286" spans="20:30">
      <c r="T286" s="262"/>
      <c r="U286" s="459" t="s">
        <v>52</v>
      </c>
      <c r="V286" s="485">
        <v>105.9409</v>
      </c>
      <c r="W286" s="485">
        <v>1.224817</v>
      </c>
      <c r="X286" s="485">
        <v>86.495279999999994</v>
      </c>
      <c r="Y286" s="489">
        <v>1.8699999999999999E-14</v>
      </c>
      <c r="Z286" s="485">
        <v>103.17019999999999</v>
      </c>
      <c r="AA286" s="485">
        <v>108.7116</v>
      </c>
      <c r="AB286" s="485">
        <v>103.17019999999999</v>
      </c>
      <c r="AC286" s="485">
        <v>108.7116</v>
      </c>
      <c r="AD286" s="262"/>
    </row>
    <row r="287" spans="20:30">
      <c r="T287" s="262"/>
      <c r="U287" s="487" t="s">
        <v>82</v>
      </c>
      <c r="V287" s="485">
        <v>-1.7958000000000001</v>
      </c>
      <c r="W287" s="485">
        <v>0.43319000000000002</v>
      </c>
      <c r="X287" s="485">
        <v>-4.1455299999999999</v>
      </c>
      <c r="Y287" s="485">
        <v>2.5010000000000002E-3</v>
      </c>
      <c r="Z287" s="485">
        <v>-2.7757499999999999</v>
      </c>
      <c r="AA287" s="485">
        <v>-0.81586000000000003</v>
      </c>
      <c r="AB287" s="485">
        <v>-2.7757499999999999</v>
      </c>
      <c r="AC287" s="485">
        <v>-0.81586000000000003</v>
      </c>
      <c r="AD287" s="262"/>
    </row>
    <row r="288" spans="20:30">
      <c r="T288" s="262"/>
      <c r="U288" s="488" t="s">
        <v>104</v>
      </c>
      <c r="V288" s="486">
        <v>0.14335700000000001</v>
      </c>
      <c r="W288" s="486">
        <v>3.2439000000000003E-2</v>
      </c>
      <c r="X288" s="486">
        <v>4.4193210000000001</v>
      </c>
      <c r="Y288" s="486">
        <v>1.673E-3</v>
      </c>
      <c r="Z288" s="486">
        <v>6.9974999999999996E-2</v>
      </c>
      <c r="AA288" s="486">
        <v>0.21673799999999999</v>
      </c>
      <c r="AB288" s="486">
        <v>6.9974999999999996E-2</v>
      </c>
      <c r="AC288" s="486">
        <v>0.21673799999999999</v>
      </c>
      <c r="AD288" s="262"/>
    </row>
    <row r="289" spans="20:30">
      <c r="T289" s="262"/>
      <c r="AD289" s="262"/>
    </row>
    <row r="290" spans="20:30" ht="41.25" customHeight="1">
      <c r="T290" s="262"/>
      <c r="U290" s="394" t="s">
        <v>29</v>
      </c>
      <c r="V290" s="255" t="s">
        <v>117</v>
      </c>
      <c r="W290" s="255"/>
      <c r="X290" s="709" t="s">
        <v>128</v>
      </c>
      <c r="Y290" s="710"/>
      <c r="Z290" s="713">
        <f>V286+X294*V287+X295*V288</f>
        <v>106.822833</v>
      </c>
      <c r="AA290" s="394" t="s">
        <v>29</v>
      </c>
      <c r="AB290" s="394" t="s">
        <v>29</v>
      </c>
      <c r="AD290" s="262"/>
    </row>
    <row r="291" spans="20:30" ht="15.5">
      <c r="T291" s="262"/>
      <c r="U291" s="394" t="s">
        <v>29</v>
      </c>
      <c r="V291" s="256" t="s">
        <v>119</v>
      </c>
      <c r="W291" s="256"/>
      <c r="X291" s="711"/>
      <c r="Y291" s="712"/>
      <c r="Z291" s="714"/>
      <c r="AA291" s="394" t="s">
        <v>29</v>
      </c>
      <c r="AB291" s="394" t="s">
        <v>29</v>
      </c>
      <c r="AD291" s="262"/>
    </row>
    <row r="292" spans="20:30">
      <c r="T292" s="333"/>
      <c r="U292" s="394" t="s">
        <v>29</v>
      </c>
      <c r="V292" s="394" t="s">
        <v>29</v>
      </c>
      <c r="W292" s="394" t="s">
        <v>29</v>
      </c>
      <c r="X292" s="394" t="s">
        <v>29</v>
      </c>
      <c r="Y292" s="394" t="s">
        <v>29</v>
      </c>
      <c r="Z292" s="394" t="s">
        <v>29</v>
      </c>
      <c r="AA292" s="394" t="s">
        <v>29</v>
      </c>
      <c r="AB292" s="394" t="s">
        <v>29</v>
      </c>
      <c r="AD292" s="262"/>
    </row>
    <row r="293" spans="20:30">
      <c r="T293" s="333"/>
      <c r="U293" s="255" t="s">
        <v>29</v>
      </c>
      <c r="V293" s="255" t="s">
        <v>29</v>
      </c>
      <c r="X293" s="279" t="s">
        <v>87</v>
      </c>
      <c r="Y293" s="279" t="s">
        <v>29</v>
      </c>
      <c r="Z293" s="280" t="s">
        <v>29</v>
      </c>
      <c r="AA293" s="280" t="s">
        <v>88</v>
      </c>
      <c r="AB293" s="280" t="s">
        <v>29</v>
      </c>
      <c r="AD293" s="262"/>
    </row>
    <row r="294" spans="20:30">
      <c r="T294" s="333"/>
      <c r="U294" s="255" t="s">
        <v>29</v>
      </c>
      <c r="V294" s="280" t="s">
        <v>29</v>
      </c>
      <c r="X294" s="289">
        <v>13</v>
      </c>
      <c r="Y294" s="68" t="s">
        <v>82</v>
      </c>
      <c r="Z294" s="420" t="s">
        <v>29</v>
      </c>
      <c r="AA294" s="281" cm="1">
        <f t="array" ref="AA294:AC296">MINVERSE(MMULT(TRANSPOSE(W219:Y230),W219:Y230))</f>
        <v>0.13361638361638437</v>
      </c>
      <c r="AB294" s="326">
        <v>-9.7402597402597973E-3</v>
      </c>
      <c r="AC294" s="327">
        <v>-0.34090909090909283</v>
      </c>
      <c r="AD294" s="262"/>
    </row>
    <row r="295" spans="20:30">
      <c r="T295" s="333"/>
      <c r="V295" s="280" t="s">
        <v>120</v>
      </c>
      <c r="X295" s="290">
        <v>169</v>
      </c>
      <c r="Y295" s="68" t="s">
        <v>104</v>
      </c>
      <c r="Z295" s="420" t="s">
        <v>29</v>
      </c>
      <c r="AA295" s="328">
        <v>-9.7402597402597973E-3</v>
      </c>
      <c r="AB295" s="280">
        <v>7.4925074925075348E-4</v>
      </c>
      <c r="AC295" s="329">
        <v>2.272727272727287E-2</v>
      </c>
      <c r="AD295" s="262"/>
    </row>
    <row r="296" spans="20:30">
      <c r="T296" s="333"/>
      <c r="U296" s="278"/>
      <c r="V296" s="502" cm="1">
        <f t="array" ref="V296">W276*SQRT(1+MMULT(MMULT(TRANSPOSE(X294:X296),AA294:AC296),X294:X296))</f>
        <v>1.7042885494919924</v>
      </c>
      <c r="W296" s="394" t="s">
        <v>29</v>
      </c>
      <c r="X296" s="291">
        <v>1</v>
      </c>
      <c r="Y296" s="287" t="s">
        <v>121</v>
      </c>
      <c r="Z296" s="188"/>
      <c r="AA296" s="283">
        <v>-0.34090909090909272</v>
      </c>
      <c r="AB296" s="330">
        <v>2.272727272727286E-2</v>
      </c>
      <c r="AC296" s="331">
        <v>1.0681818181818228</v>
      </c>
      <c r="AD296" s="262"/>
    </row>
    <row r="297" spans="20:30">
      <c r="T297" s="333"/>
      <c r="U297" s="255" t="s">
        <v>29</v>
      </c>
      <c r="V297" s="280" t="s">
        <v>29</v>
      </c>
      <c r="W297" s="255" t="s">
        <v>29</v>
      </c>
      <c r="X297" s="255" t="s">
        <v>29</v>
      </c>
      <c r="Y297" s="255" t="s">
        <v>8</v>
      </c>
      <c r="Z297" s="255" t="s">
        <v>29</v>
      </c>
      <c r="AA297" s="255" t="s">
        <v>29</v>
      </c>
      <c r="AB297" s="255" t="s">
        <v>29</v>
      </c>
      <c r="AD297" s="262"/>
    </row>
    <row r="298" spans="20:30">
      <c r="T298" s="333"/>
      <c r="V298" s="504">
        <f>V296/Z290</f>
        <v>1.5954347040131319E-2</v>
      </c>
      <c r="W298" s="707" t="s">
        <v>122</v>
      </c>
      <c r="X298" s="708"/>
      <c r="Y298" s="279"/>
      <c r="Z298" s="255" t="s">
        <v>29</v>
      </c>
      <c r="AA298" s="255" t="s">
        <v>29</v>
      </c>
      <c r="AB298" s="255" t="s">
        <v>29</v>
      </c>
      <c r="AD298" s="262"/>
    </row>
    <row r="299" spans="20:30">
      <c r="T299" s="333"/>
      <c r="U299" s="324"/>
      <c r="V299" s="324"/>
      <c r="W299" s="324"/>
      <c r="X299" s="324"/>
      <c r="Y299" s="324"/>
      <c r="Z299" s="324"/>
      <c r="AA299" s="324"/>
      <c r="AB299" s="324"/>
      <c r="AC299" s="324"/>
      <c r="AD299" s="476"/>
    </row>
  </sheetData>
  <mergeCells count="205">
    <mergeCell ref="W298:X298"/>
    <mergeCell ref="X290:Y291"/>
    <mergeCell ref="Z290:Z291"/>
    <mergeCell ref="A43:C43"/>
    <mergeCell ref="A41:C41"/>
    <mergeCell ref="K41:M41"/>
    <mergeCell ref="A69:B69"/>
    <mergeCell ref="A70:B70"/>
    <mergeCell ref="A44:B44"/>
    <mergeCell ref="A45:B45"/>
    <mergeCell ref="A46:B46"/>
    <mergeCell ref="A47:B47"/>
    <mergeCell ref="A48:B48"/>
    <mergeCell ref="Z185:AB185"/>
    <mergeCell ref="Z218:AD218"/>
    <mergeCell ref="Z219:AD219"/>
    <mergeCell ref="Z220:AD220"/>
    <mergeCell ref="U271:W271"/>
    <mergeCell ref="X253:Y254"/>
    <mergeCell ref="Z253:Z254"/>
    <mergeCell ref="U264:AD264"/>
    <mergeCell ref="N256:O257"/>
    <mergeCell ref="P256:P257"/>
    <mergeCell ref="M264:O264"/>
    <mergeCell ref="A1:AL2"/>
    <mergeCell ref="K242:L242"/>
    <mergeCell ref="K243:L243"/>
    <mergeCell ref="U237:V237"/>
    <mergeCell ref="U238:V238"/>
    <mergeCell ref="U239:V239"/>
    <mergeCell ref="U240:V240"/>
    <mergeCell ref="U241:V241"/>
    <mergeCell ref="A156:I157"/>
    <mergeCell ref="AE64:AM64"/>
    <mergeCell ref="AF156:AO156"/>
    <mergeCell ref="U158:AD158"/>
    <mergeCell ref="U157:AD157"/>
    <mergeCell ref="AF157:AN158"/>
    <mergeCell ref="A71:B71"/>
    <mergeCell ref="A72:B72"/>
    <mergeCell ref="A73:B73"/>
    <mergeCell ref="N164:R165"/>
    <mergeCell ref="X164:AB165"/>
    <mergeCell ref="AH164:AL165"/>
    <mergeCell ref="AE88:AM88"/>
    <mergeCell ref="AE111:AM111"/>
    <mergeCell ref="K156:T157"/>
    <mergeCell ref="K158:T159"/>
    <mergeCell ref="B24:H25"/>
    <mergeCell ref="L24:R25"/>
    <mergeCell ref="B3:H4"/>
    <mergeCell ref="L3:R4"/>
    <mergeCell ref="V24:AB25"/>
    <mergeCell ref="V3:AB4"/>
    <mergeCell ref="AF24:AL25"/>
    <mergeCell ref="AF3:AL4"/>
    <mergeCell ref="A22:AL23"/>
    <mergeCell ref="A88:I88"/>
    <mergeCell ref="A64:I64"/>
    <mergeCell ref="U156:AD156"/>
    <mergeCell ref="F176:I178"/>
    <mergeCell ref="Z176:AC178"/>
    <mergeCell ref="K64:S64"/>
    <mergeCell ref="K88:S88"/>
    <mergeCell ref="K111:S111"/>
    <mergeCell ref="D164:H165"/>
    <mergeCell ref="A68:C68"/>
    <mergeCell ref="A138:B138"/>
    <mergeCell ref="A139:B139"/>
    <mergeCell ref="A140:B140"/>
    <mergeCell ref="A141:B141"/>
    <mergeCell ref="A142:B142"/>
    <mergeCell ref="K73:L73"/>
    <mergeCell ref="P176:S178"/>
    <mergeCell ref="K117:L117"/>
    <mergeCell ref="K118:L118"/>
    <mergeCell ref="K119:L119"/>
    <mergeCell ref="A92:C92"/>
    <mergeCell ref="K92:M92"/>
    <mergeCell ref="A115:C115"/>
    <mergeCell ref="A137:C137"/>
    <mergeCell ref="W261:X261"/>
    <mergeCell ref="D255:E255"/>
    <mergeCell ref="D220:E220"/>
    <mergeCell ref="A182:Q183"/>
    <mergeCell ref="C228:E228"/>
    <mergeCell ref="K241:L241"/>
    <mergeCell ref="AE199:AN199"/>
    <mergeCell ref="AE200:AN200"/>
    <mergeCell ref="V185:Y185"/>
    <mergeCell ref="U235:W235"/>
    <mergeCell ref="K237:M237"/>
    <mergeCell ref="K238:M238"/>
    <mergeCell ref="K239:L239"/>
    <mergeCell ref="K240:L240"/>
    <mergeCell ref="P218:T218"/>
    <mergeCell ref="P220:T220"/>
    <mergeCell ref="U217:AD217"/>
    <mergeCell ref="F185:H185"/>
    <mergeCell ref="L185:O185"/>
    <mergeCell ref="AH220:AI221"/>
    <mergeCell ref="AE207:AF207"/>
    <mergeCell ref="AE205:AF205"/>
    <mergeCell ref="AE206:AF206"/>
    <mergeCell ref="A184:J184"/>
    <mergeCell ref="K184:T184"/>
    <mergeCell ref="B185:E185"/>
    <mergeCell ref="AE208:AF208"/>
    <mergeCell ref="AG228:AH228"/>
    <mergeCell ref="U43:W43"/>
    <mergeCell ref="AE43:AG43"/>
    <mergeCell ref="U68:W68"/>
    <mergeCell ref="AE68:AG68"/>
    <mergeCell ref="U92:W92"/>
    <mergeCell ref="AE92:AG92"/>
    <mergeCell ref="AE115:AG115"/>
    <mergeCell ref="A93:B93"/>
    <mergeCell ref="A94:B94"/>
    <mergeCell ref="A95:B95"/>
    <mergeCell ref="A96:B96"/>
    <mergeCell ref="A97:B97"/>
    <mergeCell ref="K43:M43"/>
    <mergeCell ref="U44:V44"/>
    <mergeCell ref="U45:V45"/>
    <mergeCell ref="U97:V97"/>
    <mergeCell ref="K93:L93"/>
    <mergeCell ref="U88:AC88"/>
    <mergeCell ref="K44:L44"/>
    <mergeCell ref="K45:L45"/>
    <mergeCell ref="K48:L48"/>
    <mergeCell ref="K69:L69"/>
    <mergeCell ref="K70:L70"/>
    <mergeCell ref="K71:L71"/>
    <mergeCell ref="A116:B116"/>
    <mergeCell ref="A117:B117"/>
    <mergeCell ref="A118:B118"/>
    <mergeCell ref="A119:B119"/>
    <mergeCell ref="A120:B120"/>
    <mergeCell ref="U64:AC64"/>
    <mergeCell ref="A133:I133"/>
    <mergeCell ref="K46:L46"/>
    <mergeCell ref="K47:L47"/>
    <mergeCell ref="A111:I111"/>
    <mergeCell ref="K68:M68"/>
    <mergeCell ref="K120:L120"/>
    <mergeCell ref="U46:V46"/>
    <mergeCell ref="U47:V47"/>
    <mergeCell ref="U48:V48"/>
    <mergeCell ref="U69:V69"/>
    <mergeCell ref="U70:V70"/>
    <mergeCell ref="U71:V71"/>
    <mergeCell ref="U72:V72"/>
    <mergeCell ref="U73:V73"/>
    <mergeCell ref="U93:V93"/>
    <mergeCell ref="U94:V94"/>
    <mergeCell ref="U95:V95"/>
    <mergeCell ref="U96:V96"/>
    <mergeCell ref="U277:V277"/>
    <mergeCell ref="AE44:AF44"/>
    <mergeCell ref="AE45:AF45"/>
    <mergeCell ref="AE46:AF46"/>
    <mergeCell ref="AE47:AF47"/>
    <mergeCell ref="AE48:AF48"/>
    <mergeCell ref="AE69:AF69"/>
    <mergeCell ref="AE70:AF70"/>
    <mergeCell ref="AE71:AF71"/>
    <mergeCell ref="AE72:AF72"/>
    <mergeCell ref="AE73:AF73"/>
    <mergeCell ref="AE93:AF93"/>
    <mergeCell ref="AE94:AF94"/>
    <mergeCell ref="AE95:AF95"/>
    <mergeCell ref="AE96:AF96"/>
    <mergeCell ref="AE97:AF97"/>
    <mergeCell ref="AE116:AF116"/>
    <mergeCell ref="U273:V273"/>
    <mergeCell ref="U274:V274"/>
    <mergeCell ref="U275:V275"/>
    <mergeCell ref="U276:V276"/>
    <mergeCell ref="U184:AD184"/>
    <mergeCell ref="AE184:AN184"/>
    <mergeCell ref="AJ176:AM178"/>
    <mergeCell ref="K72:L72"/>
    <mergeCell ref="AE117:AF117"/>
    <mergeCell ref="AE118:AF118"/>
    <mergeCell ref="AE119:AF119"/>
    <mergeCell ref="AE120:AF120"/>
    <mergeCell ref="AE204:AF204"/>
    <mergeCell ref="U263:AD263"/>
    <mergeCell ref="U272:W272"/>
    <mergeCell ref="K94:L94"/>
    <mergeCell ref="K95:L95"/>
    <mergeCell ref="K96:L96"/>
    <mergeCell ref="K97:L97"/>
    <mergeCell ref="K116:L116"/>
    <mergeCell ref="K115:M115"/>
    <mergeCell ref="P185:R185"/>
    <mergeCell ref="U236:W236"/>
    <mergeCell ref="AE230:AN230"/>
    <mergeCell ref="U216:AD216"/>
    <mergeCell ref="U232:Y232"/>
    <mergeCell ref="U233:Y233"/>
    <mergeCell ref="AF232:AI233"/>
    <mergeCell ref="AJ232:AL233"/>
    <mergeCell ref="AE203:AG203"/>
    <mergeCell ref="AJ220:AJ2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2184-5CBB-41D6-8B97-2969B2AECBDE}">
  <dimension ref="A2:V87"/>
  <sheetViews>
    <sheetView workbookViewId="0">
      <selection activeCell="I36" sqref="I36"/>
    </sheetView>
  </sheetViews>
  <sheetFormatPr defaultRowHeight="14.5"/>
  <cols>
    <col min="3" max="3" width="12.54296875" bestFit="1" customWidth="1"/>
    <col min="4" max="4" width="8.1796875" customWidth="1"/>
    <col min="5" max="5" width="5.54296875" bestFit="1" customWidth="1"/>
    <col min="6" max="6" width="7" bestFit="1" customWidth="1"/>
    <col min="7" max="7" width="6.1796875" bestFit="1" customWidth="1"/>
    <col min="8" max="8" width="8.7265625" bestFit="1" customWidth="1"/>
    <col min="9" max="9" width="7.1796875" bestFit="1" customWidth="1"/>
    <col min="10" max="10" width="6.1796875" bestFit="1" customWidth="1"/>
    <col min="11" max="11" width="9.81640625" bestFit="1" customWidth="1"/>
  </cols>
  <sheetData>
    <row r="2" spans="2:22" ht="26">
      <c r="B2" s="96" t="s">
        <v>129</v>
      </c>
      <c r="C2" s="96"/>
    </row>
    <row r="3" spans="2:22" ht="26">
      <c r="C3" s="96"/>
    </row>
    <row r="4" spans="2:22">
      <c r="B4" s="111" t="s">
        <v>130</v>
      </c>
      <c r="C4" s="111"/>
      <c r="D4" s="97"/>
      <c r="E4" s="97"/>
      <c r="F4" s="97"/>
      <c r="G4" s="97"/>
      <c r="H4" s="97"/>
    </row>
    <row r="5" spans="2:22">
      <c r="C5" s="97"/>
      <c r="D5" s="97"/>
      <c r="E5" s="97"/>
      <c r="F5" s="97"/>
      <c r="G5" s="97"/>
      <c r="H5" s="97"/>
    </row>
    <row r="6" spans="2:22" ht="16.5" customHeight="1">
      <c r="B6" s="722" t="s">
        <v>131</v>
      </c>
      <c r="C6" s="722"/>
      <c r="D6" s="722"/>
      <c r="E6" s="722"/>
      <c r="F6" s="722"/>
      <c r="G6" s="722"/>
      <c r="H6" s="722"/>
      <c r="I6" s="722"/>
      <c r="J6" s="722"/>
      <c r="K6" s="722"/>
    </row>
    <row r="7" spans="2:22" ht="15.5">
      <c r="B7" s="726" t="s">
        <v>102</v>
      </c>
      <c r="C7" s="726"/>
      <c r="D7" s="726"/>
      <c r="E7" s="726"/>
      <c r="F7" s="653" t="s">
        <v>132</v>
      </c>
      <c r="G7" s="653"/>
      <c r="H7" s="653"/>
      <c r="I7" s="727" t="s">
        <v>133</v>
      </c>
      <c r="J7" s="727"/>
      <c r="K7" s="727"/>
    </row>
    <row r="8" spans="2:22" ht="17.5">
      <c r="B8" s="118" t="s">
        <v>82</v>
      </c>
      <c r="C8" s="118" t="s">
        <v>1</v>
      </c>
      <c r="D8" s="118" t="s">
        <v>14</v>
      </c>
      <c r="E8" s="118" t="s">
        <v>105</v>
      </c>
      <c r="F8" s="121" t="s">
        <v>134</v>
      </c>
      <c r="G8" s="119" t="s">
        <v>107</v>
      </c>
      <c r="H8" s="122" t="s">
        <v>124</v>
      </c>
      <c r="I8" s="123" t="s">
        <v>135</v>
      </c>
      <c r="J8" s="120" t="s">
        <v>107</v>
      </c>
      <c r="K8" s="120" t="s">
        <v>136</v>
      </c>
    </row>
    <row r="9" spans="2:22">
      <c r="B9" s="87">
        <v>1</v>
      </c>
      <c r="C9" s="425">
        <v>2010</v>
      </c>
      <c r="D9" s="115">
        <v>4793</v>
      </c>
      <c r="E9" s="114"/>
      <c r="F9" s="114"/>
      <c r="G9" s="114"/>
      <c r="H9" s="114"/>
      <c r="I9" s="114"/>
      <c r="J9" s="114"/>
      <c r="K9" s="114"/>
      <c r="L9" s="99"/>
      <c r="N9" s="426"/>
      <c r="O9" s="112"/>
      <c r="P9" s="99"/>
      <c r="Q9" s="99"/>
      <c r="R9" s="99"/>
      <c r="S9" s="99"/>
      <c r="T9" s="99"/>
      <c r="U9" s="99"/>
      <c r="V9" s="99"/>
    </row>
    <row r="10" spans="2:22">
      <c r="B10" s="87">
        <v>2</v>
      </c>
      <c r="C10" s="425">
        <v>2011</v>
      </c>
      <c r="D10" s="115">
        <v>5029</v>
      </c>
      <c r="E10" s="114">
        <f t="shared" ref="E10:E20" si="0">D9</f>
        <v>4793</v>
      </c>
      <c r="F10" s="114"/>
      <c r="G10" s="114"/>
      <c r="H10" s="114"/>
      <c r="I10" s="114"/>
      <c r="J10" s="114"/>
      <c r="K10" s="114"/>
      <c r="L10" s="99"/>
      <c r="N10" s="426"/>
      <c r="O10" s="112"/>
      <c r="P10" s="99"/>
      <c r="Q10" s="99"/>
      <c r="R10" s="99"/>
      <c r="S10" s="99"/>
      <c r="T10" s="99"/>
      <c r="U10" s="99"/>
      <c r="V10" s="99"/>
    </row>
    <row r="11" spans="2:22">
      <c r="B11" s="87">
        <v>3</v>
      </c>
      <c r="C11" s="425">
        <v>2012</v>
      </c>
      <c r="D11" s="115">
        <v>4712</v>
      </c>
      <c r="E11" s="114">
        <f t="shared" si="0"/>
        <v>5029</v>
      </c>
      <c r="F11" s="114">
        <f t="shared" ref="F11:F21" si="1">D10+(D10-D9)</f>
        <v>5265</v>
      </c>
      <c r="G11" s="114">
        <f t="shared" ref="G11:G20" si="2">D11-F11</f>
        <v>-553</v>
      </c>
      <c r="H11" s="114">
        <f t="shared" ref="H11:H20" si="3">G11^2</f>
        <v>305809</v>
      </c>
      <c r="I11" s="114">
        <f t="shared" ref="I11:I21" si="4">D10*(D10/D9)</f>
        <v>5276.6202795743793</v>
      </c>
      <c r="J11" s="114">
        <f t="shared" ref="J11:J20" si="5">D11-I11</f>
        <v>-564.62027957437931</v>
      </c>
      <c r="K11" s="114">
        <f t="shared" ref="K11:K20" si="6">J11^2</f>
        <v>318796.06010665023</v>
      </c>
      <c r="L11" s="99"/>
      <c r="N11" s="426"/>
      <c r="O11" s="112"/>
      <c r="P11" s="99"/>
      <c r="Q11" s="99"/>
      <c r="R11" s="99"/>
      <c r="S11" s="99"/>
      <c r="T11" s="99"/>
      <c r="U11" s="99"/>
      <c r="V11" s="99"/>
    </row>
    <row r="12" spans="2:22">
      <c r="B12" s="87">
        <v>4</v>
      </c>
      <c r="C12" s="425">
        <v>2013</v>
      </c>
      <c r="D12" s="115">
        <v>5117</v>
      </c>
      <c r="E12" s="114">
        <f t="shared" si="0"/>
        <v>4712</v>
      </c>
      <c r="F12" s="114">
        <f t="shared" si="1"/>
        <v>4395</v>
      </c>
      <c r="G12" s="114">
        <f t="shared" si="2"/>
        <v>722</v>
      </c>
      <c r="H12" s="114">
        <f t="shared" si="3"/>
        <v>521284</v>
      </c>
      <c r="I12" s="114">
        <f t="shared" si="4"/>
        <v>4414.9819049512826</v>
      </c>
      <c r="J12" s="114">
        <f t="shared" si="5"/>
        <v>702.01809504871744</v>
      </c>
      <c r="K12" s="114">
        <f t="shared" si="6"/>
        <v>492829.40577583009</v>
      </c>
      <c r="L12" s="99"/>
      <c r="N12" s="426"/>
      <c r="O12" s="112"/>
      <c r="P12" s="99"/>
      <c r="Q12" s="99"/>
      <c r="R12" s="99"/>
      <c r="S12" s="99"/>
      <c r="T12" s="99"/>
      <c r="U12" s="99"/>
      <c r="V12" s="99"/>
    </row>
    <row r="13" spans="2:22">
      <c r="B13" s="87">
        <v>5</v>
      </c>
      <c r="C13" s="425">
        <v>2014</v>
      </c>
      <c r="D13" s="115">
        <v>5264</v>
      </c>
      <c r="E13" s="114">
        <f t="shared" si="0"/>
        <v>5117</v>
      </c>
      <c r="F13" s="114">
        <f t="shared" si="1"/>
        <v>5522</v>
      </c>
      <c r="G13" s="114">
        <f t="shared" si="2"/>
        <v>-258</v>
      </c>
      <c r="H13" s="114">
        <f t="shared" si="3"/>
        <v>66564</v>
      </c>
      <c r="I13" s="114">
        <f t="shared" si="4"/>
        <v>5556.8100594227499</v>
      </c>
      <c r="J13" s="114">
        <f t="shared" si="5"/>
        <v>-292.81005942274987</v>
      </c>
      <c r="K13" s="114">
        <f t="shared" si="6"/>
        <v>85737.73089915431</v>
      </c>
      <c r="L13" s="99"/>
      <c r="N13" s="426"/>
      <c r="O13" s="112"/>
      <c r="P13" s="99"/>
      <c r="Q13" s="99"/>
      <c r="R13" s="99"/>
      <c r="S13" s="99"/>
      <c r="T13" s="99"/>
      <c r="U13" s="99"/>
      <c r="V13" s="99"/>
    </row>
    <row r="14" spans="2:22">
      <c r="B14" s="87">
        <v>6</v>
      </c>
      <c r="C14" s="425">
        <v>2015</v>
      </c>
      <c r="D14" s="115">
        <v>5373</v>
      </c>
      <c r="E14" s="114">
        <f t="shared" si="0"/>
        <v>5264</v>
      </c>
      <c r="F14" s="114">
        <f t="shared" si="1"/>
        <v>5411</v>
      </c>
      <c r="G14" s="114">
        <f t="shared" si="2"/>
        <v>-38</v>
      </c>
      <c r="H14" s="114">
        <f t="shared" si="3"/>
        <v>1444</v>
      </c>
      <c r="I14" s="114">
        <f t="shared" si="4"/>
        <v>5415.2229822161426</v>
      </c>
      <c r="J14" s="114">
        <f t="shared" si="5"/>
        <v>-42.222982216142555</v>
      </c>
      <c r="K14" s="114">
        <f t="shared" si="6"/>
        <v>1782.7802272246904</v>
      </c>
      <c r="L14" s="99"/>
      <c r="N14" s="426"/>
      <c r="O14" s="112"/>
      <c r="P14" s="99"/>
      <c r="Q14" s="99"/>
      <c r="R14" s="99"/>
      <c r="S14" s="99"/>
      <c r="T14" s="99"/>
      <c r="U14" s="99"/>
      <c r="V14" s="99"/>
    </row>
    <row r="15" spans="2:22">
      <c r="B15" s="87">
        <v>7</v>
      </c>
      <c r="C15" s="425">
        <v>2016</v>
      </c>
      <c r="D15" s="115">
        <v>5470</v>
      </c>
      <c r="E15" s="114">
        <f t="shared" si="0"/>
        <v>5373</v>
      </c>
      <c r="F15" s="114">
        <f t="shared" si="1"/>
        <v>5482</v>
      </c>
      <c r="G15" s="114">
        <f t="shared" si="2"/>
        <v>-12</v>
      </c>
      <c r="H15" s="114">
        <f t="shared" si="3"/>
        <v>144</v>
      </c>
      <c r="I15" s="114">
        <f t="shared" si="4"/>
        <v>5484.2570288753795</v>
      </c>
      <c r="J15" s="114">
        <f t="shared" si="5"/>
        <v>-14.257028875379547</v>
      </c>
      <c r="K15" s="114">
        <f t="shared" si="6"/>
        <v>203.26287235340618</v>
      </c>
      <c r="L15" s="99"/>
      <c r="N15" s="426"/>
      <c r="O15" s="112"/>
      <c r="P15" s="99"/>
      <c r="Q15" s="99"/>
      <c r="R15" s="99"/>
      <c r="S15" s="99"/>
      <c r="T15" s="99"/>
      <c r="U15" s="99"/>
      <c r="V15" s="99"/>
    </row>
    <row r="16" spans="2:22">
      <c r="B16" s="87">
        <v>8</v>
      </c>
      <c r="C16" s="425">
        <v>2017</v>
      </c>
      <c r="D16" s="115">
        <v>5654</v>
      </c>
      <c r="E16" s="114">
        <f t="shared" si="0"/>
        <v>5470</v>
      </c>
      <c r="F16" s="114">
        <f t="shared" si="1"/>
        <v>5567</v>
      </c>
      <c r="G16" s="114">
        <f t="shared" si="2"/>
        <v>87</v>
      </c>
      <c r="H16" s="114">
        <f t="shared" si="3"/>
        <v>7569</v>
      </c>
      <c r="I16" s="114">
        <f t="shared" si="4"/>
        <v>5568.7511632235255</v>
      </c>
      <c r="J16" s="114">
        <f t="shared" si="5"/>
        <v>85.248836776474491</v>
      </c>
      <c r="K16" s="114">
        <f t="shared" si="6"/>
        <v>7267.3641717419896</v>
      </c>
      <c r="L16" s="99"/>
      <c r="N16" s="426"/>
      <c r="O16" s="112"/>
      <c r="P16" s="99"/>
      <c r="Q16" s="99"/>
      <c r="R16" s="99"/>
      <c r="S16" s="99"/>
      <c r="T16" s="99"/>
      <c r="U16" s="99"/>
      <c r="V16" s="99"/>
    </row>
    <row r="17" spans="1:22">
      <c r="B17" s="87">
        <v>9</v>
      </c>
      <c r="C17" s="425">
        <v>2018</v>
      </c>
      <c r="D17" s="115">
        <v>6122</v>
      </c>
      <c r="E17" s="114">
        <f t="shared" si="0"/>
        <v>5654</v>
      </c>
      <c r="F17" s="114">
        <f t="shared" si="1"/>
        <v>5838</v>
      </c>
      <c r="G17" s="114">
        <f t="shared" si="2"/>
        <v>284</v>
      </c>
      <c r="H17" s="114">
        <f t="shared" si="3"/>
        <v>80656</v>
      </c>
      <c r="I17" s="114">
        <f t="shared" si="4"/>
        <v>5844.1893967093238</v>
      </c>
      <c r="J17" s="114">
        <f t="shared" si="5"/>
        <v>277.81060329067623</v>
      </c>
      <c r="K17" s="114">
        <f t="shared" si="6"/>
        <v>77178.731300729487</v>
      </c>
      <c r="L17" s="99"/>
      <c r="N17" s="426"/>
      <c r="O17" s="112"/>
      <c r="P17" s="99"/>
      <c r="Q17" s="99"/>
      <c r="R17" s="99"/>
      <c r="S17" s="99"/>
      <c r="T17" s="99"/>
      <c r="U17" s="99"/>
      <c r="V17" s="99"/>
    </row>
    <row r="18" spans="1:22">
      <c r="B18" s="87">
        <v>10</v>
      </c>
      <c r="C18" s="425">
        <v>2019</v>
      </c>
      <c r="D18" s="115">
        <v>6379</v>
      </c>
      <c r="E18" s="114">
        <f t="shared" si="0"/>
        <v>6122</v>
      </c>
      <c r="F18" s="114">
        <f t="shared" si="1"/>
        <v>6590</v>
      </c>
      <c r="G18" s="114">
        <f t="shared" si="2"/>
        <v>-211</v>
      </c>
      <c r="H18" s="114">
        <f t="shared" si="3"/>
        <v>44521</v>
      </c>
      <c r="I18" s="114">
        <f t="shared" si="4"/>
        <v>6628.7378846834108</v>
      </c>
      <c r="J18" s="114">
        <f t="shared" si="5"/>
        <v>-249.73788468341081</v>
      </c>
      <c r="K18" s="114">
        <f t="shared" si="6"/>
        <v>62369.011046144595</v>
      </c>
      <c r="L18" s="99"/>
      <c r="N18" s="426"/>
      <c r="O18" s="112"/>
      <c r="P18" s="99"/>
      <c r="Q18" s="99"/>
      <c r="R18" s="99"/>
      <c r="S18" s="99"/>
      <c r="T18" s="99"/>
      <c r="U18" s="99"/>
      <c r="V18" s="99"/>
    </row>
    <row r="19" spans="1:22">
      <c r="B19" s="87">
        <v>11</v>
      </c>
      <c r="C19" s="425">
        <v>2020</v>
      </c>
      <c r="D19" s="115">
        <v>6802</v>
      </c>
      <c r="E19" s="114">
        <f t="shared" si="0"/>
        <v>6379</v>
      </c>
      <c r="F19" s="114">
        <f t="shared" si="1"/>
        <v>6636</v>
      </c>
      <c r="G19" s="114">
        <f t="shared" si="2"/>
        <v>166</v>
      </c>
      <c r="H19" s="114">
        <f t="shared" si="3"/>
        <v>27556</v>
      </c>
      <c r="I19" s="114">
        <f t="shared" si="4"/>
        <v>6646.7887945115972</v>
      </c>
      <c r="J19" s="114">
        <f t="shared" si="5"/>
        <v>155.21120548840281</v>
      </c>
      <c r="K19" s="114">
        <f t="shared" si="6"/>
        <v>24090.518309163203</v>
      </c>
      <c r="L19" s="99"/>
      <c r="N19" s="426"/>
      <c r="O19" s="112"/>
      <c r="P19" s="99"/>
      <c r="Q19" s="99"/>
      <c r="R19" s="99"/>
      <c r="S19" s="99"/>
      <c r="T19" s="99"/>
      <c r="U19" s="99"/>
      <c r="V19" s="99"/>
    </row>
    <row r="20" spans="1:22">
      <c r="B20" s="87">
        <v>12</v>
      </c>
      <c r="C20" s="425">
        <v>2021</v>
      </c>
      <c r="D20" s="115">
        <v>7554</v>
      </c>
      <c r="E20" s="114">
        <f t="shared" si="0"/>
        <v>6802</v>
      </c>
      <c r="F20" s="114">
        <f t="shared" si="1"/>
        <v>7225</v>
      </c>
      <c r="G20" s="114">
        <f t="shared" si="2"/>
        <v>329</v>
      </c>
      <c r="H20" s="114">
        <f t="shared" si="3"/>
        <v>108241</v>
      </c>
      <c r="I20" s="114">
        <f t="shared" si="4"/>
        <v>7253.0496943094522</v>
      </c>
      <c r="J20" s="114">
        <f t="shared" si="5"/>
        <v>300.95030569054779</v>
      </c>
      <c r="K20" s="114">
        <f t="shared" si="6"/>
        <v>90571.086495234165</v>
      </c>
      <c r="L20" s="99"/>
      <c r="N20" s="426"/>
      <c r="O20" s="112"/>
      <c r="P20" s="99"/>
      <c r="Q20" s="99"/>
      <c r="R20" s="99"/>
      <c r="S20" s="99"/>
      <c r="T20" s="99"/>
      <c r="U20" s="99"/>
      <c r="V20" s="99"/>
    </row>
    <row r="21" spans="1:22">
      <c r="C21" s="98">
        <v>2022</v>
      </c>
      <c r="D21" s="125">
        <v>8254</v>
      </c>
      <c r="E21" s="99"/>
      <c r="F21" s="98">
        <f t="shared" si="1"/>
        <v>8306</v>
      </c>
      <c r="G21" s="99"/>
      <c r="H21" s="117">
        <f>AVERAGE(H11:H20)</f>
        <v>116378.8</v>
      </c>
      <c r="I21" s="98">
        <f t="shared" si="4"/>
        <v>8389.1379006174648</v>
      </c>
      <c r="J21" s="99"/>
      <c r="K21" s="117">
        <f>AVERAGE(K11:K20)</f>
        <v>116082.59512042263</v>
      </c>
      <c r="L21" s="2" t="s">
        <v>109</v>
      </c>
      <c r="Q21" s="99"/>
      <c r="S21" s="99"/>
    </row>
    <row r="22" spans="1:22">
      <c r="C22" s="99"/>
      <c r="D22" s="99"/>
      <c r="E22" s="99"/>
      <c r="F22" s="99"/>
      <c r="G22" s="99"/>
      <c r="H22" s="110">
        <f>SQRT(H21)</f>
        <v>341.14337161961686</v>
      </c>
      <c r="I22" s="99"/>
      <c r="J22" s="99"/>
      <c r="K22" s="110">
        <f>SQRT(K21)</f>
        <v>340.70895955407838</v>
      </c>
      <c r="L22" s="2" t="s">
        <v>112</v>
      </c>
      <c r="N22" s="99"/>
    </row>
    <row r="23" spans="1:22">
      <c r="A23" s="124" t="s">
        <v>137</v>
      </c>
      <c r="N23" s="99"/>
    </row>
    <row r="24" spans="1:22">
      <c r="D24" s="2" t="s">
        <v>138</v>
      </c>
      <c r="H24" s="116">
        <f>H22/F21</f>
        <v>4.1071920493572944E-2</v>
      </c>
      <c r="K24" s="116">
        <f>K22/I21</f>
        <v>4.0613107519546346E-2</v>
      </c>
    </row>
    <row r="25" spans="1:22">
      <c r="S25" s="113"/>
    </row>
    <row r="27" spans="1:22" ht="15.75" customHeight="1">
      <c r="B27" s="723" t="s">
        <v>139</v>
      </c>
      <c r="C27" s="724"/>
      <c r="D27" s="724"/>
      <c r="E27" s="724"/>
      <c r="F27" s="724"/>
      <c r="G27" s="724"/>
      <c r="H27" s="724"/>
      <c r="I27" s="724"/>
      <c r="J27" s="724"/>
      <c r="K27" s="725"/>
    </row>
    <row r="28" spans="1:22" ht="15.75" customHeight="1">
      <c r="B28" s="726" t="s">
        <v>102</v>
      </c>
      <c r="C28" s="726"/>
      <c r="D28" s="726"/>
      <c r="E28" s="726"/>
      <c r="F28" s="653" t="s">
        <v>132</v>
      </c>
      <c r="G28" s="653"/>
      <c r="H28" s="653"/>
      <c r="I28" s="727" t="s">
        <v>133</v>
      </c>
      <c r="J28" s="727"/>
      <c r="K28" s="727"/>
      <c r="L28" s="99"/>
    </row>
    <row r="29" spans="1:22" ht="17.5">
      <c r="B29" s="118" t="s">
        <v>82</v>
      </c>
      <c r="C29" s="118" t="s">
        <v>1</v>
      </c>
      <c r="D29" s="118" t="s">
        <v>14</v>
      </c>
      <c r="E29" s="118" t="s">
        <v>105</v>
      </c>
      <c r="F29" s="121" t="s">
        <v>134</v>
      </c>
      <c r="G29" s="119" t="s">
        <v>107</v>
      </c>
      <c r="H29" s="122" t="s">
        <v>124</v>
      </c>
      <c r="I29" s="123" t="s">
        <v>135</v>
      </c>
      <c r="J29" s="120" t="s">
        <v>107</v>
      </c>
      <c r="K29" s="120" t="s">
        <v>136</v>
      </c>
      <c r="L29" s="99"/>
    </row>
    <row r="30" spans="1:22">
      <c r="B30" s="87">
        <v>1</v>
      </c>
      <c r="C30" s="425">
        <v>2010</v>
      </c>
      <c r="D30" s="114">
        <v>8421</v>
      </c>
      <c r="E30" s="114"/>
      <c r="F30" s="114"/>
      <c r="G30" s="114"/>
      <c r="H30" s="114"/>
      <c r="I30" s="114"/>
      <c r="J30" s="114"/>
      <c r="K30" s="114"/>
      <c r="L30" s="99"/>
    </row>
    <row r="31" spans="1:22">
      <c r="B31" s="87">
        <v>2</v>
      </c>
      <c r="C31" s="425">
        <v>2011</v>
      </c>
      <c r="D31" s="114">
        <v>8245</v>
      </c>
      <c r="E31" s="114">
        <f t="shared" ref="E31:E41" si="7">D30</f>
        <v>8421</v>
      </c>
      <c r="F31" s="114"/>
      <c r="G31" s="114"/>
      <c r="H31" s="114"/>
      <c r="I31" s="114"/>
      <c r="J31" s="114"/>
      <c r="K31" s="114"/>
      <c r="L31" s="99"/>
    </row>
    <row r="32" spans="1:22">
      <c r="B32" s="87">
        <v>3</v>
      </c>
      <c r="C32" s="425">
        <v>2012</v>
      </c>
      <c r="D32" s="114">
        <v>8022</v>
      </c>
      <c r="E32" s="114">
        <f t="shared" si="7"/>
        <v>8245</v>
      </c>
      <c r="F32" s="114">
        <f t="shared" ref="F32:F42" si="8">D31+(D31-D30)</f>
        <v>8069</v>
      </c>
      <c r="G32" s="114">
        <f t="shared" ref="G32:G41" si="9">D32-F32</f>
        <v>-47</v>
      </c>
      <c r="H32" s="114">
        <f t="shared" ref="H32:H41" si="10">G32^2</f>
        <v>2209</v>
      </c>
      <c r="I32" s="114">
        <f t="shared" ref="I32:I41" si="11">D31*(D31/D30)</f>
        <v>8072.6784229901441</v>
      </c>
      <c r="J32" s="114">
        <f t="shared" ref="J32:J41" si="12">D32-I32</f>
        <v>-50.678422990144099</v>
      </c>
      <c r="K32" s="114">
        <f t="shared" ref="K32:K41" si="13">J32^2</f>
        <v>2568.3025567679661</v>
      </c>
      <c r="L32" s="99"/>
    </row>
    <row r="33" spans="1:15">
      <c r="B33" s="87">
        <v>4</v>
      </c>
      <c r="C33" s="425">
        <v>2013</v>
      </c>
      <c r="D33" s="114">
        <v>7421</v>
      </c>
      <c r="E33" s="114">
        <f t="shared" si="7"/>
        <v>8022</v>
      </c>
      <c r="F33" s="114">
        <f t="shared" si="8"/>
        <v>7799</v>
      </c>
      <c r="G33" s="114">
        <f t="shared" si="9"/>
        <v>-378</v>
      </c>
      <c r="H33" s="114">
        <f t="shared" si="10"/>
        <v>142884</v>
      </c>
      <c r="I33" s="114">
        <f t="shared" si="11"/>
        <v>7805.0314129775625</v>
      </c>
      <c r="J33" s="114">
        <f t="shared" si="12"/>
        <v>-384.03141297756247</v>
      </c>
      <c r="K33" s="114">
        <f t="shared" si="13"/>
        <v>147480.12615354313</v>
      </c>
      <c r="L33" s="99"/>
    </row>
    <row r="34" spans="1:15">
      <c r="B34" s="87">
        <v>5</v>
      </c>
      <c r="C34" s="425">
        <v>2014</v>
      </c>
      <c r="D34" s="114">
        <v>7685</v>
      </c>
      <c r="E34" s="114">
        <f t="shared" si="7"/>
        <v>7421</v>
      </c>
      <c r="F34" s="114">
        <f t="shared" si="8"/>
        <v>6820</v>
      </c>
      <c r="G34" s="114">
        <f t="shared" si="9"/>
        <v>865</v>
      </c>
      <c r="H34" s="114">
        <f t="shared" si="10"/>
        <v>748225</v>
      </c>
      <c r="I34" s="114">
        <f t="shared" si="11"/>
        <v>6865.0263026676639</v>
      </c>
      <c r="J34" s="114">
        <f t="shared" si="12"/>
        <v>819.97369733233609</v>
      </c>
      <c r="K34" s="114">
        <f t="shared" si="13"/>
        <v>672356.86431686149</v>
      </c>
      <c r="L34" s="99"/>
    </row>
    <row r="35" spans="1:15">
      <c r="B35" s="87">
        <v>6</v>
      </c>
      <c r="C35" s="425">
        <v>2015</v>
      </c>
      <c r="D35" s="114">
        <v>7664</v>
      </c>
      <c r="E35" s="114">
        <f t="shared" si="7"/>
        <v>7685</v>
      </c>
      <c r="F35" s="114">
        <f t="shared" si="8"/>
        <v>7949</v>
      </c>
      <c r="G35" s="114">
        <f t="shared" si="9"/>
        <v>-285</v>
      </c>
      <c r="H35" s="114">
        <f t="shared" si="10"/>
        <v>81225</v>
      </c>
      <c r="I35" s="114">
        <f t="shared" si="11"/>
        <v>7958.3917261824554</v>
      </c>
      <c r="J35" s="114">
        <f t="shared" si="12"/>
        <v>-294.39172618245539</v>
      </c>
      <c r="K35" s="114">
        <f t="shared" si="13"/>
        <v>86666.48844468579</v>
      </c>
      <c r="L35" s="99"/>
    </row>
    <row r="36" spans="1:15">
      <c r="B36" s="87">
        <v>7</v>
      </c>
      <c r="C36" s="425">
        <v>2016</v>
      </c>
      <c r="D36" s="114">
        <v>7783</v>
      </c>
      <c r="E36" s="114">
        <f t="shared" si="7"/>
        <v>7664</v>
      </c>
      <c r="F36" s="114">
        <f t="shared" si="8"/>
        <v>7643</v>
      </c>
      <c r="G36" s="114">
        <f t="shared" si="9"/>
        <v>140</v>
      </c>
      <c r="H36" s="114">
        <f t="shared" si="10"/>
        <v>19600</v>
      </c>
      <c r="I36" s="114">
        <f t="shared" si="11"/>
        <v>7643.0573845152894</v>
      </c>
      <c r="J36" s="114">
        <f t="shared" si="12"/>
        <v>139.94261548471059</v>
      </c>
      <c r="K36" s="114">
        <f t="shared" si="13"/>
        <v>19583.935628701558</v>
      </c>
      <c r="L36" s="99"/>
    </row>
    <row r="37" spans="1:15">
      <c r="B37" s="87">
        <v>8</v>
      </c>
      <c r="C37" s="425">
        <v>2017</v>
      </c>
      <c r="D37" s="114">
        <v>8200</v>
      </c>
      <c r="E37" s="114">
        <f t="shared" si="7"/>
        <v>7783</v>
      </c>
      <c r="F37" s="114">
        <f t="shared" si="8"/>
        <v>7902</v>
      </c>
      <c r="G37" s="114">
        <f t="shared" si="9"/>
        <v>298</v>
      </c>
      <c r="H37" s="114">
        <f t="shared" si="10"/>
        <v>88804</v>
      </c>
      <c r="I37" s="114">
        <f t="shared" si="11"/>
        <v>7903.8477296450938</v>
      </c>
      <c r="J37" s="114">
        <f t="shared" si="12"/>
        <v>296.15227035490625</v>
      </c>
      <c r="K37" s="114">
        <f t="shared" si="13"/>
        <v>87706.16723636548</v>
      </c>
      <c r="L37" s="99"/>
    </row>
    <row r="38" spans="1:15">
      <c r="B38" s="87">
        <v>9</v>
      </c>
      <c r="C38" s="425">
        <v>2018</v>
      </c>
      <c r="D38" s="114">
        <v>8769</v>
      </c>
      <c r="E38" s="114">
        <f t="shared" si="7"/>
        <v>8200</v>
      </c>
      <c r="F38" s="114">
        <f t="shared" si="8"/>
        <v>8617</v>
      </c>
      <c r="G38" s="114">
        <f t="shared" si="9"/>
        <v>152</v>
      </c>
      <c r="H38" s="114">
        <f t="shared" si="10"/>
        <v>23104</v>
      </c>
      <c r="I38" s="114">
        <f t="shared" si="11"/>
        <v>8639.3421559809849</v>
      </c>
      <c r="J38" s="114">
        <f t="shared" si="12"/>
        <v>129.6578440190151</v>
      </c>
      <c r="K38" s="114">
        <f t="shared" si="13"/>
        <v>16811.156515659251</v>
      </c>
      <c r="L38" s="99"/>
    </row>
    <row r="39" spans="1:15">
      <c r="B39" s="87">
        <v>10</v>
      </c>
      <c r="C39" s="425">
        <v>2019</v>
      </c>
      <c r="D39" s="114">
        <v>9073</v>
      </c>
      <c r="E39" s="114">
        <f t="shared" si="7"/>
        <v>8769</v>
      </c>
      <c r="F39" s="114">
        <f t="shared" si="8"/>
        <v>9338</v>
      </c>
      <c r="G39" s="114">
        <f t="shared" si="9"/>
        <v>-265</v>
      </c>
      <c r="H39" s="114">
        <f t="shared" si="10"/>
        <v>70225</v>
      </c>
      <c r="I39" s="114">
        <f t="shared" si="11"/>
        <v>9377.4830487804866</v>
      </c>
      <c r="J39" s="114">
        <f t="shared" si="12"/>
        <v>-304.48304878048657</v>
      </c>
      <c r="K39" s="114">
        <f t="shared" si="13"/>
        <v>92709.926994660171</v>
      </c>
      <c r="L39" s="99"/>
    </row>
    <row r="40" spans="1:15">
      <c r="B40" s="87">
        <v>11</v>
      </c>
      <c r="C40" s="425">
        <v>2020</v>
      </c>
      <c r="D40" s="114">
        <v>9901</v>
      </c>
      <c r="E40" s="114">
        <f t="shared" si="7"/>
        <v>9073</v>
      </c>
      <c r="F40" s="114">
        <f t="shared" si="8"/>
        <v>9377</v>
      </c>
      <c r="G40" s="114">
        <f t="shared" si="9"/>
        <v>524</v>
      </c>
      <c r="H40" s="114">
        <f t="shared" si="10"/>
        <v>274576</v>
      </c>
      <c r="I40" s="114">
        <f t="shared" si="11"/>
        <v>9387.5389440072977</v>
      </c>
      <c r="J40" s="114">
        <f t="shared" si="12"/>
        <v>513.46105599270231</v>
      </c>
      <c r="K40" s="114">
        <f t="shared" si="13"/>
        <v>263642.25602114096</v>
      </c>
      <c r="L40" s="99"/>
    </row>
    <row r="41" spans="1:15">
      <c r="B41" s="87">
        <v>12</v>
      </c>
      <c r="C41" s="425">
        <v>2021</v>
      </c>
      <c r="D41" s="114">
        <v>11077</v>
      </c>
      <c r="E41" s="114">
        <f t="shared" si="7"/>
        <v>9901</v>
      </c>
      <c r="F41" s="114">
        <f t="shared" si="8"/>
        <v>10729</v>
      </c>
      <c r="G41" s="114">
        <f t="shared" si="9"/>
        <v>348</v>
      </c>
      <c r="H41" s="114">
        <f t="shared" si="10"/>
        <v>121104</v>
      </c>
      <c r="I41" s="114">
        <f t="shared" si="11"/>
        <v>10804.563099305633</v>
      </c>
      <c r="J41" s="114">
        <f t="shared" si="12"/>
        <v>272.43690069436707</v>
      </c>
      <c r="K41" s="114">
        <f t="shared" si="13"/>
        <v>74221.864859952417</v>
      </c>
      <c r="L41" s="99"/>
    </row>
    <row r="42" spans="1:15">
      <c r="C42" s="98">
        <v>2022</v>
      </c>
      <c r="D42" s="126">
        <v>12323</v>
      </c>
      <c r="E42" s="99"/>
      <c r="F42" s="98">
        <f t="shared" si="8"/>
        <v>12253</v>
      </c>
      <c r="G42" s="99"/>
      <c r="H42" s="117">
        <f>AVERAGE(H32:H41)</f>
        <v>157195.6</v>
      </c>
      <c r="I42" s="98">
        <f>D41*(D41/D40)</f>
        <v>12392.680436319564</v>
      </c>
      <c r="J42" s="99"/>
      <c r="K42" s="117">
        <f>AVERAGE(K32:K41)</f>
        <v>146374.70887283381</v>
      </c>
      <c r="L42" s="2" t="s">
        <v>109</v>
      </c>
    </row>
    <row r="43" spans="1:15">
      <c r="C43" s="99"/>
      <c r="D43" s="99"/>
      <c r="E43" s="99"/>
      <c r="F43" s="99"/>
      <c r="G43" s="99"/>
      <c r="H43" s="110">
        <f>SQRT(H42)</f>
        <v>396.47900322715702</v>
      </c>
      <c r="I43" s="99"/>
      <c r="J43" s="99"/>
      <c r="K43" s="110">
        <f>SQRT(K42)</f>
        <v>382.58947825683055</v>
      </c>
      <c r="L43" s="2" t="s">
        <v>112</v>
      </c>
      <c r="M43" s="99"/>
      <c r="N43" s="99"/>
      <c r="O43" s="99"/>
    </row>
    <row r="44" spans="1:15">
      <c r="A44" s="124" t="s">
        <v>137</v>
      </c>
      <c r="N44" s="99"/>
    </row>
    <row r="45" spans="1:15">
      <c r="D45" s="2" t="s">
        <v>138</v>
      </c>
      <c r="H45" s="116">
        <f>H43/F42</f>
        <v>3.2357708579707586E-2</v>
      </c>
      <c r="K45" s="116">
        <f>K43/I42</f>
        <v>3.0872213660538297E-2</v>
      </c>
    </row>
    <row r="48" spans="1:15">
      <c r="B48" s="731" t="s">
        <v>140</v>
      </c>
      <c r="C48" s="732"/>
      <c r="D48" s="732"/>
      <c r="E48" s="732"/>
      <c r="F48" s="732"/>
      <c r="G48" s="732"/>
      <c r="H48" s="732"/>
      <c r="I48" s="732"/>
      <c r="J48" s="732"/>
      <c r="K48" s="733"/>
    </row>
    <row r="49" spans="2:13" ht="15.75" customHeight="1">
      <c r="B49" s="726" t="s">
        <v>102</v>
      </c>
      <c r="C49" s="726"/>
      <c r="D49" s="726"/>
      <c r="E49" s="726"/>
      <c r="F49" s="653" t="s">
        <v>132</v>
      </c>
      <c r="G49" s="653"/>
      <c r="H49" s="653"/>
      <c r="I49" s="727" t="s">
        <v>133</v>
      </c>
      <c r="J49" s="727"/>
      <c r="K49" s="727"/>
    </row>
    <row r="50" spans="2:13" ht="17.5">
      <c r="B50" s="118" t="s">
        <v>82</v>
      </c>
      <c r="C50" s="118" t="s">
        <v>1</v>
      </c>
      <c r="D50" s="118" t="s">
        <v>14</v>
      </c>
      <c r="E50" s="118" t="s">
        <v>105</v>
      </c>
      <c r="F50" s="121" t="s">
        <v>134</v>
      </c>
      <c r="G50" s="119" t="s">
        <v>107</v>
      </c>
      <c r="H50" s="122" t="s">
        <v>124</v>
      </c>
      <c r="I50" s="123" t="s">
        <v>135</v>
      </c>
      <c r="J50" s="120" t="s">
        <v>107</v>
      </c>
      <c r="K50" s="120" t="s">
        <v>136</v>
      </c>
    </row>
    <row r="51" spans="2:13">
      <c r="B51" s="87">
        <v>1</v>
      </c>
      <c r="C51" s="425">
        <v>2010</v>
      </c>
      <c r="D51" s="114">
        <v>4461</v>
      </c>
      <c r="E51" s="114"/>
      <c r="F51" s="114"/>
      <c r="G51" s="114"/>
      <c r="H51" s="114"/>
      <c r="I51" s="114"/>
      <c r="J51" s="114"/>
      <c r="K51" s="114"/>
      <c r="L51" s="99"/>
    </row>
    <row r="52" spans="2:13">
      <c r="B52" s="87">
        <v>2</v>
      </c>
      <c r="C52" s="425">
        <v>2011</v>
      </c>
      <c r="D52" s="114">
        <v>4977</v>
      </c>
      <c r="E52" s="114">
        <f t="shared" ref="E52:E62" si="14">D51</f>
        <v>4461</v>
      </c>
      <c r="F52" s="114"/>
      <c r="G52" s="114"/>
      <c r="H52" s="114"/>
      <c r="I52" s="114"/>
      <c r="J52" s="114"/>
      <c r="K52" s="114"/>
      <c r="L52" s="99"/>
    </row>
    <row r="53" spans="2:13">
      <c r="B53" s="87">
        <v>3</v>
      </c>
      <c r="C53" s="425">
        <v>2012</v>
      </c>
      <c r="D53" s="114">
        <v>5261</v>
      </c>
      <c r="E53" s="114">
        <f t="shared" si="14"/>
        <v>4977</v>
      </c>
      <c r="F53" s="114">
        <f t="shared" ref="F53:F63" si="15">D52+(D52-D51)</f>
        <v>5493</v>
      </c>
      <c r="G53" s="114">
        <f t="shared" ref="G53:G62" si="16">D53-F53</f>
        <v>-232</v>
      </c>
      <c r="H53" s="114">
        <f t="shared" ref="H53:H62" si="17">G53^2</f>
        <v>53824</v>
      </c>
      <c r="I53" s="114">
        <f t="shared" ref="I53:I63" si="18">D52*(D52/D51)</f>
        <v>5552.6852723604579</v>
      </c>
      <c r="J53" s="114">
        <f t="shared" ref="J53:J62" si="19">D53-I53</f>
        <v>-291.68527236045793</v>
      </c>
      <c r="K53" s="114">
        <f t="shared" ref="K53:K62" si="20">J53^2</f>
        <v>85080.298111994518</v>
      </c>
      <c r="L53" s="99"/>
    </row>
    <row r="54" spans="2:13">
      <c r="B54" s="87">
        <v>4</v>
      </c>
      <c r="C54" s="425">
        <v>2013</v>
      </c>
      <c r="D54" s="114">
        <v>5277</v>
      </c>
      <c r="E54" s="114">
        <f t="shared" si="14"/>
        <v>5261</v>
      </c>
      <c r="F54" s="114">
        <f t="shared" si="15"/>
        <v>5545</v>
      </c>
      <c r="G54" s="114">
        <f t="shared" si="16"/>
        <v>-268</v>
      </c>
      <c r="H54" s="114">
        <f t="shared" si="17"/>
        <v>71824</v>
      </c>
      <c r="I54" s="114">
        <f t="shared" si="18"/>
        <v>5561.2057464335949</v>
      </c>
      <c r="J54" s="114">
        <f t="shared" si="19"/>
        <v>-284.20574643359487</v>
      </c>
      <c r="K54" s="114">
        <f t="shared" si="20"/>
        <v>80772.906305876822</v>
      </c>
      <c r="L54" s="99"/>
    </row>
    <row r="55" spans="2:13">
      <c r="B55" s="87">
        <v>5</v>
      </c>
      <c r="C55" s="425">
        <v>2014</v>
      </c>
      <c r="D55" s="114">
        <v>5346</v>
      </c>
      <c r="E55" s="114">
        <f t="shared" si="14"/>
        <v>5277</v>
      </c>
      <c r="F55" s="114">
        <f t="shared" si="15"/>
        <v>5293</v>
      </c>
      <c r="G55" s="114">
        <f t="shared" si="16"/>
        <v>53</v>
      </c>
      <c r="H55" s="114">
        <f t="shared" si="17"/>
        <v>2809</v>
      </c>
      <c r="I55" s="114">
        <f t="shared" si="18"/>
        <v>5293.0486599505793</v>
      </c>
      <c r="J55" s="114">
        <f t="shared" si="19"/>
        <v>52.951340049420651</v>
      </c>
      <c r="K55" s="114">
        <f t="shared" si="20"/>
        <v>2803.8444130293792</v>
      </c>
      <c r="L55" s="99"/>
    </row>
    <row r="56" spans="2:13">
      <c r="B56" s="87">
        <v>6</v>
      </c>
      <c r="C56" s="425">
        <v>2015</v>
      </c>
      <c r="D56" s="114">
        <v>5403</v>
      </c>
      <c r="E56" s="114">
        <f t="shared" si="14"/>
        <v>5346</v>
      </c>
      <c r="F56" s="114">
        <f t="shared" si="15"/>
        <v>5415</v>
      </c>
      <c r="G56" s="114">
        <f t="shared" si="16"/>
        <v>-12</v>
      </c>
      <c r="H56" s="114">
        <f t="shared" si="17"/>
        <v>144</v>
      </c>
      <c r="I56" s="114">
        <f t="shared" si="18"/>
        <v>5415.9022171688457</v>
      </c>
      <c r="J56" s="114">
        <f t="shared" si="19"/>
        <v>-12.902217168845709</v>
      </c>
      <c r="K56" s="114">
        <f t="shared" si="20"/>
        <v>166.467207872057</v>
      </c>
      <c r="L56" s="99"/>
    </row>
    <row r="57" spans="2:13">
      <c r="B57" s="87">
        <v>7</v>
      </c>
      <c r="C57" s="425">
        <v>2016</v>
      </c>
      <c r="D57" s="114">
        <v>5719</v>
      </c>
      <c r="E57" s="114">
        <f t="shared" si="14"/>
        <v>5403</v>
      </c>
      <c r="F57" s="114">
        <f t="shared" si="15"/>
        <v>5460</v>
      </c>
      <c r="G57" s="114">
        <f t="shared" si="16"/>
        <v>259</v>
      </c>
      <c r="H57" s="114">
        <f t="shared" si="17"/>
        <v>67081</v>
      </c>
      <c r="I57" s="114">
        <f t="shared" si="18"/>
        <v>5460.6077441077441</v>
      </c>
      <c r="J57" s="114">
        <f t="shared" si="19"/>
        <v>258.39225589225589</v>
      </c>
      <c r="K57" s="114">
        <f t="shared" si="20"/>
        <v>66766.557905089052</v>
      </c>
      <c r="L57" s="99"/>
    </row>
    <row r="58" spans="2:13">
      <c r="B58" s="87">
        <v>8</v>
      </c>
      <c r="C58" s="425">
        <v>2017</v>
      </c>
      <c r="D58" s="114">
        <v>6478</v>
      </c>
      <c r="E58" s="114">
        <f t="shared" si="14"/>
        <v>5719</v>
      </c>
      <c r="F58" s="114">
        <f t="shared" si="15"/>
        <v>6035</v>
      </c>
      <c r="G58" s="114">
        <f t="shared" si="16"/>
        <v>443</v>
      </c>
      <c r="H58" s="114">
        <f t="shared" si="17"/>
        <v>196249</v>
      </c>
      <c r="I58" s="114">
        <f t="shared" si="18"/>
        <v>6053.4815843050155</v>
      </c>
      <c r="J58" s="114">
        <f t="shared" si="19"/>
        <v>424.51841569498447</v>
      </c>
      <c r="K58" s="114">
        <f t="shared" si="20"/>
        <v>180215.88526417964</v>
      </c>
      <c r="L58" s="99"/>
    </row>
    <row r="59" spans="2:13">
      <c r="B59" s="87">
        <v>9</v>
      </c>
      <c r="C59" s="425">
        <v>2018</v>
      </c>
      <c r="D59" s="114">
        <v>6795</v>
      </c>
      <c r="E59" s="114">
        <f t="shared" si="14"/>
        <v>6478</v>
      </c>
      <c r="F59" s="114">
        <f t="shared" si="15"/>
        <v>7237</v>
      </c>
      <c r="G59" s="114">
        <f t="shared" si="16"/>
        <v>-442</v>
      </c>
      <c r="H59" s="114">
        <f t="shared" si="17"/>
        <v>195364</v>
      </c>
      <c r="I59" s="114">
        <f t="shared" si="18"/>
        <v>7337.7310718657109</v>
      </c>
      <c r="J59" s="114">
        <f t="shared" si="19"/>
        <v>-542.73107186571087</v>
      </c>
      <c r="K59" s="114">
        <f t="shared" si="20"/>
        <v>294557.01636850345</v>
      </c>
      <c r="L59" s="99"/>
    </row>
    <row r="60" spans="2:13">
      <c r="B60" s="87">
        <v>10</v>
      </c>
      <c r="C60" s="425">
        <v>2019</v>
      </c>
      <c r="D60" s="114">
        <v>7519</v>
      </c>
      <c r="E60" s="114">
        <f t="shared" si="14"/>
        <v>6795</v>
      </c>
      <c r="F60" s="114">
        <f t="shared" si="15"/>
        <v>7112</v>
      </c>
      <c r="G60" s="114">
        <f t="shared" si="16"/>
        <v>407</v>
      </c>
      <c r="H60" s="114">
        <f t="shared" si="17"/>
        <v>165649</v>
      </c>
      <c r="I60" s="114">
        <f t="shared" si="18"/>
        <v>7127.5123494905829</v>
      </c>
      <c r="J60" s="114">
        <f t="shared" si="19"/>
        <v>391.48765050941711</v>
      </c>
      <c r="K60" s="114">
        <f t="shared" si="20"/>
        <v>153262.58050138352</v>
      </c>
      <c r="L60" s="99"/>
    </row>
    <row r="61" spans="2:13">
      <c r="B61" s="87">
        <v>11</v>
      </c>
      <c r="C61" s="425">
        <v>2020</v>
      </c>
      <c r="D61" s="114">
        <v>8401</v>
      </c>
      <c r="E61" s="114">
        <f t="shared" si="14"/>
        <v>7519</v>
      </c>
      <c r="F61" s="114">
        <f t="shared" si="15"/>
        <v>8243</v>
      </c>
      <c r="G61" s="114">
        <f t="shared" si="16"/>
        <v>158</v>
      </c>
      <c r="H61" s="114">
        <f t="shared" si="17"/>
        <v>24964</v>
      </c>
      <c r="I61" s="114">
        <f t="shared" si="18"/>
        <v>8320.1414275202351</v>
      </c>
      <c r="J61" s="114">
        <f t="shared" si="19"/>
        <v>80.858572479764916</v>
      </c>
      <c r="K61" s="114">
        <f t="shared" si="20"/>
        <v>6538.1087434653964</v>
      </c>
      <c r="L61" s="99"/>
    </row>
    <row r="62" spans="2:13">
      <c r="B62" s="87">
        <v>12</v>
      </c>
      <c r="C62" s="425">
        <v>2021</v>
      </c>
      <c r="D62" s="114">
        <v>9346</v>
      </c>
      <c r="E62" s="114">
        <f t="shared" si="14"/>
        <v>8401</v>
      </c>
      <c r="F62" s="114">
        <f t="shared" si="15"/>
        <v>9283</v>
      </c>
      <c r="G62" s="114">
        <f t="shared" si="16"/>
        <v>63</v>
      </c>
      <c r="H62" s="114">
        <f t="shared" si="17"/>
        <v>3969</v>
      </c>
      <c r="I62" s="114">
        <f t="shared" si="18"/>
        <v>9386.4610985503386</v>
      </c>
      <c r="J62" s="114">
        <f t="shared" si="19"/>
        <v>-40.461098550338647</v>
      </c>
      <c r="K62" s="114">
        <f t="shared" si="20"/>
        <v>1637.1004959002162</v>
      </c>
      <c r="L62" s="99"/>
    </row>
    <row r="63" spans="2:13">
      <c r="C63" s="98">
        <v>2022</v>
      </c>
      <c r="D63" s="125">
        <v>9929</v>
      </c>
      <c r="E63" s="99"/>
      <c r="F63" s="98">
        <f t="shared" si="15"/>
        <v>10291</v>
      </c>
      <c r="G63" s="99"/>
      <c r="H63" s="117">
        <f>AVERAGE(H53:H62)</f>
        <v>78187.7</v>
      </c>
      <c r="I63" s="98">
        <f t="shared" si="18"/>
        <v>10397.299845256517</v>
      </c>
      <c r="J63" s="99"/>
      <c r="K63" s="117">
        <f>AVERAGE(K53:K62)</f>
        <v>87180.076531729399</v>
      </c>
      <c r="L63" s="2" t="s">
        <v>109</v>
      </c>
    </row>
    <row r="64" spans="2:13">
      <c r="C64" s="99"/>
      <c r="D64" s="99"/>
      <c r="E64" s="99"/>
      <c r="F64" s="99"/>
      <c r="G64" s="99"/>
      <c r="H64" s="110">
        <f>SQRT(H63)</f>
        <v>279.62063586223388</v>
      </c>
      <c r="I64" s="99"/>
      <c r="J64" s="99"/>
      <c r="K64" s="110">
        <f>SQRT(K63)</f>
        <v>295.2627245890165</v>
      </c>
      <c r="L64" s="2" t="s">
        <v>112</v>
      </c>
      <c r="M64" s="99"/>
    </row>
    <row r="65" spans="1:14">
      <c r="A65" s="124" t="s">
        <v>137</v>
      </c>
    </row>
    <row r="66" spans="1:14">
      <c r="D66" s="2" t="s">
        <v>138</v>
      </c>
      <c r="H66" s="116">
        <f>H64/F63</f>
        <v>2.7171376529222999E-2</v>
      </c>
      <c r="K66" s="116">
        <f>K64/I63</f>
        <v>2.8398019580412701E-2</v>
      </c>
      <c r="M66" s="99"/>
      <c r="N66" s="99"/>
    </row>
    <row r="69" spans="1:14">
      <c r="B69" s="728" t="s">
        <v>141</v>
      </c>
      <c r="C69" s="729"/>
      <c r="D69" s="729"/>
      <c r="E69" s="729"/>
      <c r="F69" s="729"/>
      <c r="G69" s="729"/>
      <c r="H69" s="729"/>
      <c r="I69" s="729"/>
      <c r="J69" s="729"/>
      <c r="K69" s="730"/>
    </row>
    <row r="70" spans="1:14" ht="15.75" customHeight="1">
      <c r="B70" s="726" t="s">
        <v>102</v>
      </c>
      <c r="C70" s="726"/>
      <c r="D70" s="726"/>
      <c r="E70" s="726"/>
      <c r="F70" s="653" t="s">
        <v>132</v>
      </c>
      <c r="G70" s="653"/>
      <c r="H70" s="653"/>
      <c r="I70" s="727" t="s">
        <v>133</v>
      </c>
      <c r="J70" s="727"/>
      <c r="K70" s="727"/>
    </row>
    <row r="71" spans="1:14" ht="17.5">
      <c r="B71" s="118" t="s">
        <v>82</v>
      </c>
      <c r="C71" s="118" t="s">
        <v>1</v>
      </c>
      <c r="D71" s="118" t="s">
        <v>14</v>
      </c>
      <c r="E71" s="118" t="s">
        <v>105</v>
      </c>
      <c r="F71" s="121" t="s">
        <v>134</v>
      </c>
      <c r="G71" s="119" t="s">
        <v>107</v>
      </c>
      <c r="H71" s="122" t="s">
        <v>124</v>
      </c>
      <c r="I71" s="123" t="s">
        <v>135</v>
      </c>
      <c r="J71" s="120" t="s">
        <v>107</v>
      </c>
      <c r="K71" s="120" t="s">
        <v>136</v>
      </c>
      <c r="L71" s="99"/>
    </row>
    <row r="72" spans="1:14">
      <c r="B72" s="87">
        <v>1</v>
      </c>
      <c r="C72" s="425">
        <v>2010</v>
      </c>
      <c r="D72" s="114">
        <v>4090</v>
      </c>
      <c r="E72" s="114"/>
      <c r="F72" s="114"/>
      <c r="G72" s="114"/>
      <c r="H72" s="114"/>
      <c r="I72" s="114"/>
      <c r="J72" s="114"/>
      <c r="K72" s="114"/>
      <c r="L72" s="99"/>
    </row>
    <row r="73" spans="1:14">
      <c r="B73" s="87">
        <v>2</v>
      </c>
      <c r="C73" s="425">
        <v>2011</v>
      </c>
      <c r="D73" s="114">
        <v>3870</v>
      </c>
      <c r="E73" s="114">
        <f t="shared" ref="E73:E83" si="21">D72</f>
        <v>4090</v>
      </c>
      <c r="F73" s="114"/>
      <c r="G73" s="114"/>
      <c r="H73" s="114"/>
      <c r="I73" s="114"/>
      <c r="J73" s="114"/>
      <c r="K73" s="114"/>
      <c r="L73" s="99"/>
    </row>
    <row r="74" spans="1:14">
      <c r="B74" s="87">
        <v>3</v>
      </c>
      <c r="C74" s="425">
        <v>2012</v>
      </c>
      <c r="D74" s="114">
        <v>3725</v>
      </c>
      <c r="E74" s="114">
        <f t="shared" si="21"/>
        <v>3870</v>
      </c>
      <c r="F74" s="114">
        <f t="shared" ref="F74:F84" si="22">D73+(D73-D72)</f>
        <v>3650</v>
      </c>
      <c r="G74" s="114">
        <f t="shared" ref="G74:G83" si="23">D74-F74</f>
        <v>75</v>
      </c>
      <c r="H74" s="114">
        <f t="shared" ref="H74:H83" si="24">G74^2</f>
        <v>5625</v>
      </c>
      <c r="I74" s="114">
        <f t="shared" ref="I74:I83" si="25">D73*(D73/D72)</f>
        <v>3661.8337408312959</v>
      </c>
      <c r="J74" s="114">
        <f t="shared" ref="J74:J83" si="26">D74-I74</f>
        <v>63.166259168704073</v>
      </c>
      <c r="K74" s="114">
        <f t="shared" ref="K74:K83" si="27">J74^2</f>
        <v>3989.9762973678912</v>
      </c>
      <c r="L74" s="99"/>
    </row>
    <row r="75" spans="1:14">
      <c r="B75" s="87">
        <v>4</v>
      </c>
      <c r="C75" s="425">
        <v>2013</v>
      </c>
      <c r="D75" s="114">
        <v>3580</v>
      </c>
      <c r="E75" s="114">
        <f t="shared" si="21"/>
        <v>3725</v>
      </c>
      <c r="F75" s="114">
        <f t="shared" si="22"/>
        <v>3580</v>
      </c>
      <c r="G75" s="114">
        <f t="shared" si="23"/>
        <v>0</v>
      </c>
      <c r="H75" s="114">
        <f t="shared" si="24"/>
        <v>0</v>
      </c>
      <c r="I75" s="114">
        <f t="shared" si="25"/>
        <v>3585.4328165374677</v>
      </c>
      <c r="J75" s="114">
        <f t="shared" si="26"/>
        <v>-5.4328165374677155</v>
      </c>
      <c r="K75" s="114">
        <f t="shared" si="27"/>
        <v>29.515495529782697</v>
      </c>
      <c r="L75" s="99"/>
    </row>
    <row r="76" spans="1:14">
      <c r="B76" s="87">
        <v>5</v>
      </c>
      <c r="C76" s="425">
        <v>2014</v>
      </c>
      <c r="D76" s="114">
        <v>3478</v>
      </c>
      <c r="E76" s="114">
        <f t="shared" si="21"/>
        <v>3580</v>
      </c>
      <c r="F76" s="114">
        <f t="shared" si="22"/>
        <v>3435</v>
      </c>
      <c r="G76" s="114">
        <f t="shared" si="23"/>
        <v>43</v>
      </c>
      <c r="H76" s="114">
        <f t="shared" si="24"/>
        <v>1849</v>
      </c>
      <c r="I76" s="114">
        <f t="shared" si="25"/>
        <v>3440.6442953020137</v>
      </c>
      <c r="J76" s="114">
        <f t="shared" si="26"/>
        <v>37.355704697986312</v>
      </c>
      <c r="K76" s="114">
        <f t="shared" si="27"/>
        <v>1395.4486734831567</v>
      </c>
      <c r="L76" s="99"/>
    </row>
    <row r="77" spans="1:14">
      <c r="B77" s="87">
        <v>6</v>
      </c>
      <c r="C77" s="425">
        <v>2015</v>
      </c>
      <c r="D77" s="114">
        <v>3543</v>
      </c>
      <c r="E77" s="114">
        <f t="shared" si="21"/>
        <v>3478</v>
      </c>
      <c r="F77" s="114">
        <f t="shared" si="22"/>
        <v>3376</v>
      </c>
      <c r="G77" s="114">
        <f t="shared" si="23"/>
        <v>167</v>
      </c>
      <c r="H77" s="114">
        <f t="shared" si="24"/>
        <v>27889</v>
      </c>
      <c r="I77" s="114">
        <f t="shared" si="25"/>
        <v>3378.9061452513965</v>
      </c>
      <c r="J77" s="114">
        <f t="shared" si="26"/>
        <v>164.09385474860346</v>
      </c>
      <c r="K77" s="114">
        <f t="shared" si="27"/>
        <v>26926.793166255771</v>
      </c>
      <c r="L77" s="99"/>
    </row>
    <row r="78" spans="1:14">
      <c r="B78" s="87">
        <v>7</v>
      </c>
      <c r="C78" s="425">
        <v>2016</v>
      </c>
      <c r="D78" s="114">
        <v>3700</v>
      </c>
      <c r="E78" s="114">
        <f t="shared" si="21"/>
        <v>3543</v>
      </c>
      <c r="F78" s="114">
        <f t="shared" si="22"/>
        <v>3608</v>
      </c>
      <c r="G78" s="114">
        <f t="shared" si="23"/>
        <v>92</v>
      </c>
      <c r="H78" s="114">
        <f t="shared" si="24"/>
        <v>8464</v>
      </c>
      <c r="I78" s="114">
        <f t="shared" si="25"/>
        <v>3609.2147786083956</v>
      </c>
      <c r="J78" s="114">
        <f t="shared" si="26"/>
        <v>90.785221391604409</v>
      </c>
      <c r="K78" s="114">
        <f t="shared" si="27"/>
        <v>8241.9564231226268</v>
      </c>
      <c r="L78" s="99"/>
    </row>
    <row r="79" spans="1:14">
      <c r="B79" s="87">
        <v>8</v>
      </c>
      <c r="C79" s="425">
        <v>2017</v>
      </c>
      <c r="D79" s="114">
        <v>3898</v>
      </c>
      <c r="E79" s="114">
        <f t="shared" si="21"/>
        <v>3700</v>
      </c>
      <c r="F79" s="114">
        <f t="shared" si="22"/>
        <v>3857</v>
      </c>
      <c r="G79" s="114">
        <f t="shared" si="23"/>
        <v>41</v>
      </c>
      <c r="H79" s="114">
        <f t="shared" si="24"/>
        <v>1681</v>
      </c>
      <c r="I79" s="114">
        <f t="shared" si="25"/>
        <v>3863.9570985040923</v>
      </c>
      <c r="J79" s="114">
        <f t="shared" si="26"/>
        <v>34.042901495907699</v>
      </c>
      <c r="K79" s="114">
        <f t="shared" si="27"/>
        <v>1158.9191422600748</v>
      </c>
      <c r="L79" s="99"/>
    </row>
    <row r="80" spans="1:14">
      <c r="B80" s="87">
        <v>9</v>
      </c>
      <c r="C80" s="425">
        <v>2018</v>
      </c>
      <c r="D80" s="114">
        <v>4306</v>
      </c>
      <c r="E80" s="114">
        <f t="shared" si="21"/>
        <v>3898</v>
      </c>
      <c r="F80" s="114">
        <f t="shared" si="22"/>
        <v>4096</v>
      </c>
      <c r="G80" s="114">
        <f t="shared" si="23"/>
        <v>210</v>
      </c>
      <c r="H80" s="114">
        <f t="shared" si="24"/>
        <v>44100</v>
      </c>
      <c r="I80" s="114">
        <f t="shared" si="25"/>
        <v>4106.595675675675</v>
      </c>
      <c r="J80" s="114">
        <f t="shared" si="26"/>
        <v>199.40432432432499</v>
      </c>
      <c r="K80" s="114">
        <f t="shared" si="27"/>
        <v>39762.084559240589</v>
      </c>
      <c r="L80" s="99"/>
    </row>
    <row r="81" spans="1:14">
      <c r="B81" s="87">
        <v>10</v>
      </c>
      <c r="C81" s="425">
        <v>2019</v>
      </c>
      <c r="D81" s="114">
        <v>4693</v>
      </c>
      <c r="E81" s="114">
        <f t="shared" si="21"/>
        <v>4306</v>
      </c>
      <c r="F81" s="114">
        <f t="shared" si="22"/>
        <v>4714</v>
      </c>
      <c r="G81" s="114">
        <f t="shared" si="23"/>
        <v>-21</v>
      </c>
      <c r="H81" s="114">
        <f t="shared" si="24"/>
        <v>441</v>
      </c>
      <c r="I81" s="114">
        <f t="shared" si="25"/>
        <v>4756.7049769112364</v>
      </c>
      <c r="J81" s="114">
        <f t="shared" si="26"/>
        <v>-63.704976911236372</v>
      </c>
      <c r="K81" s="114">
        <f t="shared" si="27"/>
        <v>4058.3240832611591</v>
      </c>
      <c r="L81" s="99"/>
    </row>
    <row r="82" spans="1:14">
      <c r="B82" s="87">
        <v>11</v>
      </c>
      <c r="C82" s="425">
        <v>2020</v>
      </c>
      <c r="D82" s="114">
        <v>5198</v>
      </c>
      <c r="E82" s="114">
        <f t="shared" si="21"/>
        <v>4693</v>
      </c>
      <c r="F82" s="114">
        <f t="shared" si="22"/>
        <v>5080</v>
      </c>
      <c r="G82" s="114">
        <f t="shared" si="23"/>
        <v>118</v>
      </c>
      <c r="H82" s="114">
        <f t="shared" si="24"/>
        <v>13924</v>
      </c>
      <c r="I82" s="114">
        <f t="shared" si="25"/>
        <v>5114.781467719461</v>
      </c>
      <c r="J82" s="114">
        <f t="shared" si="26"/>
        <v>83.218532280538966</v>
      </c>
      <c r="K82" s="114">
        <f t="shared" si="27"/>
        <v>6925.3241149271062</v>
      </c>
      <c r="L82" s="99"/>
    </row>
    <row r="83" spans="1:14">
      <c r="B83" s="87">
        <v>12</v>
      </c>
      <c r="C83" s="425">
        <v>2021</v>
      </c>
      <c r="D83" s="114">
        <v>5859</v>
      </c>
      <c r="E83" s="114">
        <f t="shared" si="21"/>
        <v>5198</v>
      </c>
      <c r="F83" s="114">
        <f t="shared" si="22"/>
        <v>5703</v>
      </c>
      <c r="G83" s="114">
        <f t="shared" si="23"/>
        <v>156</v>
      </c>
      <c r="H83" s="114">
        <f t="shared" si="24"/>
        <v>24336</v>
      </c>
      <c r="I83" s="114">
        <f t="shared" si="25"/>
        <v>5757.3415725548684</v>
      </c>
      <c r="J83" s="114">
        <f t="shared" si="26"/>
        <v>101.65842744513157</v>
      </c>
      <c r="K83" s="114">
        <f t="shared" si="27"/>
        <v>10334.435870617079</v>
      </c>
      <c r="L83" s="99"/>
    </row>
    <row r="84" spans="1:14">
      <c r="C84" s="98">
        <v>2022</v>
      </c>
      <c r="D84" s="127">
        <v>6741</v>
      </c>
      <c r="E84" s="99"/>
      <c r="F84" s="98">
        <f t="shared" si="22"/>
        <v>6520</v>
      </c>
      <c r="G84" s="99"/>
      <c r="H84" s="117">
        <f>AVERAGE(H74:H83)</f>
        <v>12830.9</v>
      </c>
      <c r="I84" s="98">
        <f>D83*(D83/D82)</f>
        <v>6604.0555983070408</v>
      </c>
      <c r="J84" s="99"/>
      <c r="K84" s="117">
        <f>AVERAGE(K74:K83)</f>
        <v>10282.277782606525</v>
      </c>
      <c r="L84" s="2" t="s">
        <v>109</v>
      </c>
    </row>
    <row r="85" spans="1:14">
      <c r="C85" s="99"/>
      <c r="D85" s="99"/>
      <c r="E85" s="99"/>
      <c r="F85" s="99"/>
      <c r="G85" s="99"/>
      <c r="H85" s="110">
        <f>SQRT(H84)</f>
        <v>113.2735626702012</v>
      </c>
      <c r="I85" s="99"/>
      <c r="J85" s="99"/>
      <c r="K85" s="110">
        <f>SQRT(K84)</f>
        <v>101.40156696326997</v>
      </c>
      <c r="L85" s="2" t="s">
        <v>112</v>
      </c>
    </row>
    <row r="86" spans="1:14">
      <c r="A86" s="124" t="s">
        <v>137</v>
      </c>
      <c r="N86" s="99"/>
    </row>
    <row r="87" spans="1:14">
      <c r="D87" s="2" t="s">
        <v>138</v>
      </c>
      <c r="H87" s="116">
        <f>H85/F84</f>
        <v>1.7373245808313068E-2</v>
      </c>
      <c r="K87" s="116">
        <f>K85/I84</f>
        <v>1.5354438716304025E-2</v>
      </c>
      <c r="M87" s="99"/>
      <c r="N87" s="99"/>
    </row>
  </sheetData>
  <mergeCells count="16">
    <mergeCell ref="B69:K69"/>
    <mergeCell ref="B70:E70"/>
    <mergeCell ref="F70:H70"/>
    <mergeCell ref="I70:K70"/>
    <mergeCell ref="B28:E28"/>
    <mergeCell ref="F28:H28"/>
    <mergeCell ref="I28:K28"/>
    <mergeCell ref="B48:K48"/>
    <mergeCell ref="B49:E49"/>
    <mergeCell ref="F49:H49"/>
    <mergeCell ref="I49:K49"/>
    <mergeCell ref="B6:K6"/>
    <mergeCell ref="B27:K27"/>
    <mergeCell ref="B7:E7"/>
    <mergeCell ref="F7:H7"/>
    <mergeCell ref="I7:K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A368-C5A0-4F4D-80E8-7A2541D9542E}">
  <dimension ref="A1:AA109"/>
  <sheetViews>
    <sheetView workbookViewId="0">
      <selection activeCell="G21" sqref="G21"/>
    </sheetView>
  </sheetViews>
  <sheetFormatPr defaultRowHeight="14.5"/>
  <cols>
    <col min="2" max="2" width="13.1796875" customWidth="1"/>
    <col min="3" max="3" width="20.1796875" customWidth="1"/>
    <col min="4" max="4" width="25.26953125" customWidth="1"/>
    <col min="5" max="5" width="14.81640625" customWidth="1"/>
    <col min="6" max="6" width="13.453125" customWidth="1"/>
    <col min="7" max="7" width="12.54296875" customWidth="1"/>
    <col min="9" max="9" width="23.54296875" bestFit="1" customWidth="1"/>
    <col min="10" max="10" width="9.26953125" bestFit="1" customWidth="1"/>
    <col min="22" max="22" width="10.7265625" customWidth="1"/>
    <col min="23" max="23" width="20.453125" customWidth="1"/>
    <col min="24" max="24" width="15.1796875" customWidth="1"/>
  </cols>
  <sheetData>
    <row r="1" spans="1:24" ht="26">
      <c r="A1" s="735" t="s">
        <v>142</v>
      </c>
      <c r="B1" s="735"/>
      <c r="C1" s="735"/>
      <c r="D1" s="735"/>
      <c r="E1" s="735"/>
      <c r="F1" s="735"/>
    </row>
    <row r="3" spans="1:24" ht="23.5">
      <c r="A3" s="736" t="s">
        <v>131</v>
      </c>
      <c r="B3" s="737"/>
      <c r="C3" s="737"/>
      <c r="D3" s="737"/>
      <c r="E3" s="737"/>
      <c r="F3" s="738"/>
    </row>
    <row r="4" spans="1:24">
      <c r="A4" s="6" t="s">
        <v>1</v>
      </c>
      <c r="B4" s="274" t="s">
        <v>2</v>
      </c>
      <c r="C4" s="6" t="s">
        <v>40</v>
      </c>
      <c r="D4" s="6" t="s">
        <v>143</v>
      </c>
      <c r="E4" s="6" t="s">
        <v>144</v>
      </c>
      <c r="F4" s="6" t="s">
        <v>145</v>
      </c>
    </row>
    <row r="5" spans="1:24">
      <c r="A5" s="7">
        <v>2010</v>
      </c>
      <c r="B5" s="7">
        <v>6313</v>
      </c>
      <c r="C5" s="7">
        <f>B5</f>
        <v>6313</v>
      </c>
      <c r="D5" s="7">
        <f>B6-B5</f>
        <v>-41</v>
      </c>
      <c r="E5" s="21"/>
      <c r="F5" s="21"/>
      <c r="I5" s="87" t="s">
        <v>146</v>
      </c>
      <c r="J5" s="505">
        <f>AVERAGE(F6:F17)</f>
        <v>83440.48203439363</v>
      </c>
    </row>
    <row r="6" spans="1:24">
      <c r="A6" s="7">
        <v>2011</v>
      </c>
      <c r="B6" s="7">
        <v>6272</v>
      </c>
      <c r="C6" s="7">
        <f t="shared" ref="C6:C16" si="0">$J$8*B6+(1-$J$8)*(C5+D5)</f>
        <v>6272</v>
      </c>
      <c r="D6" s="7">
        <f>$J$9*(C6-C5)+(1-$J$9)*D5</f>
        <v>-41</v>
      </c>
      <c r="E6" s="21">
        <f>C5+D5</f>
        <v>6272</v>
      </c>
      <c r="F6" s="21">
        <f>(B6-E6)^2</f>
        <v>0</v>
      </c>
      <c r="I6" s="87" t="s">
        <v>147</v>
      </c>
      <c r="J6" s="87">
        <f>SQRT(J5)</f>
        <v>288.86066197111995</v>
      </c>
    </row>
    <row r="7" spans="1:24">
      <c r="A7" s="7">
        <v>2012</v>
      </c>
      <c r="B7" s="7">
        <v>5835</v>
      </c>
      <c r="C7" s="7">
        <f t="shared" si="0"/>
        <v>5835</v>
      </c>
      <c r="D7" s="7">
        <f t="shared" ref="D7:D16" si="1">$J$9*(C7-C6)+(1-$J$9)*D6</f>
        <v>-280.05371599999995</v>
      </c>
      <c r="E7" s="21">
        <f t="shared" ref="E7:E16" si="2">C6+D6</f>
        <v>6231</v>
      </c>
      <c r="F7" s="21">
        <f t="shared" ref="F7:F16" si="3">(B7-E7)^2</f>
        <v>156816</v>
      </c>
      <c r="I7" s="447" t="s">
        <v>148</v>
      </c>
      <c r="J7" s="506">
        <f>J6/E17</f>
        <v>3.4237447939955666E-2</v>
      </c>
      <c r="W7" s="734"/>
      <c r="X7" s="734"/>
    </row>
    <row r="8" spans="1:24">
      <c r="A8" s="7">
        <v>2013</v>
      </c>
      <c r="B8" s="7">
        <v>5919</v>
      </c>
      <c r="C8" s="7">
        <f t="shared" si="0"/>
        <v>5919</v>
      </c>
      <c r="D8" s="7">
        <f t="shared" si="1"/>
        <v>-60.285045208563993</v>
      </c>
      <c r="E8" s="21">
        <f t="shared" si="2"/>
        <v>5554.9462839999997</v>
      </c>
      <c r="F8" s="21">
        <f t="shared" si="3"/>
        <v>132535.10813340891</v>
      </c>
      <c r="I8" s="87" t="s">
        <v>149</v>
      </c>
      <c r="J8" s="447">
        <v>1</v>
      </c>
      <c r="W8" s="2"/>
      <c r="X8" s="22"/>
    </row>
    <row r="9" spans="1:24">
      <c r="A9" s="7">
        <v>2014</v>
      </c>
      <c r="B9" s="7">
        <v>6105</v>
      </c>
      <c r="C9" s="7">
        <f t="shared" si="0"/>
        <v>6105</v>
      </c>
      <c r="D9" s="7">
        <f t="shared" si="1"/>
        <v>88.390094317535031</v>
      </c>
      <c r="E9" s="21">
        <f t="shared" si="2"/>
        <v>5858.714954791436</v>
      </c>
      <c r="F9" s="21">
        <f t="shared" si="3"/>
        <v>60656.323493384436</v>
      </c>
      <c r="I9" s="87" t="s">
        <v>150</v>
      </c>
      <c r="J9" s="447">
        <v>0.60367099999999996</v>
      </c>
      <c r="W9" s="2"/>
      <c r="X9" s="22"/>
    </row>
    <row r="10" spans="1:24">
      <c r="A10" s="7">
        <v>2015</v>
      </c>
      <c r="B10" s="7">
        <v>6113</v>
      </c>
      <c r="C10" s="7">
        <f t="shared" si="0"/>
        <v>6113</v>
      </c>
      <c r="D10" s="7">
        <f t="shared" si="1"/>
        <v>39.860925690774344</v>
      </c>
      <c r="E10" s="21">
        <f t="shared" si="2"/>
        <v>6193.3900943175349</v>
      </c>
      <c r="F10" s="21">
        <f t="shared" si="3"/>
        <v>6462.5672643821617</v>
      </c>
      <c r="W10" s="734"/>
      <c r="X10" s="734"/>
    </row>
    <row r="11" spans="1:24">
      <c r="A11" s="7">
        <v>2016</v>
      </c>
      <c r="B11" s="7">
        <v>6109</v>
      </c>
      <c r="C11" s="7">
        <f t="shared" si="0"/>
        <v>6109</v>
      </c>
      <c r="D11" s="7">
        <f t="shared" si="1"/>
        <v>13.383356818098907</v>
      </c>
      <c r="E11" s="21">
        <f t="shared" si="2"/>
        <v>6152.8609256907739</v>
      </c>
      <c r="F11" s="21">
        <f t="shared" si="3"/>
        <v>1923.7808024515909</v>
      </c>
      <c r="W11" s="2"/>
      <c r="X11" s="22"/>
    </row>
    <row r="12" spans="1:24">
      <c r="A12" s="7">
        <v>2017</v>
      </c>
      <c r="B12" s="7">
        <v>6279</v>
      </c>
      <c r="C12" s="7">
        <f t="shared" si="0"/>
        <v>6279</v>
      </c>
      <c r="D12" s="7">
        <f t="shared" si="1"/>
        <v>107.9282824243603</v>
      </c>
      <c r="E12" s="21">
        <f t="shared" si="2"/>
        <v>6122.3833568180989</v>
      </c>
      <c r="F12" s="21">
        <f t="shared" si="3"/>
        <v>24528.772921566913</v>
      </c>
      <c r="W12" s="2"/>
      <c r="X12" s="22"/>
    </row>
    <row r="13" spans="1:24" ht="14.5" customHeight="1">
      <c r="A13" s="7">
        <v>2018</v>
      </c>
      <c r="B13" s="7">
        <v>6395</v>
      </c>
      <c r="C13" s="7">
        <f t="shared" si="0"/>
        <v>6395</v>
      </c>
      <c r="D13" s="7">
        <f t="shared" si="1"/>
        <v>112.8009442449643</v>
      </c>
      <c r="E13" s="21">
        <f t="shared" si="2"/>
        <v>6386.9282824243601</v>
      </c>
      <c r="F13" s="21">
        <f t="shared" si="3"/>
        <v>65.152624620894429</v>
      </c>
      <c r="W13" s="734"/>
      <c r="X13" s="734"/>
    </row>
    <row r="14" spans="1:24">
      <c r="A14" s="7">
        <v>2019</v>
      </c>
      <c r="B14" s="7">
        <v>6572</v>
      </c>
      <c r="C14" s="7">
        <f t="shared" si="0"/>
        <v>6572</v>
      </c>
      <c r="D14" s="7">
        <f t="shared" si="1"/>
        <v>151.55605243166244</v>
      </c>
      <c r="E14" s="21">
        <f t="shared" si="2"/>
        <v>6507.8009442449647</v>
      </c>
      <c r="F14" s="21">
        <f t="shared" si="3"/>
        <v>4121.5187598381262</v>
      </c>
      <c r="W14" s="2"/>
      <c r="X14" s="22"/>
    </row>
    <row r="15" spans="1:24">
      <c r="A15" s="7">
        <v>2020</v>
      </c>
      <c r="B15" s="55">
        <v>6840</v>
      </c>
      <c r="C15" s="55">
        <f t="shared" si="0"/>
        <v>6840</v>
      </c>
      <c r="D15" s="55">
        <f t="shared" si="1"/>
        <v>221.84988670418835</v>
      </c>
      <c r="E15" s="53">
        <f t="shared" si="2"/>
        <v>6723.5560524316625</v>
      </c>
      <c r="F15" s="53">
        <f t="shared" si="3"/>
        <v>13559.192925297741</v>
      </c>
      <c r="W15" s="2"/>
      <c r="X15" s="22"/>
    </row>
    <row r="16" spans="1:24" ht="14.5" customHeight="1">
      <c r="A16" s="54">
        <v>2021</v>
      </c>
      <c r="B16" s="7">
        <v>7781</v>
      </c>
      <c r="C16" s="7">
        <f t="shared" si="0"/>
        <v>7781</v>
      </c>
      <c r="D16" s="7">
        <f t="shared" si="1"/>
        <v>655.9799547475842</v>
      </c>
      <c r="E16" s="21">
        <f t="shared" si="2"/>
        <v>7061.8498867041881</v>
      </c>
      <c r="F16" s="21">
        <f t="shared" si="3"/>
        <v>517176.88545337913</v>
      </c>
      <c r="W16" s="734"/>
      <c r="X16" s="734"/>
    </row>
    <row r="17" spans="1:25">
      <c r="A17" s="7">
        <v>2022</v>
      </c>
      <c r="E17" s="259">
        <f>C16+D16</f>
        <v>8436.979954747585</v>
      </c>
      <c r="W17" s="2"/>
      <c r="X17" s="22"/>
    </row>
    <row r="18" spans="1:25">
      <c r="E18" t="s">
        <v>151</v>
      </c>
      <c r="W18" s="2"/>
      <c r="X18" s="22"/>
    </row>
    <row r="22" spans="1:25">
      <c r="X22" s="2"/>
      <c r="Y22" s="2"/>
    </row>
    <row r="23" spans="1:25">
      <c r="W23" s="2"/>
      <c r="X23" s="22"/>
      <c r="Y23" s="22"/>
    </row>
    <row r="24" spans="1:25">
      <c r="W24" s="2"/>
      <c r="X24" s="22"/>
      <c r="Y24" s="22"/>
    </row>
    <row r="25" spans="1:25">
      <c r="W25" s="2"/>
      <c r="X25" s="22"/>
      <c r="Y25" s="22"/>
    </row>
    <row r="26" spans="1:25" ht="23.5">
      <c r="A26" s="739" t="s">
        <v>9</v>
      </c>
      <c r="B26" s="740"/>
      <c r="C26" s="740"/>
      <c r="D26" s="740"/>
      <c r="E26" s="740"/>
      <c r="F26" s="741"/>
      <c r="W26" s="2"/>
      <c r="X26" s="22"/>
      <c r="Y26" s="22"/>
    </row>
    <row r="27" spans="1:25">
      <c r="A27" s="6" t="s">
        <v>1</v>
      </c>
      <c r="B27" s="274" t="s">
        <v>2</v>
      </c>
      <c r="C27" s="6" t="s">
        <v>40</v>
      </c>
      <c r="D27" s="6" t="s">
        <v>143</v>
      </c>
      <c r="E27" s="6" t="s">
        <v>144</v>
      </c>
      <c r="F27" s="6" t="s">
        <v>145</v>
      </c>
    </row>
    <row r="28" spans="1:25">
      <c r="A28" s="50">
        <v>2010</v>
      </c>
      <c r="B28" s="51">
        <v>8421</v>
      </c>
      <c r="C28" s="21">
        <f>B28</f>
        <v>8421</v>
      </c>
      <c r="D28" s="21">
        <f>B29-B28</f>
        <v>-176</v>
      </c>
      <c r="E28" s="21"/>
      <c r="F28" s="21"/>
      <c r="I28" s="87" t="s">
        <v>146</v>
      </c>
      <c r="J28" s="505">
        <f>AVERAGE(F29:F40)</f>
        <v>117229.56283229981</v>
      </c>
    </row>
    <row r="29" spans="1:25">
      <c r="A29" s="50">
        <v>2011</v>
      </c>
      <c r="B29" s="51">
        <v>8245</v>
      </c>
      <c r="C29" s="7">
        <f t="shared" ref="C29:C39" si="4">$J$31*B29+(1-$J$31)*(C28+D28)</f>
        <v>8245</v>
      </c>
      <c r="D29" s="7">
        <f t="shared" ref="D29:D39" si="5">$J$32*(C29-C28)+(1-$J$32)*D28</f>
        <v>-176</v>
      </c>
      <c r="E29" s="21">
        <f t="shared" ref="E29:E39" si="6">C28+D28</f>
        <v>8245</v>
      </c>
      <c r="F29" s="21">
        <f t="shared" ref="F29:F39" si="7">(B29-E29)^2</f>
        <v>0</v>
      </c>
      <c r="I29" s="87" t="s">
        <v>147</v>
      </c>
      <c r="J29" s="87">
        <f>SQRT(J28)</f>
        <v>342.38802962764311</v>
      </c>
    </row>
    <row r="30" spans="1:25">
      <c r="A30" s="50">
        <v>2012</v>
      </c>
      <c r="B30" s="51">
        <v>8022</v>
      </c>
      <c r="C30" s="7">
        <f t="shared" si="4"/>
        <v>8036.5558529999998</v>
      </c>
      <c r="D30" s="7">
        <f t="shared" si="5"/>
        <v>-208.44414700000016</v>
      </c>
      <c r="E30" s="21">
        <f t="shared" si="6"/>
        <v>8069</v>
      </c>
      <c r="F30" s="21">
        <f t="shared" si="7"/>
        <v>2209</v>
      </c>
      <c r="I30" s="447" t="s">
        <v>148</v>
      </c>
      <c r="J30" s="506">
        <f>J29/E40</f>
        <v>2.8577171863930984E-2</v>
      </c>
    </row>
    <row r="31" spans="1:25">
      <c r="A31" s="50">
        <v>2013</v>
      </c>
      <c r="B31" s="51">
        <v>7421</v>
      </c>
      <c r="C31" s="7">
        <f t="shared" si="4"/>
        <v>7547.0820882364933</v>
      </c>
      <c r="D31" s="7">
        <f t="shared" si="5"/>
        <v>-489.47376476350655</v>
      </c>
      <c r="E31" s="21">
        <f t="shared" si="6"/>
        <v>7828.1117059999997</v>
      </c>
      <c r="F31" s="21">
        <f t="shared" si="7"/>
        <v>165739.94116223019</v>
      </c>
      <c r="I31" s="87" t="s">
        <v>149</v>
      </c>
      <c r="J31" s="447">
        <v>0.69030100000000005</v>
      </c>
    </row>
    <row r="32" spans="1:25">
      <c r="A32" s="50">
        <v>2014</v>
      </c>
      <c r="B32" s="51">
        <v>7685</v>
      </c>
      <c r="C32" s="7">
        <f t="shared" si="4"/>
        <v>7490.6974251712609</v>
      </c>
      <c r="D32" s="7">
        <f t="shared" si="5"/>
        <v>-56.384663065232417</v>
      </c>
      <c r="E32" s="21">
        <f t="shared" si="6"/>
        <v>7057.6083234729867</v>
      </c>
      <c r="F32" s="21">
        <f t="shared" si="7"/>
        <v>393620.31577537645</v>
      </c>
      <c r="I32" s="87" t="s">
        <v>150</v>
      </c>
      <c r="J32" s="447">
        <v>1</v>
      </c>
    </row>
    <row r="33" spans="1:6">
      <c r="A33" s="50">
        <v>2015</v>
      </c>
      <c r="B33" s="51">
        <v>7664</v>
      </c>
      <c r="C33" s="7">
        <f t="shared" si="4"/>
        <v>7592.8660921114752</v>
      </c>
      <c r="D33" s="7">
        <f t="shared" si="5"/>
        <v>102.16866694021428</v>
      </c>
      <c r="E33" s="21">
        <f t="shared" si="6"/>
        <v>7434.3127621060285</v>
      </c>
      <c r="F33" s="21">
        <f t="shared" si="7"/>
        <v>52756.227251361874</v>
      </c>
    </row>
    <row r="34" spans="1:6">
      <c r="A34" s="50">
        <v>2016</v>
      </c>
      <c r="B34" s="51">
        <v>7783</v>
      </c>
      <c r="C34" s="7">
        <f t="shared" si="4"/>
        <v>7755.7572528435485</v>
      </c>
      <c r="D34" s="7">
        <f t="shared" si="5"/>
        <v>162.89116073207333</v>
      </c>
      <c r="E34" s="21">
        <f t="shared" si="6"/>
        <v>7695.0347590516894</v>
      </c>
      <c r="F34" s="21">
        <f t="shared" si="7"/>
        <v>7737.8836150943343</v>
      </c>
    </row>
    <row r="35" spans="1:6">
      <c r="A35" s="50">
        <v>2017</v>
      </c>
      <c r="B35" s="51">
        <v>8200</v>
      </c>
      <c r="C35" s="7">
        <f t="shared" si="4"/>
        <v>8112.8656950359564</v>
      </c>
      <c r="D35" s="7">
        <f t="shared" si="5"/>
        <v>357.10844219240789</v>
      </c>
      <c r="E35" s="21">
        <f t="shared" si="6"/>
        <v>7918.6484135756218</v>
      </c>
      <c r="F35" s="21">
        <f t="shared" si="7"/>
        <v>79158.715183514345</v>
      </c>
    </row>
    <row r="36" spans="1:6">
      <c r="A36" s="50">
        <v>2018</v>
      </c>
      <c r="B36" s="51">
        <v>8769</v>
      </c>
      <c r="C36" s="7">
        <f t="shared" si="4"/>
        <v>8676.3919893254861</v>
      </c>
      <c r="D36" s="7">
        <f t="shared" si="5"/>
        <v>563.52629428952969</v>
      </c>
      <c r="E36" s="21">
        <f t="shared" si="6"/>
        <v>8469.9741372283643</v>
      </c>
      <c r="F36" s="21">
        <f t="shared" si="7"/>
        <v>89416.466606321119</v>
      </c>
    </row>
    <row r="37" spans="1:6">
      <c r="A37" s="50">
        <v>2019</v>
      </c>
      <c r="B37" s="51">
        <v>9073</v>
      </c>
      <c r="C37" s="7">
        <f t="shared" si="4"/>
        <v>9124.6944255172857</v>
      </c>
      <c r="D37" s="7">
        <f t="shared" si="5"/>
        <v>448.30243619179964</v>
      </c>
      <c r="E37" s="21">
        <f t="shared" si="6"/>
        <v>9239.9182836150158</v>
      </c>
      <c r="F37" s="21">
        <f t="shared" si="7"/>
        <v>27861.713404982835</v>
      </c>
    </row>
    <row r="38" spans="1:6">
      <c r="A38" s="50">
        <v>2020</v>
      </c>
      <c r="B38" s="427">
        <v>9901</v>
      </c>
      <c r="C38" s="55">
        <f t="shared" si="4"/>
        <v>9799.4177560744429</v>
      </c>
      <c r="D38" s="55">
        <f t="shared" si="5"/>
        <v>674.72333055715717</v>
      </c>
      <c r="E38" s="53">
        <f t="shared" si="6"/>
        <v>9572.9968617090854</v>
      </c>
      <c r="F38" s="53">
        <f t="shared" si="7"/>
        <v>107586.05872868888</v>
      </c>
    </row>
    <row r="39" spans="1:6">
      <c r="A39" s="428">
        <v>2021</v>
      </c>
      <c r="B39" s="51">
        <v>11077</v>
      </c>
      <c r="C39" s="7">
        <f t="shared" si="4"/>
        <v>10890.295197388721</v>
      </c>
      <c r="D39" s="7">
        <f t="shared" si="5"/>
        <v>1090.8774413142783</v>
      </c>
      <c r="E39" s="53">
        <f t="shared" si="6"/>
        <v>10474.1410866316</v>
      </c>
      <c r="F39" s="21">
        <f t="shared" si="7"/>
        <v>363438.86942772794</v>
      </c>
    </row>
    <row r="40" spans="1:6">
      <c r="A40" s="50">
        <v>2022</v>
      </c>
      <c r="B40" s="47"/>
      <c r="E40" s="21">
        <f>C39+D39</f>
        <v>11981.172638702999</v>
      </c>
      <c r="F40" s="1"/>
    </row>
    <row r="45" spans="1:6">
      <c r="E45" s="1"/>
      <c r="F45" s="1"/>
    </row>
    <row r="49" spans="1:10" ht="23.5">
      <c r="A49" s="742" t="s">
        <v>10</v>
      </c>
      <c r="B49" s="743"/>
      <c r="C49" s="743"/>
      <c r="D49" s="743"/>
      <c r="E49" s="743"/>
      <c r="F49" s="744"/>
    </row>
    <row r="50" spans="1:10">
      <c r="A50" s="6" t="s">
        <v>1</v>
      </c>
      <c r="B50" s="274" t="s">
        <v>2</v>
      </c>
      <c r="C50" s="6" t="s">
        <v>40</v>
      </c>
      <c r="D50" s="6" t="s">
        <v>143</v>
      </c>
      <c r="E50" s="6" t="s">
        <v>144</v>
      </c>
      <c r="F50" s="6" t="s">
        <v>145</v>
      </c>
    </row>
    <row r="51" spans="1:10">
      <c r="A51" s="50">
        <v>2010</v>
      </c>
      <c r="B51" s="51">
        <v>4461</v>
      </c>
      <c r="C51" s="21">
        <f>B51</f>
        <v>4461</v>
      </c>
      <c r="D51" s="21">
        <f>B52-B51</f>
        <v>516</v>
      </c>
      <c r="E51" s="21"/>
      <c r="F51" s="21"/>
      <c r="I51" s="87" t="s">
        <v>146</v>
      </c>
      <c r="J51" s="505">
        <f>AVERAGE(F51:F62)</f>
        <v>110384.09090909091</v>
      </c>
    </row>
    <row r="52" spans="1:10">
      <c r="A52" s="50">
        <v>2011</v>
      </c>
      <c r="B52" s="51">
        <v>4977</v>
      </c>
      <c r="C52" s="7">
        <f t="shared" ref="C52:C62" si="8">$J$54*B52+(1-$J$54)*(C51+D51)</f>
        <v>4977</v>
      </c>
      <c r="D52" s="7">
        <f t="shared" ref="D52:D62" si="9">$J$55*(C52-C51)+(1-$J$55)*D51</f>
        <v>516</v>
      </c>
      <c r="E52" s="21">
        <f t="shared" ref="E52:E63" si="10">C51+D51</f>
        <v>4977</v>
      </c>
      <c r="F52" s="21">
        <f>(B52-E52)^2</f>
        <v>0</v>
      </c>
      <c r="I52" s="87" t="s">
        <v>147</v>
      </c>
      <c r="J52" s="87">
        <f>SQRT(J51)</f>
        <v>332.24101328567326</v>
      </c>
    </row>
    <row r="53" spans="1:10">
      <c r="A53" s="50">
        <v>2012</v>
      </c>
      <c r="B53" s="51">
        <v>5261</v>
      </c>
      <c r="C53" s="7">
        <f t="shared" si="8"/>
        <v>5261</v>
      </c>
      <c r="D53" s="7">
        <f t="shared" si="9"/>
        <v>516</v>
      </c>
      <c r="E53" s="21">
        <f t="shared" si="10"/>
        <v>5493</v>
      </c>
      <c r="F53" s="21">
        <f>(B53-E53)^2</f>
        <v>53824</v>
      </c>
      <c r="I53" s="447" t="s">
        <v>148</v>
      </c>
      <c r="J53" s="506">
        <f>J52/E63</f>
        <v>3.3689009661901567E-2</v>
      </c>
    </row>
    <row r="54" spans="1:10">
      <c r="A54" s="50">
        <v>2013</v>
      </c>
      <c r="B54" s="51">
        <v>5277</v>
      </c>
      <c r="C54" s="7">
        <f t="shared" si="8"/>
        <v>5277</v>
      </c>
      <c r="D54" s="7">
        <f t="shared" si="9"/>
        <v>516</v>
      </c>
      <c r="E54" s="21">
        <f t="shared" si="10"/>
        <v>5777</v>
      </c>
      <c r="F54" s="21">
        <f t="shared" ref="F54:F61" si="11">(B54-E54)^2</f>
        <v>250000</v>
      </c>
      <c r="I54" s="87" t="s">
        <v>149</v>
      </c>
      <c r="J54" s="447">
        <v>1</v>
      </c>
    </row>
    <row r="55" spans="1:10">
      <c r="A55" s="50">
        <v>2014</v>
      </c>
      <c r="B55" s="51">
        <v>5346</v>
      </c>
      <c r="C55" s="7">
        <f t="shared" si="8"/>
        <v>5346</v>
      </c>
      <c r="D55" s="7">
        <f t="shared" si="9"/>
        <v>516</v>
      </c>
      <c r="E55" s="21">
        <f t="shared" si="10"/>
        <v>5793</v>
      </c>
      <c r="F55" s="21">
        <f t="shared" si="11"/>
        <v>199809</v>
      </c>
      <c r="I55" s="87" t="s">
        <v>150</v>
      </c>
      <c r="J55" s="447">
        <v>0</v>
      </c>
    </row>
    <row r="56" spans="1:10">
      <c r="A56" s="50">
        <v>2015</v>
      </c>
      <c r="B56" s="51">
        <v>5403</v>
      </c>
      <c r="C56" s="7">
        <f t="shared" si="8"/>
        <v>5403</v>
      </c>
      <c r="D56" s="7">
        <f t="shared" si="9"/>
        <v>516</v>
      </c>
      <c r="E56" s="21">
        <f t="shared" si="10"/>
        <v>5862</v>
      </c>
      <c r="F56" s="21">
        <f>(B56-E56)^2</f>
        <v>210681</v>
      </c>
    </row>
    <row r="57" spans="1:10">
      <c r="A57" s="50">
        <v>2016</v>
      </c>
      <c r="B57" s="51">
        <v>5719</v>
      </c>
      <c r="C57" s="7">
        <f t="shared" si="8"/>
        <v>5719</v>
      </c>
      <c r="D57" s="7">
        <f t="shared" si="9"/>
        <v>516</v>
      </c>
      <c r="E57" s="21">
        <f t="shared" si="10"/>
        <v>5919</v>
      </c>
      <c r="F57" s="21">
        <f t="shared" si="11"/>
        <v>40000</v>
      </c>
    </row>
    <row r="58" spans="1:10">
      <c r="A58" s="50">
        <v>2017</v>
      </c>
      <c r="B58" s="51">
        <v>6478</v>
      </c>
      <c r="C58" s="7">
        <f t="shared" si="8"/>
        <v>6478</v>
      </c>
      <c r="D58" s="7">
        <f t="shared" si="9"/>
        <v>516</v>
      </c>
      <c r="E58" s="21">
        <f t="shared" si="10"/>
        <v>6235</v>
      </c>
      <c r="F58" s="21">
        <f t="shared" si="11"/>
        <v>59049</v>
      </c>
    </row>
    <row r="59" spans="1:10">
      <c r="A59" s="50">
        <v>2018</v>
      </c>
      <c r="B59" s="51">
        <v>6795</v>
      </c>
      <c r="C59" s="7">
        <f t="shared" si="8"/>
        <v>6795</v>
      </c>
      <c r="D59" s="7">
        <f t="shared" si="9"/>
        <v>516</v>
      </c>
      <c r="E59" s="21">
        <f t="shared" si="10"/>
        <v>6994</v>
      </c>
      <c r="F59" s="21">
        <f t="shared" si="11"/>
        <v>39601</v>
      </c>
    </row>
    <row r="60" spans="1:10">
      <c r="A60" s="50">
        <v>2019</v>
      </c>
      <c r="B60" s="51">
        <v>7519</v>
      </c>
      <c r="C60" s="7">
        <f t="shared" si="8"/>
        <v>7519</v>
      </c>
      <c r="D60" s="7">
        <f t="shared" si="9"/>
        <v>516</v>
      </c>
      <c r="E60" s="21">
        <f t="shared" si="10"/>
        <v>7311</v>
      </c>
      <c r="F60" s="21">
        <f t="shared" si="11"/>
        <v>43264</v>
      </c>
    </row>
    <row r="61" spans="1:10">
      <c r="A61" s="50">
        <v>2020</v>
      </c>
      <c r="B61" s="427">
        <v>8401</v>
      </c>
      <c r="C61" s="55">
        <f t="shared" si="8"/>
        <v>8401</v>
      </c>
      <c r="D61" s="55">
        <f t="shared" si="9"/>
        <v>516</v>
      </c>
      <c r="E61" s="53">
        <f t="shared" si="10"/>
        <v>8035</v>
      </c>
      <c r="F61" s="53">
        <f t="shared" si="11"/>
        <v>133956</v>
      </c>
    </row>
    <row r="62" spans="1:10">
      <c r="A62" s="428">
        <v>2021</v>
      </c>
      <c r="B62" s="51">
        <v>9346</v>
      </c>
      <c r="C62" s="7">
        <f t="shared" si="8"/>
        <v>9346</v>
      </c>
      <c r="D62" s="7">
        <f t="shared" si="9"/>
        <v>516</v>
      </c>
      <c r="E62" s="53">
        <f t="shared" si="10"/>
        <v>8917</v>
      </c>
      <c r="F62" s="21">
        <f>(B62-E62)^2</f>
        <v>184041</v>
      </c>
    </row>
    <row r="63" spans="1:10">
      <c r="A63" s="50">
        <v>2022</v>
      </c>
      <c r="B63" s="47"/>
      <c r="E63" s="21">
        <f t="shared" si="10"/>
        <v>9862</v>
      </c>
      <c r="F63" s="1"/>
    </row>
    <row r="68" spans="1:20">
      <c r="A68" s="22"/>
      <c r="E68" s="1"/>
    </row>
    <row r="71" spans="1:20" ht="23.5">
      <c r="A71" s="745" t="s">
        <v>141</v>
      </c>
      <c r="B71" s="746"/>
      <c r="C71" s="746"/>
      <c r="D71" s="746"/>
      <c r="E71" s="746"/>
      <c r="F71" s="747"/>
    </row>
    <row r="72" spans="1:20">
      <c r="A72" s="6" t="s">
        <v>1</v>
      </c>
      <c r="B72" s="274" t="s">
        <v>2</v>
      </c>
      <c r="C72" s="6" t="s">
        <v>40</v>
      </c>
      <c r="D72" s="6" t="s">
        <v>143</v>
      </c>
      <c r="E72" s="6" t="s">
        <v>144</v>
      </c>
      <c r="F72" s="6" t="s">
        <v>145</v>
      </c>
    </row>
    <row r="73" spans="1:20">
      <c r="A73" s="50">
        <v>2010</v>
      </c>
      <c r="B73" s="51">
        <v>4090</v>
      </c>
      <c r="C73" s="21">
        <f>B73</f>
        <v>4090</v>
      </c>
      <c r="D73" s="21">
        <f>B74-B73</f>
        <v>-220</v>
      </c>
      <c r="E73" s="21"/>
      <c r="F73" s="21"/>
      <c r="I73" s="87" t="s">
        <v>146</v>
      </c>
      <c r="J73" s="505">
        <f>AVERAGE(F73:F85)</f>
        <v>11664.454545454546</v>
      </c>
    </row>
    <row r="74" spans="1:20">
      <c r="A74" s="50">
        <v>2011</v>
      </c>
      <c r="B74" s="51">
        <v>3870</v>
      </c>
      <c r="C74" s="7">
        <f t="shared" ref="C74:C84" si="12">$J$76*B74+(1-$J$76)*(C73+D73)</f>
        <v>3870</v>
      </c>
      <c r="D74" s="7">
        <f t="shared" ref="D74:D84" si="13">$J$77*(C74-C73)+(1-$J$77)*D73</f>
        <v>-220</v>
      </c>
      <c r="E74" s="21">
        <f>C73+D73</f>
        <v>3870</v>
      </c>
      <c r="F74" s="21">
        <f>(B74-E74)^2</f>
        <v>0</v>
      </c>
      <c r="I74" s="87" t="s">
        <v>147</v>
      </c>
      <c r="J74" s="87">
        <f>SQRT(J73)</f>
        <v>108.00210435660291</v>
      </c>
    </row>
    <row r="75" spans="1:20">
      <c r="A75" s="50">
        <v>2012</v>
      </c>
      <c r="B75" s="51">
        <v>3725</v>
      </c>
      <c r="C75" s="7">
        <f t="shared" si="12"/>
        <v>3725</v>
      </c>
      <c r="D75" s="7">
        <f t="shared" si="13"/>
        <v>-145</v>
      </c>
      <c r="E75" s="21">
        <f t="shared" ref="E75:E84" si="14">C74+D74</f>
        <v>3650</v>
      </c>
      <c r="F75" s="21">
        <f>(B75-E75)^2</f>
        <v>5625</v>
      </c>
      <c r="I75" s="447" t="s">
        <v>148</v>
      </c>
      <c r="J75" s="506">
        <f>J74/E85</f>
        <v>1.6564739931994314E-2</v>
      </c>
      <c r="T75" t="s">
        <v>151</v>
      </c>
    </row>
    <row r="76" spans="1:20">
      <c r="A76" s="50">
        <v>2013</v>
      </c>
      <c r="B76" s="51">
        <v>3580</v>
      </c>
      <c r="C76" s="7">
        <f t="shared" si="12"/>
        <v>3580</v>
      </c>
      <c r="D76" s="7">
        <f t="shared" si="13"/>
        <v>-145</v>
      </c>
      <c r="E76" s="21">
        <f>C75+D75</f>
        <v>3580</v>
      </c>
      <c r="F76" s="21">
        <f>(B76-E76)^2</f>
        <v>0</v>
      </c>
      <c r="I76" s="87" t="s">
        <v>149</v>
      </c>
      <c r="J76" s="447">
        <v>1</v>
      </c>
    </row>
    <row r="77" spans="1:20">
      <c r="A77" s="50">
        <v>2014</v>
      </c>
      <c r="B77" s="51">
        <v>3478</v>
      </c>
      <c r="C77" s="7">
        <f t="shared" si="12"/>
        <v>3478</v>
      </c>
      <c r="D77" s="7">
        <f t="shared" si="13"/>
        <v>-102</v>
      </c>
      <c r="E77" s="21">
        <f t="shared" si="14"/>
        <v>3435</v>
      </c>
      <c r="F77" s="21">
        <f t="shared" ref="F77:F84" si="15">(B77-E77)^2</f>
        <v>1849</v>
      </c>
      <c r="I77" s="87" t="s">
        <v>150</v>
      </c>
      <c r="J77" s="447">
        <v>1</v>
      </c>
    </row>
    <row r="78" spans="1:20">
      <c r="A78" s="50">
        <v>2015</v>
      </c>
      <c r="B78" s="51">
        <v>3543</v>
      </c>
      <c r="C78" s="7">
        <f t="shared" si="12"/>
        <v>3543</v>
      </c>
      <c r="D78" s="7">
        <f t="shared" si="13"/>
        <v>65</v>
      </c>
      <c r="E78" s="21">
        <f t="shared" si="14"/>
        <v>3376</v>
      </c>
      <c r="F78" s="21">
        <f t="shared" si="15"/>
        <v>27889</v>
      </c>
    </row>
    <row r="79" spans="1:20">
      <c r="A79" s="50">
        <v>2016</v>
      </c>
      <c r="B79" s="51">
        <v>3700</v>
      </c>
      <c r="C79" s="7">
        <f t="shared" si="12"/>
        <v>3700</v>
      </c>
      <c r="D79" s="7">
        <f t="shared" si="13"/>
        <v>157</v>
      </c>
      <c r="E79" s="21">
        <f t="shared" si="14"/>
        <v>3608</v>
      </c>
      <c r="F79" s="21">
        <f t="shared" si="15"/>
        <v>8464</v>
      </c>
    </row>
    <row r="80" spans="1:20">
      <c r="A80" s="50">
        <v>2017</v>
      </c>
      <c r="B80" s="51">
        <v>3898</v>
      </c>
      <c r="C80" s="7">
        <f t="shared" si="12"/>
        <v>3898</v>
      </c>
      <c r="D80" s="7">
        <f t="shared" si="13"/>
        <v>198</v>
      </c>
      <c r="E80" s="21">
        <f t="shared" si="14"/>
        <v>3857</v>
      </c>
      <c r="F80" s="21">
        <f t="shared" si="15"/>
        <v>1681</v>
      </c>
    </row>
    <row r="81" spans="1:6">
      <c r="A81" s="50">
        <v>2018</v>
      </c>
      <c r="B81" s="51">
        <v>4306</v>
      </c>
      <c r="C81" s="7">
        <f t="shared" si="12"/>
        <v>4306</v>
      </c>
      <c r="D81" s="7">
        <f t="shared" si="13"/>
        <v>408</v>
      </c>
      <c r="E81" s="21">
        <f t="shared" si="14"/>
        <v>4096</v>
      </c>
      <c r="F81" s="21">
        <f t="shared" si="15"/>
        <v>44100</v>
      </c>
    </row>
    <row r="82" spans="1:6">
      <c r="A82" s="50">
        <v>2019</v>
      </c>
      <c r="B82" s="51">
        <v>4693</v>
      </c>
      <c r="C82" s="7">
        <f t="shared" si="12"/>
        <v>4693</v>
      </c>
      <c r="D82" s="7">
        <f t="shared" si="13"/>
        <v>387</v>
      </c>
      <c r="E82" s="21">
        <f t="shared" si="14"/>
        <v>4714</v>
      </c>
      <c r="F82" s="21">
        <f t="shared" si="15"/>
        <v>441</v>
      </c>
    </row>
    <row r="83" spans="1:6">
      <c r="A83" s="50">
        <v>2020</v>
      </c>
      <c r="B83" s="427">
        <v>5198</v>
      </c>
      <c r="C83" s="55">
        <f t="shared" si="12"/>
        <v>5198</v>
      </c>
      <c r="D83" s="55">
        <f t="shared" si="13"/>
        <v>505</v>
      </c>
      <c r="E83" s="53">
        <f t="shared" si="14"/>
        <v>5080</v>
      </c>
      <c r="F83" s="53">
        <f t="shared" si="15"/>
        <v>13924</v>
      </c>
    </row>
    <row r="84" spans="1:6">
      <c r="A84" s="428">
        <v>2021</v>
      </c>
      <c r="B84" s="51">
        <v>5859</v>
      </c>
      <c r="C84" s="7">
        <f t="shared" si="12"/>
        <v>5859</v>
      </c>
      <c r="D84" s="7">
        <f t="shared" si="13"/>
        <v>661</v>
      </c>
      <c r="E84" s="53">
        <f t="shared" si="14"/>
        <v>5703</v>
      </c>
      <c r="F84" s="21">
        <f t="shared" si="15"/>
        <v>24336</v>
      </c>
    </row>
    <row r="85" spans="1:6">
      <c r="A85" s="50">
        <v>2022</v>
      </c>
      <c r="B85" s="47"/>
      <c r="E85" s="21">
        <f>C84+D84</f>
        <v>6520</v>
      </c>
      <c r="F85" s="1"/>
    </row>
    <row r="90" spans="1:6">
      <c r="A90" s="22"/>
      <c r="E90" s="1"/>
    </row>
    <row r="105" spans="25:27">
      <c r="Z105" s="87" t="s">
        <v>152</v>
      </c>
      <c r="AA105" s="477" t="s">
        <v>153</v>
      </c>
    </row>
    <row r="106" spans="25:27">
      <c r="Y106" s="87" t="s">
        <v>131</v>
      </c>
      <c r="Z106" s="618">
        <v>1</v>
      </c>
      <c r="AA106" s="50">
        <v>0.60367099999999996</v>
      </c>
    </row>
    <row r="107" spans="25:27">
      <c r="Y107" s="478" t="s">
        <v>139</v>
      </c>
      <c r="Z107" s="50">
        <v>0.69030100000000005</v>
      </c>
      <c r="AA107" s="50">
        <v>1</v>
      </c>
    </row>
    <row r="108" spans="25:27">
      <c r="Y108" s="87" t="s">
        <v>140</v>
      </c>
      <c r="Z108" s="50">
        <v>1</v>
      </c>
      <c r="AA108" s="50">
        <v>0</v>
      </c>
    </row>
    <row r="109" spans="25:27">
      <c r="Y109" s="87" t="s">
        <v>141</v>
      </c>
      <c r="Z109" s="50">
        <v>1</v>
      </c>
      <c r="AA109" s="50">
        <v>1</v>
      </c>
    </row>
  </sheetData>
  <mergeCells count="9">
    <mergeCell ref="A26:F26"/>
    <mergeCell ref="A49:F49"/>
    <mergeCell ref="A71:F71"/>
    <mergeCell ref="W7:X7"/>
    <mergeCell ref="W10:X10"/>
    <mergeCell ref="W13:X13"/>
    <mergeCell ref="W16:X16"/>
    <mergeCell ref="A1:F1"/>
    <mergeCell ref="A3:F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159A-94CA-4B0F-A2B1-4CE060F730F0}">
  <dimension ref="A1:R155"/>
  <sheetViews>
    <sheetView topLeftCell="E10" workbookViewId="0">
      <selection activeCell="E10" sqref="E10"/>
    </sheetView>
  </sheetViews>
  <sheetFormatPr defaultRowHeight="14.5"/>
  <sheetData>
    <row r="1" spans="1:18">
      <c r="B1" t="s">
        <v>131</v>
      </c>
    </row>
    <row r="2" spans="1:18" ht="29">
      <c r="A2" t="s">
        <v>82</v>
      </c>
      <c r="B2" s="429" t="s">
        <v>1</v>
      </c>
      <c r="C2" s="429" t="s">
        <v>2</v>
      </c>
    </row>
    <row r="3" spans="1:18">
      <c r="A3">
        <v>1</v>
      </c>
      <c r="B3" s="37">
        <v>2010</v>
      </c>
      <c r="C3" s="26">
        <v>6313</v>
      </c>
      <c r="D3">
        <v>1</v>
      </c>
    </row>
    <row r="4" spans="1:18">
      <c r="A4">
        <v>2</v>
      </c>
      <c r="B4" s="37">
        <v>2011</v>
      </c>
      <c r="C4" s="26">
        <v>6272</v>
      </c>
      <c r="R4" t="s">
        <v>154</v>
      </c>
    </row>
    <row r="5" spans="1:18">
      <c r="A5">
        <v>3</v>
      </c>
      <c r="B5" s="37">
        <v>2012</v>
      </c>
      <c r="C5" s="26">
        <v>5835</v>
      </c>
      <c r="R5" t="s">
        <v>155</v>
      </c>
    </row>
    <row r="6" spans="1:18">
      <c r="A6">
        <v>4</v>
      </c>
      <c r="B6" s="37">
        <v>2013</v>
      </c>
      <c r="C6" s="26">
        <v>5919</v>
      </c>
      <c r="D6">
        <v>2</v>
      </c>
    </row>
    <row r="7" spans="1:18">
      <c r="A7">
        <v>5</v>
      </c>
      <c r="B7" s="37">
        <v>2014</v>
      </c>
      <c r="C7" s="26">
        <v>6105</v>
      </c>
    </row>
    <row r="8" spans="1:18">
      <c r="A8">
        <v>6</v>
      </c>
      <c r="B8" s="37">
        <v>2015</v>
      </c>
      <c r="C8" s="26">
        <v>6113</v>
      </c>
    </row>
    <row r="9" spans="1:18">
      <c r="A9">
        <v>7</v>
      </c>
      <c r="B9" s="37">
        <v>2016</v>
      </c>
      <c r="C9" s="26">
        <v>6109</v>
      </c>
    </row>
    <row r="10" spans="1:18">
      <c r="A10">
        <v>8</v>
      </c>
      <c r="B10" s="37">
        <v>2017</v>
      </c>
      <c r="C10" s="26">
        <v>6279</v>
      </c>
    </row>
    <row r="11" spans="1:18">
      <c r="A11">
        <v>9</v>
      </c>
      <c r="B11" s="37">
        <v>2018</v>
      </c>
      <c r="C11" s="26">
        <v>6395</v>
      </c>
    </row>
    <row r="12" spans="1:18">
      <c r="A12">
        <v>10</v>
      </c>
      <c r="B12" s="37">
        <v>2019</v>
      </c>
      <c r="C12" s="26">
        <v>6572</v>
      </c>
      <c r="D12">
        <v>3</v>
      </c>
    </row>
    <row r="13" spans="1:18">
      <c r="A13">
        <v>11</v>
      </c>
      <c r="B13" s="37">
        <v>2020</v>
      </c>
      <c r="C13" s="26">
        <v>6840</v>
      </c>
    </row>
    <row r="14" spans="1:18">
      <c r="A14">
        <v>12</v>
      </c>
      <c r="B14" s="37">
        <v>2021</v>
      </c>
      <c r="C14" s="26">
        <v>7781</v>
      </c>
    </row>
    <row r="17" spans="1:11">
      <c r="A17" t="s">
        <v>82</v>
      </c>
      <c r="B17" s="429" t="s">
        <v>14</v>
      </c>
      <c r="D17" t="s">
        <v>156</v>
      </c>
      <c r="G17" t="s">
        <v>157</v>
      </c>
      <c r="J17" t="s">
        <v>158</v>
      </c>
    </row>
    <row r="18" spans="1:11">
      <c r="A18" s="40">
        <v>1</v>
      </c>
      <c r="B18" s="41">
        <v>6313</v>
      </c>
      <c r="D18" cm="1">
        <f t="array" ref="D18:E22">LINEST(B18:B20,A18:A20,1,TRUE)</f>
        <v>-239.00000000000003</v>
      </c>
      <c r="E18">
        <v>6618</v>
      </c>
      <c r="G18" cm="1">
        <f t="array" ref="G18:H22">LINEST(B21:B26,A21:A26,1,1)</f>
        <v>82.800000000000026</v>
      </c>
      <c r="H18">
        <v>5615.1333333333332</v>
      </c>
      <c r="J18" cm="1">
        <f t="array" ref="J18:K22">LINEST(B18:B26,A18:A26,1,1)</f>
        <v>18.18333333333333</v>
      </c>
      <c r="K18">
        <v>6057.9722222222217</v>
      </c>
    </row>
    <row r="19" spans="1:11">
      <c r="A19" s="40">
        <v>2</v>
      </c>
      <c r="B19" s="41">
        <v>6272</v>
      </c>
      <c r="D19">
        <v>114.31535329954588</v>
      </c>
      <c r="E19">
        <v>246.94938752708006</v>
      </c>
      <c r="G19">
        <v>14.666839825817631</v>
      </c>
      <c r="H19">
        <v>98.570184487203107</v>
      </c>
      <c r="J19">
        <v>24.685202441477351</v>
      </c>
      <c r="K19">
        <v>138.9113936529186</v>
      </c>
    </row>
    <row r="20" spans="1:11">
      <c r="A20" s="40">
        <v>3</v>
      </c>
      <c r="B20" s="41">
        <v>5835</v>
      </c>
      <c r="D20">
        <v>0.81381697986864043</v>
      </c>
      <c r="E20">
        <v>161.66632302368973</v>
      </c>
      <c r="G20">
        <v>0.88848745760368897</v>
      </c>
      <c r="H20">
        <v>61.355792989198079</v>
      </c>
      <c r="J20">
        <v>7.1937109173543054E-2</v>
      </c>
      <c r="K20">
        <v>191.21075590720091</v>
      </c>
    </row>
    <row r="21" spans="1:11">
      <c r="A21" s="42">
        <v>4</v>
      </c>
      <c r="B21" s="43">
        <v>5919</v>
      </c>
      <c r="D21">
        <v>4.3710590756045313</v>
      </c>
      <c r="E21">
        <v>1</v>
      </c>
      <c r="G21">
        <v>31.870404476871901</v>
      </c>
      <c r="H21">
        <v>4</v>
      </c>
      <c r="J21">
        <v>0.5425922846310256</v>
      </c>
      <c r="K21">
        <v>7</v>
      </c>
    </row>
    <row r="22" spans="1:11">
      <c r="A22" s="42">
        <v>5</v>
      </c>
      <c r="B22" s="43">
        <v>6105</v>
      </c>
      <c r="D22">
        <v>114242</v>
      </c>
      <c r="E22">
        <v>26135.999999999993</v>
      </c>
      <c r="G22">
        <v>119977.2</v>
      </c>
      <c r="H22">
        <v>15058.133333333311</v>
      </c>
      <c r="J22">
        <v>19838.016666666663</v>
      </c>
      <c r="K22">
        <v>255930.87222222221</v>
      </c>
    </row>
    <row r="23" spans="1:11">
      <c r="A23" s="42">
        <v>6</v>
      </c>
      <c r="B23" s="43">
        <v>6113</v>
      </c>
    </row>
    <row r="24" spans="1:11">
      <c r="A24" s="42">
        <v>7</v>
      </c>
      <c r="B24" s="43">
        <v>6109</v>
      </c>
      <c r="D24" t="s">
        <v>159</v>
      </c>
      <c r="E24">
        <f>E22</f>
        <v>26135.999999999993</v>
      </c>
      <c r="G24" t="s">
        <v>160</v>
      </c>
      <c r="H24">
        <f>H22</f>
        <v>15058.133333333311</v>
      </c>
      <c r="J24" t="s">
        <v>161</v>
      </c>
      <c r="K24">
        <f>K22</f>
        <v>255930.87222222221</v>
      </c>
    </row>
    <row r="25" spans="1:11">
      <c r="A25" s="42">
        <v>8</v>
      </c>
      <c r="B25" s="43">
        <v>6279</v>
      </c>
    </row>
    <row r="26" spans="1:11">
      <c r="A26" s="42">
        <v>9</v>
      </c>
      <c r="B26" s="43">
        <v>6395</v>
      </c>
      <c r="D26" t="s">
        <v>162</v>
      </c>
      <c r="E26">
        <f>E24+H24</f>
        <v>41194.133333333302</v>
      </c>
      <c r="G26" t="s">
        <v>40</v>
      </c>
      <c r="H26">
        <f>((K24-E26)/E27)/(E26/E28)</f>
        <v>13.03199761184981</v>
      </c>
    </row>
    <row r="27" spans="1:11">
      <c r="A27" s="44">
        <v>10</v>
      </c>
      <c r="B27" s="45">
        <v>6572</v>
      </c>
      <c r="D27" t="s">
        <v>163</v>
      </c>
      <c r="E27">
        <v>2</v>
      </c>
    </row>
    <row r="28" spans="1:11">
      <c r="A28" s="44">
        <v>11</v>
      </c>
      <c r="B28" s="45">
        <v>6840</v>
      </c>
      <c r="D28" t="s">
        <v>164</v>
      </c>
      <c r="E28">
        <f>9-4</f>
        <v>5</v>
      </c>
      <c r="G28" t="s">
        <v>165</v>
      </c>
      <c r="H28">
        <f>FINV(0.05,E27,E28)</f>
        <v>5.786135043349967</v>
      </c>
    </row>
    <row r="29" spans="1:11">
      <c r="A29" s="44">
        <v>12</v>
      </c>
      <c r="B29" s="45">
        <v>7781</v>
      </c>
    </row>
    <row r="30" spans="1:11">
      <c r="D30" t="s">
        <v>157</v>
      </c>
      <c r="G30" t="s">
        <v>166</v>
      </c>
      <c r="J30" t="s">
        <v>158</v>
      </c>
    </row>
    <row r="31" spans="1:11">
      <c r="D31" cm="1">
        <f t="array" ref="D31:E35">LINEST(B21:B26,A21:A26,1,1)</f>
        <v>82.800000000000026</v>
      </c>
      <c r="E31">
        <v>5615.1333333333332</v>
      </c>
      <c r="G31" cm="1">
        <f t="array" ref="G31:H35">LINEST(B27:B29,A27:A29,1,1)</f>
        <v>604.49999999999989</v>
      </c>
      <c r="H31">
        <v>414.83333333333394</v>
      </c>
      <c r="J31" cm="1">
        <f t="array" ref="J31:K35">LINEST(B21:B29,A21:A29,1,1)</f>
        <v>180.95</v>
      </c>
      <c r="K31">
        <v>5009.3999999999996</v>
      </c>
    </row>
    <row r="32" spans="1:11">
      <c r="D32">
        <v>14.666839825817631</v>
      </c>
      <c r="E32">
        <v>98.570184487203107</v>
      </c>
      <c r="G32">
        <v>194.27836558230905</v>
      </c>
      <c r="H32">
        <v>2142.9411577445508</v>
      </c>
      <c r="J32">
        <v>38.933149359480524</v>
      </c>
      <c r="K32">
        <v>327.28555586729624</v>
      </c>
    </row>
    <row r="33" spans="1:11">
      <c r="D33">
        <v>0.88848745760368897</v>
      </c>
      <c r="E33">
        <v>61.355792989198079</v>
      </c>
      <c r="G33">
        <v>0.90638040071335679</v>
      </c>
      <c r="H33">
        <v>274.75109948217982</v>
      </c>
      <c r="J33">
        <v>0.75525512012504969</v>
      </c>
      <c r="K33">
        <v>301.5748781693481</v>
      </c>
    </row>
    <row r="34" spans="1:11">
      <c r="D34">
        <v>31.870404476871901</v>
      </c>
      <c r="E34">
        <v>4</v>
      </c>
      <c r="G34">
        <v>9.6815240357760253</v>
      </c>
      <c r="H34">
        <v>1</v>
      </c>
      <c r="J34">
        <v>21.601211202361295</v>
      </c>
      <c r="K34">
        <v>7</v>
      </c>
    </row>
    <row r="35" spans="1:11">
      <c r="D35">
        <v>119977.2</v>
      </c>
      <c r="E35">
        <v>15058.133333333311</v>
      </c>
      <c r="G35">
        <v>730840.5</v>
      </c>
      <c r="H35">
        <v>75488.166666666672</v>
      </c>
      <c r="J35">
        <v>1964574.15</v>
      </c>
      <c r="K35">
        <v>636631.85000000009</v>
      </c>
    </row>
    <row r="37" spans="1:11">
      <c r="D37" t="s">
        <v>160</v>
      </c>
      <c r="E37">
        <f>H24</f>
        <v>15058.133333333311</v>
      </c>
      <c r="G37" t="s">
        <v>167</v>
      </c>
      <c r="H37">
        <f>H35</f>
        <v>75488.166666666672</v>
      </c>
      <c r="J37" t="s">
        <v>161</v>
      </c>
      <c r="K37">
        <f>K35</f>
        <v>636631.85000000009</v>
      </c>
    </row>
    <row r="39" spans="1:11">
      <c r="D39" t="s">
        <v>162</v>
      </c>
      <c r="E39">
        <f>E37+H37</f>
        <v>90546.299999999988</v>
      </c>
      <c r="G39" t="s">
        <v>40</v>
      </c>
      <c r="H39">
        <f>((K37-E39)/E40)/(E39/E41)</f>
        <v>15.077522494016875</v>
      </c>
    </row>
    <row r="40" spans="1:11">
      <c r="D40" t="s">
        <v>163</v>
      </c>
      <c r="E40">
        <v>2</v>
      </c>
    </row>
    <row r="41" spans="1:11">
      <c r="D41" t="s">
        <v>164</v>
      </c>
      <c r="E41">
        <f>9-4</f>
        <v>5</v>
      </c>
      <c r="G41" t="s">
        <v>165</v>
      </c>
      <c r="H41">
        <f>FINV(0.05,E40,E41)</f>
        <v>5.786135043349967</v>
      </c>
    </row>
    <row r="43" spans="1:11">
      <c r="B43" t="s">
        <v>139</v>
      </c>
    </row>
    <row r="44" spans="1:11" ht="29">
      <c r="A44" t="str">
        <f>A17</f>
        <v>t</v>
      </c>
      <c r="B44" s="430" t="s">
        <v>1</v>
      </c>
      <c r="C44" s="430" t="s">
        <v>2</v>
      </c>
    </row>
    <row r="45" spans="1:11">
      <c r="A45">
        <f t="shared" ref="A45:A56" si="0">A18</f>
        <v>1</v>
      </c>
      <c r="B45" s="37">
        <v>2010</v>
      </c>
      <c r="C45" s="26">
        <v>8421</v>
      </c>
      <c r="D45">
        <v>1</v>
      </c>
    </row>
    <row r="46" spans="1:11">
      <c r="A46">
        <f t="shared" si="0"/>
        <v>2</v>
      </c>
      <c r="B46" s="37">
        <v>2011</v>
      </c>
      <c r="C46" s="26">
        <v>8245</v>
      </c>
    </row>
    <row r="47" spans="1:11">
      <c r="A47">
        <f t="shared" si="0"/>
        <v>3</v>
      </c>
      <c r="B47" s="37">
        <v>2012</v>
      </c>
      <c r="C47" s="26">
        <v>8022</v>
      </c>
    </row>
    <row r="48" spans="1:11">
      <c r="A48">
        <f t="shared" si="0"/>
        <v>4</v>
      </c>
      <c r="B48" s="37">
        <v>2013</v>
      </c>
      <c r="C48" s="26">
        <v>7421</v>
      </c>
      <c r="D48">
        <v>2</v>
      </c>
    </row>
    <row r="49" spans="1:11">
      <c r="A49">
        <f t="shared" si="0"/>
        <v>5</v>
      </c>
      <c r="B49" s="37">
        <v>2014</v>
      </c>
      <c r="C49" s="26">
        <v>7685</v>
      </c>
    </row>
    <row r="50" spans="1:11">
      <c r="A50">
        <f t="shared" si="0"/>
        <v>6</v>
      </c>
      <c r="B50" s="37">
        <v>2015</v>
      </c>
      <c r="C50" s="26">
        <v>7664</v>
      </c>
    </row>
    <row r="51" spans="1:11">
      <c r="A51">
        <f t="shared" si="0"/>
        <v>7</v>
      </c>
      <c r="B51" s="37">
        <v>2016</v>
      </c>
      <c r="C51" s="26">
        <v>7783</v>
      </c>
    </row>
    <row r="52" spans="1:11">
      <c r="A52">
        <f t="shared" si="0"/>
        <v>8</v>
      </c>
      <c r="B52" s="37">
        <v>2017</v>
      </c>
      <c r="C52" s="26">
        <v>8200</v>
      </c>
    </row>
    <row r="53" spans="1:11">
      <c r="A53">
        <f t="shared" si="0"/>
        <v>9</v>
      </c>
      <c r="B53" s="37">
        <v>2018</v>
      </c>
      <c r="C53" s="26">
        <v>8769</v>
      </c>
    </row>
    <row r="54" spans="1:11">
      <c r="A54">
        <f t="shared" si="0"/>
        <v>10</v>
      </c>
      <c r="B54" s="37">
        <v>2019</v>
      </c>
      <c r="C54" s="26">
        <v>9073</v>
      </c>
      <c r="D54">
        <v>3</v>
      </c>
    </row>
    <row r="55" spans="1:11">
      <c r="A55">
        <f t="shared" si="0"/>
        <v>11</v>
      </c>
      <c r="B55" s="37">
        <v>2020</v>
      </c>
      <c r="C55" s="26">
        <v>9901</v>
      </c>
    </row>
    <row r="56" spans="1:11">
      <c r="A56">
        <f t="shared" si="0"/>
        <v>12</v>
      </c>
      <c r="B56" s="37">
        <v>2021</v>
      </c>
      <c r="C56" s="26">
        <v>11077</v>
      </c>
    </row>
    <row r="59" spans="1:11">
      <c r="A59" t="str">
        <f>A44</f>
        <v>t</v>
      </c>
      <c r="B59" s="430" t="s">
        <v>14</v>
      </c>
      <c r="D59" t="s">
        <v>156</v>
      </c>
      <c r="G59" t="s">
        <v>157</v>
      </c>
      <c r="J59" t="s">
        <v>158</v>
      </c>
    </row>
    <row r="60" spans="1:11">
      <c r="A60" s="40">
        <f t="shared" ref="A60:A71" si="1">A45</f>
        <v>1</v>
      </c>
      <c r="B60" s="41">
        <v>8421</v>
      </c>
      <c r="D60" cm="1">
        <f t="array" ref="D60:E64">LINEST(B60:B62,A60:A62,1,TRUE)</f>
        <v>-199.5</v>
      </c>
      <c r="E60">
        <v>8628.3333333333339</v>
      </c>
      <c r="G60" cm="1">
        <f t="array" ref="G60:H64">LINEST(B63:B68,A63:A68,1,1)</f>
        <v>240.1142857142857</v>
      </c>
      <c r="H60">
        <v>6359.5904761904758</v>
      </c>
      <c r="J60" cm="1">
        <f t="array" ref="J60:K64">LINEST(B60:B68,A60:A68,1,1)</f>
        <v>17.033333333333328</v>
      </c>
      <c r="K60">
        <v>7938.1666666666661</v>
      </c>
    </row>
    <row r="61" spans="1:11">
      <c r="A61" s="40">
        <f t="shared" si="1"/>
        <v>2</v>
      </c>
      <c r="B61" s="41">
        <v>8245</v>
      </c>
      <c r="D61">
        <v>13.567731325956212</v>
      </c>
      <c r="E61">
        <v>29.309649529729221</v>
      </c>
      <c r="G61">
        <v>50.535857815714053</v>
      </c>
      <c r="H61">
        <v>339.63204666253353</v>
      </c>
      <c r="J61">
        <v>58.579492863347525</v>
      </c>
      <c r="K61">
        <v>329.64522014435636</v>
      </c>
    </row>
    <row r="62" spans="1:11">
      <c r="A62" s="40">
        <f t="shared" si="1"/>
        <v>3</v>
      </c>
      <c r="B62" s="41">
        <v>8022</v>
      </c>
      <c r="D62">
        <v>0.99539611347777879</v>
      </c>
      <c r="E62">
        <v>19.187669651801571</v>
      </c>
      <c r="G62">
        <v>0.84948523311228241</v>
      </c>
      <c r="H62">
        <v>211.40666070508794</v>
      </c>
      <c r="J62">
        <v>1.1934270356440641E-2</v>
      </c>
      <c r="K62">
        <v>453.75480057804242</v>
      </c>
    </row>
    <row r="63" spans="1:11">
      <c r="A63" s="42">
        <f t="shared" si="1"/>
        <v>4</v>
      </c>
      <c r="B63" s="43">
        <v>7421</v>
      </c>
      <c r="D63">
        <v>216.20778632865526</v>
      </c>
      <c r="E63">
        <v>1</v>
      </c>
      <c r="G63">
        <v>22.575465535444483</v>
      </c>
      <c r="H63">
        <v>4</v>
      </c>
      <c r="J63">
        <v>8.454892219085583E-2</v>
      </c>
      <c r="K63">
        <v>7</v>
      </c>
    </row>
    <row r="64" spans="1:11">
      <c r="A64" s="42">
        <f t="shared" si="1"/>
        <v>5</v>
      </c>
      <c r="B64" s="43">
        <v>7685</v>
      </c>
      <c r="D64">
        <v>79600.499999999985</v>
      </c>
      <c r="E64">
        <v>368.16666666666703</v>
      </c>
      <c r="G64">
        <v>1008960.2285714286</v>
      </c>
      <c r="H64">
        <v>178771.10476190469</v>
      </c>
      <c r="J64">
        <v>17408.066666666418</v>
      </c>
      <c r="K64">
        <v>1441253.9333333336</v>
      </c>
    </row>
    <row r="65" spans="1:11">
      <c r="A65" s="42">
        <f t="shared" si="1"/>
        <v>6</v>
      </c>
      <c r="B65" s="43">
        <v>7664</v>
      </c>
    </row>
    <row r="66" spans="1:11">
      <c r="A66" s="42">
        <f t="shared" si="1"/>
        <v>7</v>
      </c>
      <c r="B66" s="43">
        <v>7783</v>
      </c>
      <c r="D66" t="s">
        <v>159</v>
      </c>
      <c r="E66">
        <f>E64</f>
        <v>368.16666666666703</v>
      </c>
      <c r="G66" t="s">
        <v>160</v>
      </c>
      <c r="H66">
        <f>H64</f>
        <v>178771.10476190469</v>
      </c>
      <c r="J66" t="s">
        <v>161</v>
      </c>
      <c r="K66">
        <f>K64</f>
        <v>1441253.9333333336</v>
      </c>
    </row>
    <row r="67" spans="1:11">
      <c r="A67" s="42">
        <f t="shared" si="1"/>
        <v>8</v>
      </c>
      <c r="B67" s="43">
        <v>8200</v>
      </c>
    </row>
    <row r="68" spans="1:11">
      <c r="A68" s="42">
        <f t="shared" si="1"/>
        <v>9</v>
      </c>
      <c r="B68" s="43">
        <v>8769</v>
      </c>
      <c r="D68" t="s">
        <v>162</v>
      </c>
      <c r="E68">
        <f>E66+H66</f>
        <v>179139.27142857134</v>
      </c>
      <c r="G68" t="s">
        <v>40</v>
      </c>
      <c r="H68">
        <f>((K66-E68)/E69)/(E68/E70)</f>
        <v>17.613595442247966</v>
      </c>
    </row>
    <row r="69" spans="1:11">
      <c r="A69" s="44">
        <f t="shared" si="1"/>
        <v>10</v>
      </c>
      <c r="B69" s="45">
        <v>9073</v>
      </c>
      <c r="D69" t="s">
        <v>163</v>
      </c>
      <c r="E69">
        <v>2</v>
      </c>
    </row>
    <row r="70" spans="1:11">
      <c r="A70" s="44">
        <f t="shared" si="1"/>
        <v>11</v>
      </c>
      <c r="B70" s="45">
        <v>9901</v>
      </c>
      <c r="D70" t="s">
        <v>164</v>
      </c>
      <c r="E70">
        <f>9-4</f>
        <v>5</v>
      </c>
      <c r="G70" t="s">
        <v>165</v>
      </c>
      <c r="H70">
        <f>FINV(0.05,E69,E70)</f>
        <v>5.786135043349967</v>
      </c>
    </row>
    <row r="71" spans="1:11">
      <c r="A71" s="44">
        <f t="shared" si="1"/>
        <v>12</v>
      </c>
      <c r="B71" s="45">
        <v>11077</v>
      </c>
    </row>
    <row r="72" spans="1:11">
      <c r="D72" t="s">
        <v>157</v>
      </c>
      <c r="G72" t="s">
        <v>166</v>
      </c>
      <c r="J72" t="s">
        <v>158</v>
      </c>
    </row>
    <row r="73" spans="1:11">
      <c r="D73" cm="1">
        <f t="array" ref="D73:E77">LINEST(B63:B68,A63:A68,1,1)</f>
        <v>240.1142857142857</v>
      </c>
      <c r="E73">
        <v>6359.5904761904758</v>
      </c>
      <c r="G73" cm="1">
        <f t="array" ref="G73:H77">LINEST(B69:B71,A69:A71,1,1)</f>
        <v>1002</v>
      </c>
      <c r="H73">
        <v>-1005</v>
      </c>
      <c r="J73" cm="1">
        <f t="array" ref="J73:K77">LINEST(B63:B71,A63:A71,1,1)</f>
        <v>417.93333333333328</v>
      </c>
      <c r="K73">
        <v>5275.7555555555564</v>
      </c>
    </row>
    <row r="74" spans="1:11">
      <c r="D74">
        <v>50.535857815714053</v>
      </c>
      <c r="E74">
        <v>339.63204666253353</v>
      </c>
      <c r="G74">
        <v>100.45894683899483</v>
      </c>
      <c r="H74">
        <v>1108.0884441234818</v>
      </c>
      <c r="J74">
        <v>60.313650213831387</v>
      </c>
      <c r="K74">
        <v>507.01746099080168</v>
      </c>
    </row>
    <row r="75" spans="1:11">
      <c r="D75">
        <v>0.84948523311228241</v>
      </c>
      <c r="E75">
        <v>211.40666070508794</v>
      </c>
      <c r="G75">
        <v>0.99004827945283291</v>
      </c>
      <c r="H75">
        <v>142.07040508142427</v>
      </c>
      <c r="J75">
        <v>0.87276347300042345</v>
      </c>
      <c r="K75">
        <v>467.18752565429673</v>
      </c>
    </row>
    <row r="76" spans="1:11">
      <c r="D76">
        <v>22.575465535444483</v>
      </c>
      <c r="E76">
        <v>4</v>
      </c>
      <c r="G76">
        <v>99.485136741973932</v>
      </c>
      <c r="H76">
        <v>1</v>
      </c>
      <c r="J76">
        <v>48.015648140280483</v>
      </c>
      <c r="K76">
        <v>7</v>
      </c>
    </row>
    <row r="77" spans="1:11">
      <c r="D77">
        <v>1008960.2285714286</v>
      </c>
      <c r="E77">
        <v>178771.10476190469</v>
      </c>
      <c r="G77">
        <v>2008008</v>
      </c>
      <c r="H77">
        <v>20183.999999999982</v>
      </c>
      <c r="J77">
        <v>10480096.266666666</v>
      </c>
      <c r="K77">
        <v>1527849.2888888894</v>
      </c>
    </row>
    <row r="79" spans="1:11">
      <c r="D79" t="s">
        <v>160</v>
      </c>
      <c r="E79">
        <f>H66</f>
        <v>178771.10476190469</v>
      </c>
      <c r="G79" t="s">
        <v>167</v>
      </c>
      <c r="H79">
        <f>H77</f>
        <v>20183.999999999982</v>
      </c>
      <c r="J79" t="s">
        <v>161</v>
      </c>
      <c r="K79">
        <f>K77</f>
        <v>1527849.2888888894</v>
      </c>
    </row>
    <row r="81" spans="1:8">
      <c r="D81" t="s">
        <v>162</v>
      </c>
      <c r="E81">
        <f>E79+H79</f>
        <v>198955.10476190466</v>
      </c>
      <c r="G81" t="s">
        <v>40</v>
      </c>
      <c r="H81">
        <f>((K79-E81)/E82)/(E81/E83)</f>
        <v>16.698417787737981</v>
      </c>
    </row>
    <row r="82" spans="1:8">
      <c r="D82" t="s">
        <v>163</v>
      </c>
      <c r="E82">
        <v>2</v>
      </c>
    </row>
    <row r="83" spans="1:8">
      <c r="D83" t="s">
        <v>164</v>
      </c>
      <c r="E83">
        <f>9-4</f>
        <v>5</v>
      </c>
      <c r="G83" t="s">
        <v>165</v>
      </c>
      <c r="H83">
        <f>FINV(0.05,E82,E83)</f>
        <v>5.786135043349967</v>
      </c>
    </row>
    <row r="85" spans="1:8">
      <c r="B85" t="s">
        <v>140</v>
      </c>
    </row>
    <row r="86" spans="1:8" ht="29">
      <c r="A86" t="s">
        <v>82</v>
      </c>
      <c r="B86" s="431" t="s">
        <v>1</v>
      </c>
      <c r="C86" s="431" t="s">
        <v>2</v>
      </c>
    </row>
    <row r="87" spans="1:8">
      <c r="A87">
        <f>A60</f>
        <v>1</v>
      </c>
      <c r="B87" s="37">
        <v>2010</v>
      </c>
      <c r="C87" s="26">
        <v>4461</v>
      </c>
      <c r="D87">
        <v>1</v>
      </c>
    </row>
    <row r="88" spans="1:8">
      <c r="A88">
        <f t="shared" ref="A88:A98" si="2">A61</f>
        <v>2</v>
      </c>
      <c r="B88" s="37">
        <v>2011</v>
      </c>
      <c r="C88" s="26">
        <v>4977</v>
      </c>
    </row>
    <row r="89" spans="1:8">
      <c r="A89">
        <f t="shared" si="2"/>
        <v>3</v>
      </c>
      <c r="B89" s="37">
        <v>2012</v>
      </c>
      <c r="C89" s="26">
        <v>5261</v>
      </c>
    </row>
    <row r="90" spans="1:8">
      <c r="A90">
        <f t="shared" si="2"/>
        <v>4</v>
      </c>
      <c r="B90" s="37">
        <v>2013</v>
      </c>
      <c r="C90" s="26">
        <v>5277</v>
      </c>
    </row>
    <row r="91" spans="1:8">
      <c r="A91">
        <f t="shared" si="2"/>
        <v>5</v>
      </c>
      <c r="B91" s="37">
        <v>2014</v>
      </c>
      <c r="C91" s="26">
        <v>5346</v>
      </c>
    </row>
    <row r="92" spans="1:8">
      <c r="A92">
        <f t="shared" si="2"/>
        <v>6</v>
      </c>
      <c r="B92" s="37">
        <v>2015</v>
      </c>
      <c r="C92" s="26">
        <v>5403</v>
      </c>
    </row>
    <row r="93" spans="1:8">
      <c r="A93">
        <f t="shared" si="2"/>
        <v>7</v>
      </c>
      <c r="B93" s="37">
        <v>2016</v>
      </c>
      <c r="C93" s="26">
        <v>5719</v>
      </c>
    </row>
    <row r="94" spans="1:8">
      <c r="A94">
        <f t="shared" si="2"/>
        <v>8</v>
      </c>
      <c r="B94" s="37">
        <v>2017</v>
      </c>
      <c r="C94" s="26">
        <v>6478</v>
      </c>
    </row>
    <row r="95" spans="1:8">
      <c r="A95">
        <f t="shared" si="2"/>
        <v>9</v>
      </c>
      <c r="B95" s="37">
        <v>2018</v>
      </c>
      <c r="C95" s="26">
        <v>6795</v>
      </c>
      <c r="D95">
        <v>2</v>
      </c>
    </row>
    <row r="96" spans="1:8">
      <c r="A96">
        <f t="shared" si="2"/>
        <v>10</v>
      </c>
      <c r="B96" s="37">
        <v>2019</v>
      </c>
      <c r="C96" s="26">
        <v>7519</v>
      </c>
    </row>
    <row r="97" spans="1:11">
      <c r="A97">
        <f t="shared" si="2"/>
        <v>11</v>
      </c>
      <c r="B97" s="38">
        <v>2020</v>
      </c>
      <c r="C97" s="39">
        <v>8401</v>
      </c>
    </row>
    <row r="98" spans="1:11">
      <c r="A98">
        <f t="shared" si="2"/>
        <v>12</v>
      </c>
      <c r="B98" s="37">
        <v>2021</v>
      </c>
      <c r="C98" s="26">
        <v>9346</v>
      </c>
    </row>
    <row r="101" spans="1:11">
      <c r="A101" t="str">
        <f>A86</f>
        <v>t</v>
      </c>
      <c r="B101" s="431" t="s">
        <v>14</v>
      </c>
      <c r="D101" t="s">
        <v>156</v>
      </c>
      <c r="G101" t="s">
        <v>157</v>
      </c>
      <c r="J101" t="s">
        <v>158</v>
      </c>
    </row>
    <row r="102" spans="1:11">
      <c r="A102" s="42">
        <f t="shared" ref="A102:A113" si="3">A87</f>
        <v>1</v>
      </c>
      <c r="B102" s="43">
        <v>4461</v>
      </c>
      <c r="D102" cm="1">
        <f t="array" ref="D102:E106">LINEST(B102:B109,A102:A109,1,1)</f>
        <v>218.1428571428572</v>
      </c>
      <c r="E102">
        <v>4383.6071428571431</v>
      </c>
      <c r="G102" cm="1">
        <f t="array" ref="G102:H106">LINEST(B110:B113,A110:A113,1,1)</f>
        <v>853.5</v>
      </c>
      <c r="H102">
        <v>-946.5</v>
      </c>
      <c r="J102" cm="1">
        <f t="array" ref="J102:K106">LINEST(B102:B113,A102:A113,1,1)</f>
        <v>390.41608391608389</v>
      </c>
      <c r="K102">
        <v>3710.8787878787875</v>
      </c>
    </row>
    <row r="103" spans="1:11">
      <c r="A103" s="42">
        <f t="shared" si="3"/>
        <v>2</v>
      </c>
      <c r="B103" s="43">
        <v>4977</v>
      </c>
      <c r="D103">
        <v>37.45815881929488</v>
      </c>
      <c r="E103">
        <v>189.15442998870984</v>
      </c>
      <c r="G103">
        <v>35.583001559733553</v>
      </c>
      <c r="H103">
        <v>375.73358247566858</v>
      </c>
      <c r="J103">
        <v>45.320260213129593</v>
      </c>
      <c r="K103">
        <v>333.54808383509402</v>
      </c>
    </row>
    <row r="104" spans="1:11">
      <c r="A104" s="42">
        <f t="shared" si="3"/>
        <v>3</v>
      </c>
      <c r="B104" s="43">
        <v>5261</v>
      </c>
      <c r="D104">
        <v>0.84967978283518419</v>
      </c>
      <c r="E104">
        <v>242.75661434762964</v>
      </c>
      <c r="G104">
        <v>0.99653581548590209</v>
      </c>
      <c r="H104">
        <v>79.566010331045263</v>
      </c>
      <c r="J104">
        <v>0.88125122905175846</v>
      </c>
      <c r="K104">
        <v>541.95148857380775</v>
      </c>
    </row>
    <row r="105" spans="1:11">
      <c r="A105" s="42">
        <f t="shared" si="3"/>
        <v>4</v>
      </c>
      <c r="B105" s="43">
        <v>5277</v>
      </c>
      <c r="D105">
        <v>33.914790659339012</v>
      </c>
      <c r="E105">
        <v>6</v>
      </c>
      <c r="G105">
        <v>575.3364530268924</v>
      </c>
      <c r="H105">
        <v>2</v>
      </c>
      <c r="J105">
        <v>74.211397896140383</v>
      </c>
      <c r="K105">
        <v>10</v>
      </c>
    </row>
    <row r="106" spans="1:11">
      <c r="A106" s="42">
        <f t="shared" si="3"/>
        <v>5</v>
      </c>
      <c r="B106" s="43">
        <v>5346</v>
      </c>
      <c r="D106">
        <v>1998624.8571428573</v>
      </c>
      <c r="E106">
        <v>353584.64285714272</v>
      </c>
      <c r="G106">
        <v>3642311.25</v>
      </c>
      <c r="H106">
        <v>12661.500000000004</v>
      </c>
      <c r="J106">
        <v>21796734.756993003</v>
      </c>
      <c r="K106">
        <v>2937114.159673661</v>
      </c>
    </row>
    <row r="107" spans="1:11">
      <c r="A107" s="42">
        <f t="shared" si="3"/>
        <v>6</v>
      </c>
      <c r="B107" s="43">
        <v>5403</v>
      </c>
    </row>
    <row r="108" spans="1:11">
      <c r="A108" s="42">
        <f t="shared" si="3"/>
        <v>7</v>
      </c>
      <c r="B108" s="43">
        <v>5719</v>
      </c>
      <c r="D108" t="s">
        <v>159</v>
      </c>
      <c r="E108">
        <f>E106</f>
        <v>353584.64285714272</v>
      </c>
      <c r="G108" t="s">
        <v>160</v>
      </c>
      <c r="H108">
        <f>H106</f>
        <v>12661.500000000004</v>
      </c>
      <c r="J108" t="s">
        <v>161</v>
      </c>
      <c r="K108">
        <f>K106</f>
        <v>2937114.159673661</v>
      </c>
    </row>
    <row r="109" spans="1:11">
      <c r="A109" s="42">
        <f t="shared" si="3"/>
        <v>8</v>
      </c>
      <c r="B109" s="43">
        <v>6478</v>
      </c>
    </row>
    <row r="110" spans="1:11">
      <c r="A110" s="44">
        <f t="shared" si="3"/>
        <v>9</v>
      </c>
      <c r="B110" s="45">
        <v>6795</v>
      </c>
      <c r="D110" t="s">
        <v>162</v>
      </c>
      <c r="E110">
        <f>E108+H108</f>
        <v>366246.14285714272</v>
      </c>
      <c r="G110" t="s">
        <v>40</v>
      </c>
      <c r="H110">
        <f>((K108-E110)/E111)/(E110/E112)</f>
        <v>28.078035135177451</v>
      </c>
    </row>
    <row r="111" spans="1:11">
      <c r="A111" s="44">
        <f t="shared" si="3"/>
        <v>10</v>
      </c>
      <c r="B111" s="45">
        <v>7519</v>
      </c>
      <c r="D111" t="s">
        <v>163</v>
      </c>
      <c r="E111">
        <v>2</v>
      </c>
    </row>
    <row r="112" spans="1:11">
      <c r="A112" s="44">
        <f t="shared" si="3"/>
        <v>11</v>
      </c>
      <c r="B112" s="46">
        <v>8401</v>
      </c>
      <c r="D112" t="s">
        <v>164</v>
      </c>
      <c r="E112">
        <f>12-4</f>
        <v>8</v>
      </c>
      <c r="G112" t="s">
        <v>165</v>
      </c>
      <c r="H112">
        <f>FINV(0.05,E111,E112)</f>
        <v>4.4589701075245118</v>
      </c>
    </row>
    <row r="113" spans="1:4">
      <c r="A113" s="44">
        <f t="shared" si="3"/>
        <v>12</v>
      </c>
      <c r="B113" s="45">
        <v>9346</v>
      </c>
    </row>
    <row r="115" spans="1:4">
      <c r="B115" t="s">
        <v>141</v>
      </c>
    </row>
    <row r="116" spans="1:4" ht="29">
      <c r="A116" t="str">
        <f>A101</f>
        <v>t</v>
      </c>
      <c r="B116" s="432" t="s">
        <v>1</v>
      </c>
      <c r="C116" s="432" t="s">
        <v>2</v>
      </c>
    </row>
    <row r="117" spans="1:4">
      <c r="A117">
        <f t="shared" ref="A117:A128" si="4">A102</f>
        <v>1</v>
      </c>
      <c r="B117" s="37">
        <v>2010</v>
      </c>
      <c r="C117" s="26">
        <v>4090</v>
      </c>
      <c r="D117">
        <v>1</v>
      </c>
    </row>
    <row r="118" spans="1:4">
      <c r="A118">
        <f t="shared" si="4"/>
        <v>2</v>
      </c>
      <c r="B118" s="37">
        <v>2011</v>
      </c>
      <c r="C118" s="26">
        <v>3870</v>
      </c>
    </row>
    <row r="119" spans="1:4">
      <c r="A119">
        <f t="shared" si="4"/>
        <v>3</v>
      </c>
      <c r="B119" s="37">
        <v>2012</v>
      </c>
      <c r="C119" s="26">
        <v>3725</v>
      </c>
    </row>
    <row r="120" spans="1:4">
      <c r="A120">
        <f t="shared" si="4"/>
        <v>4</v>
      </c>
      <c r="B120" s="37">
        <v>2013</v>
      </c>
      <c r="C120" s="26">
        <v>3580</v>
      </c>
    </row>
    <row r="121" spans="1:4">
      <c r="A121">
        <f t="shared" si="4"/>
        <v>5</v>
      </c>
      <c r="B121" s="37">
        <v>2014</v>
      </c>
      <c r="C121" s="26">
        <v>3478</v>
      </c>
      <c r="D121">
        <v>2</v>
      </c>
    </row>
    <row r="122" spans="1:4">
      <c r="A122">
        <f t="shared" si="4"/>
        <v>6</v>
      </c>
      <c r="B122" s="37">
        <v>2015</v>
      </c>
      <c r="C122" s="26">
        <v>3543</v>
      </c>
    </row>
    <row r="123" spans="1:4">
      <c r="A123">
        <f t="shared" si="4"/>
        <v>7</v>
      </c>
      <c r="B123" s="37">
        <v>2016</v>
      </c>
      <c r="C123" s="26">
        <v>3700</v>
      </c>
    </row>
    <row r="124" spans="1:4">
      <c r="A124">
        <f t="shared" si="4"/>
        <v>8</v>
      </c>
      <c r="B124" s="37">
        <v>2017</v>
      </c>
      <c r="C124" s="26">
        <v>3898</v>
      </c>
    </row>
    <row r="125" spans="1:4">
      <c r="A125">
        <f t="shared" si="4"/>
        <v>9</v>
      </c>
      <c r="B125" s="37">
        <v>2018</v>
      </c>
      <c r="C125" s="26">
        <v>4306</v>
      </c>
      <c r="D125">
        <v>3</v>
      </c>
    </row>
    <row r="126" spans="1:4">
      <c r="A126">
        <f t="shared" si="4"/>
        <v>10</v>
      </c>
      <c r="B126" s="37">
        <v>2019</v>
      </c>
      <c r="C126" s="26">
        <v>4693</v>
      </c>
    </row>
    <row r="127" spans="1:4">
      <c r="A127">
        <f t="shared" si="4"/>
        <v>11</v>
      </c>
      <c r="B127" s="37">
        <v>2020</v>
      </c>
      <c r="C127" s="26">
        <v>5198</v>
      </c>
    </row>
    <row r="128" spans="1:4">
      <c r="A128">
        <f t="shared" si="4"/>
        <v>12</v>
      </c>
      <c r="B128" s="37">
        <v>2021</v>
      </c>
      <c r="C128" s="26">
        <v>5859</v>
      </c>
    </row>
    <row r="131" spans="1:11">
      <c r="A131" t="str">
        <f>A116</f>
        <v>t</v>
      </c>
      <c r="B131" s="432" t="s">
        <v>14</v>
      </c>
      <c r="D131" t="s">
        <v>156</v>
      </c>
      <c r="G131" t="s">
        <v>157</v>
      </c>
      <c r="J131" t="s">
        <v>158</v>
      </c>
    </row>
    <row r="132" spans="1:11">
      <c r="A132" s="40">
        <f t="shared" ref="A132:A143" si="5">A117</f>
        <v>1</v>
      </c>
      <c r="B132" s="41">
        <v>4090</v>
      </c>
      <c r="D132" cm="1">
        <f t="array" ref="D132:E136">LINEST(B132:B135,A132:A135,1,TRUE)</f>
        <v>-167.49999999999997</v>
      </c>
      <c r="E132">
        <v>4235</v>
      </c>
      <c r="G132" cm="1">
        <f t="array" ref="G132:H136">LINEST(B136:B139,A136:A139,1,1)</f>
        <v>141.70000000000002</v>
      </c>
      <c r="H132">
        <v>2733.7</v>
      </c>
      <c r="J132" cm="1">
        <f t="array" ref="J132:K136">LINEST(B132:B139,A132:A139,1,1)</f>
        <v>-33.833333333333329</v>
      </c>
      <c r="K132">
        <v>3887.75</v>
      </c>
    </row>
    <row r="133" spans="1:11">
      <c r="A133" s="40">
        <f t="shared" si="5"/>
        <v>2</v>
      </c>
      <c r="B133" s="41">
        <v>3870</v>
      </c>
      <c r="D133">
        <v>12.990381056766585</v>
      </c>
      <c r="E133">
        <v>35.575623676894281</v>
      </c>
      <c r="G133">
        <v>21.336119609713485</v>
      </c>
      <c r="H133">
        <v>140.72137364309663</v>
      </c>
      <c r="J133">
        <v>31.560148754687283</v>
      </c>
      <c r="K133">
        <v>159.37093910170302</v>
      </c>
    </row>
    <row r="134" spans="1:11">
      <c r="A134" s="40">
        <f t="shared" si="5"/>
        <v>3</v>
      </c>
      <c r="B134" s="41">
        <v>3725</v>
      </c>
      <c r="D134">
        <v>0.98811358133392035</v>
      </c>
      <c r="E134">
        <v>29.047375096555641</v>
      </c>
      <c r="G134">
        <v>0.95662276344908248</v>
      </c>
      <c r="H134">
        <v>47.709013823385632</v>
      </c>
      <c r="J134">
        <v>0.16075018946993008</v>
      </c>
      <c r="K134">
        <v>204.53314048230803</v>
      </c>
    </row>
    <row r="135" spans="1:11">
      <c r="A135" s="40">
        <f t="shared" si="5"/>
        <v>4</v>
      </c>
      <c r="B135" s="41">
        <v>3580</v>
      </c>
      <c r="D135">
        <v>166.2592592592591</v>
      </c>
      <c r="E135">
        <v>2</v>
      </c>
      <c r="G135">
        <v>44.107132658216699</v>
      </c>
      <c r="H135">
        <v>2</v>
      </c>
      <c r="J135">
        <v>1.1492420072283385</v>
      </c>
      <c r="K135">
        <v>6</v>
      </c>
    </row>
    <row r="136" spans="1:11">
      <c r="A136" s="42">
        <f t="shared" si="5"/>
        <v>5</v>
      </c>
      <c r="B136" s="43">
        <v>3478</v>
      </c>
      <c r="D136">
        <v>140281.25</v>
      </c>
      <c r="E136">
        <v>1687.5000000000016</v>
      </c>
      <c r="G136">
        <v>100394.45</v>
      </c>
      <c r="H136">
        <v>4552.3000000000029</v>
      </c>
      <c r="J136">
        <v>48077.166666666686</v>
      </c>
      <c r="K136">
        <v>251002.83333333331</v>
      </c>
    </row>
    <row r="137" spans="1:11">
      <c r="A137" s="42">
        <f t="shared" si="5"/>
        <v>6</v>
      </c>
      <c r="B137" s="43">
        <v>3543</v>
      </c>
    </row>
    <row r="138" spans="1:11">
      <c r="A138" s="42">
        <f t="shared" si="5"/>
        <v>7</v>
      </c>
      <c r="B138" s="43">
        <v>3700</v>
      </c>
      <c r="D138" t="s">
        <v>159</v>
      </c>
      <c r="E138">
        <f>E136</f>
        <v>1687.5000000000016</v>
      </c>
      <c r="G138" t="s">
        <v>160</v>
      </c>
      <c r="H138">
        <f>H136</f>
        <v>4552.3000000000029</v>
      </c>
      <c r="J138" t="s">
        <v>161</v>
      </c>
      <c r="K138">
        <f>K136</f>
        <v>251002.83333333331</v>
      </c>
    </row>
    <row r="139" spans="1:11">
      <c r="A139" s="42">
        <f t="shared" si="5"/>
        <v>8</v>
      </c>
      <c r="B139" s="43">
        <v>3898</v>
      </c>
    </row>
    <row r="140" spans="1:11">
      <c r="A140" s="44">
        <f t="shared" si="5"/>
        <v>9</v>
      </c>
      <c r="B140" s="45">
        <v>4306</v>
      </c>
      <c r="D140" t="s">
        <v>162</v>
      </c>
      <c r="E140">
        <f>E138+H138</f>
        <v>6239.8000000000047</v>
      </c>
      <c r="G140" t="s">
        <v>40</v>
      </c>
      <c r="H140">
        <f>((K138-E140)/E141)/(E140/E142)</f>
        <v>78.452204664679357</v>
      </c>
    </row>
    <row r="141" spans="1:11">
      <c r="A141" s="44">
        <f t="shared" si="5"/>
        <v>10</v>
      </c>
      <c r="B141" s="45">
        <v>4693</v>
      </c>
      <c r="D141" t="s">
        <v>163</v>
      </c>
      <c r="E141">
        <v>2</v>
      </c>
    </row>
    <row r="142" spans="1:11">
      <c r="A142" s="44">
        <f t="shared" si="5"/>
        <v>11</v>
      </c>
      <c r="B142" s="45">
        <v>5198</v>
      </c>
      <c r="D142" t="s">
        <v>164</v>
      </c>
      <c r="E142">
        <f>8-4</f>
        <v>4</v>
      </c>
      <c r="G142" t="s">
        <v>165</v>
      </c>
      <c r="H142">
        <f>FINV(0.05,E141,E142)</f>
        <v>6.9442719099991574</v>
      </c>
    </row>
    <row r="143" spans="1:11">
      <c r="A143" s="44">
        <f t="shared" si="5"/>
        <v>12</v>
      </c>
      <c r="B143" s="45">
        <v>5859</v>
      </c>
    </row>
    <row r="144" spans="1:11">
      <c r="D144" t="s">
        <v>157</v>
      </c>
      <c r="G144" t="s">
        <v>166</v>
      </c>
      <c r="J144" t="s">
        <v>158</v>
      </c>
    </row>
    <row r="145" spans="4:11">
      <c r="D145" cm="1">
        <f t="array" ref="D145:E149">LINEST(B136:B139,A136:A139,1,1)</f>
        <v>141.70000000000002</v>
      </c>
      <c r="E145">
        <v>2733.7</v>
      </c>
      <c r="G145" cm="1">
        <f t="array" ref="G145:H149">LINEST(B140:B143,A140:A143,1,1)</f>
        <v>516.4</v>
      </c>
      <c r="H145">
        <v>-408.19999999999982</v>
      </c>
      <c r="J145" cm="1">
        <f t="array" ref="J145:K149">LINEST(B136:B143,A136:A143,1,1)</f>
        <v>337.25000000000006</v>
      </c>
      <c r="K145">
        <v>1467.7499999999995</v>
      </c>
    </row>
    <row r="146" spans="4:11">
      <c r="D146">
        <v>21.336119609713485</v>
      </c>
      <c r="E146">
        <v>140.72137364309663</v>
      </c>
      <c r="G146">
        <v>43.406451133443262</v>
      </c>
      <c r="H146">
        <v>458.34417199305562</v>
      </c>
      <c r="J146">
        <v>38.590043641514171</v>
      </c>
      <c r="K146">
        <v>339.72391553978434</v>
      </c>
    </row>
    <row r="147" spans="4:11">
      <c r="D147">
        <v>0.95662276344908248</v>
      </c>
      <c r="E147">
        <v>47.709013823385632</v>
      </c>
      <c r="G147">
        <v>0.98606611812280265</v>
      </c>
      <c r="H147">
        <v>97.059775396401946</v>
      </c>
      <c r="J147">
        <v>0.92716270216789343</v>
      </c>
      <c r="K147">
        <v>250.09206638089637</v>
      </c>
    </row>
    <row r="148" spans="4:11">
      <c r="D148">
        <v>44.107132658216699</v>
      </c>
      <c r="E148">
        <v>2</v>
      </c>
      <c r="G148">
        <v>141.53501900091302</v>
      </c>
      <c r="H148">
        <v>2</v>
      </c>
      <c r="J148">
        <v>76.375378804280828</v>
      </c>
      <c r="K148">
        <v>6</v>
      </c>
    </row>
    <row r="149" spans="4:11">
      <c r="D149">
        <v>100394.45</v>
      </c>
      <c r="E149">
        <v>4552.3000000000029</v>
      </c>
      <c r="G149">
        <v>1333344.8</v>
      </c>
      <c r="H149">
        <v>18841.199999999983</v>
      </c>
      <c r="J149">
        <v>4776977.625</v>
      </c>
      <c r="K149">
        <v>375276.25000000006</v>
      </c>
    </row>
    <row r="151" spans="4:11">
      <c r="D151" t="s">
        <v>160</v>
      </c>
      <c r="E151">
        <f>H138</f>
        <v>4552.3000000000029</v>
      </c>
      <c r="G151" t="s">
        <v>167</v>
      </c>
      <c r="H151">
        <f>H149</f>
        <v>18841.199999999983</v>
      </c>
      <c r="J151" t="s">
        <v>161</v>
      </c>
      <c r="K151">
        <f>K149</f>
        <v>375276.25000000006</v>
      </c>
    </row>
    <row r="153" spans="4:11">
      <c r="D153" t="s">
        <v>162</v>
      </c>
      <c r="E153">
        <f>E151+H151</f>
        <v>23393.499999999985</v>
      </c>
      <c r="G153" t="s">
        <v>40</v>
      </c>
      <c r="H153">
        <f>((K151-E153)/E154)/(E153/E155)</f>
        <v>30.08380533054056</v>
      </c>
    </row>
    <row r="154" spans="4:11">
      <c r="D154" t="s">
        <v>163</v>
      </c>
      <c r="E154">
        <v>2</v>
      </c>
    </row>
    <row r="155" spans="4:11">
      <c r="D155" t="s">
        <v>164</v>
      </c>
      <c r="E155">
        <f>8-4</f>
        <v>4</v>
      </c>
      <c r="G155" t="s">
        <v>165</v>
      </c>
      <c r="H155">
        <f>FINV(0.05,E154,E155)</f>
        <v>6.9442719099991574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D2CF-6FB9-4274-85C3-6CC3F8862F95}">
  <dimension ref="A1:S243"/>
  <sheetViews>
    <sheetView topLeftCell="A114" workbookViewId="0">
      <selection activeCell="N121" sqref="N121"/>
    </sheetView>
  </sheetViews>
  <sheetFormatPr defaultRowHeight="14.5"/>
  <cols>
    <col min="3" max="5" width="9.26953125" bestFit="1" customWidth="1"/>
    <col min="13" max="13" width="12.81640625" bestFit="1" customWidth="1"/>
    <col min="17" max="17" width="13" customWidth="1"/>
    <col min="18" max="18" width="17.1796875" customWidth="1"/>
  </cols>
  <sheetData>
    <row r="1" spans="1:4">
      <c r="B1" t="s">
        <v>131</v>
      </c>
    </row>
    <row r="2" spans="1:4" ht="29.25" customHeight="1">
      <c r="A2" s="447" t="s">
        <v>1</v>
      </c>
      <c r="B2" s="7" t="s">
        <v>82</v>
      </c>
      <c r="C2" s="448" t="s">
        <v>2</v>
      </c>
    </row>
    <row r="3" spans="1:4">
      <c r="A3" s="50">
        <v>2010</v>
      </c>
      <c r="B3" s="7">
        <v>1</v>
      </c>
      <c r="C3" s="51">
        <v>6313</v>
      </c>
      <c r="D3">
        <v>1</v>
      </c>
    </row>
    <row r="4" spans="1:4">
      <c r="A4" s="50">
        <v>2011</v>
      </c>
      <c r="B4" s="7">
        <v>2</v>
      </c>
      <c r="C4" s="51">
        <v>6272</v>
      </c>
    </row>
    <row r="5" spans="1:4">
      <c r="A5" s="50">
        <v>2012</v>
      </c>
      <c r="B5" s="7">
        <v>3</v>
      </c>
      <c r="C5" s="51">
        <v>5835</v>
      </c>
    </row>
    <row r="6" spans="1:4">
      <c r="A6" s="50">
        <v>2013</v>
      </c>
      <c r="B6" s="7">
        <v>4</v>
      </c>
      <c r="C6" s="51">
        <v>5919</v>
      </c>
      <c r="D6">
        <v>2</v>
      </c>
    </row>
    <row r="7" spans="1:4">
      <c r="A7" s="50">
        <v>2014</v>
      </c>
      <c r="B7" s="7">
        <v>5</v>
      </c>
      <c r="C7" s="51">
        <v>6105</v>
      </c>
    </row>
    <row r="8" spans="1:4">
      <c r="A8" s="50">
        <v>2015</v>
      </c>
      <c r="B8" s="7">
        <v>6</v>
      </c>
      <c r="C8" s="51">
        <v>6113</v>
      </c>
    </row>
    <row r="9" spans="1:4">
      <c r="A9" s="50">
        <v>2016</v>
      </c>
      <c r="B9" s="7">
        <v>7</v>
      </c>
      <c r="C9" s="51">
        <v>6109</v>
      </c>
    </row>
    <row r="10" spans="1:4">
      <c r="A10" s="50">
        <v>2017</v>
      </c>
      <c r="B10" s="7">
        <v>8</v>
      </c>
      <c r="C10" s="51">
        <v>6279</v>
      </c>
    </row>
    <row r="11" spans="1:4">
      <c r="A11" s="50">
        <v>2018</v>
      </c>
      <c r="B11" s="7">
        <v>9</v>
      </c>
      <c r="C11" s="51">
        <v>6395</v>
      </c>
    </row>
    <row r="12" spans="1:4">
      <c r="A12" s="50">
        <v>2019</v>
      </c>
      <c r="B12" s="7">
        <v>10</v>
      </c>
      <c r="C12" s="51">
        <v>6572</v>
      </c>
      <c r="D12">
        <v>3</v>
      </c>
    </row>
    <row r="13" spans="1:4">
      <c r="A13" s="50">
        <v>2020</v>
      </c>
      <c r="B13" s="7">
        <v>11</v>
      </c>
      <c r="C13" s="51">
        <v>6840</v>
      </c>
    </row>
    <row r="14" spans="1:4">
      <c r="A14" s="50">
        <v>2021</v>
      </c>
      <c r="B14" s="7">
        <v>12</v>
      </c>
      <c r="C14" s="51">
        <v>7781</v>
      </c>
    </row>
    <row r="15" spans="1:4">
      <c r="A15" s="22"/>
      <c r="C15" s="47"/>
    </row>
    <row r="17" spans="1:17">
      <c r="A17" t="s">
        <v>168</v>
      </c>
    </row>
    <row r="18" spans="1:17">
      <c r="A18" t="s">
        <v>169</v>
      </c>
    </row>
    <row r="19" spans="1:17">
      <c r="A19" t="s">
        <v>170</v>
      </c>
    </row>
    <row r="20" spans="1:17">
      <c r="A20" t="s">
        <v>171</v>
      </c>
    </row>
    <row r="22" spans="1:17">
      <c r="B22" t="s">
        <v>172</v>
      </c>
    </row>
    <row r="24" spans="1:17" ht="16.5">
      <c r="C24" s="6" t="s">
        <v>173</v>
      </c>
      <c r="D24" s="6" t="s">
        <v>14</v>
      </c>
      <c r="E24" s="6" t="s">
        <v>174</v>
      </c>
      <c r="F24" s="6">
        <v>1</v>
      </c>
      <c r="H24" s="9" t="s">
        <v>14</v>
      </c>
      <c r="I24" s="9" t="s">
        <v>175</v>
      </c>
      <c r="J24" s="5"/>
      <c r="P24" s="449" t="s">
        <v>176</v>
      </c>
      <c r="Q24" s="8" cm="1">
        <f t="array" ref="Q24">D25-MMULT(TRANSPOSE(_xlfn.ANCHORARRAY(M26)),_xlfn.ANCHORARRAY(D26))</f>
        <v>26136</v>
      </c>
    </row>
    <row r="25" spans="1:17" ht="16.5">
      <c r="C25" s="6" t="s">
        <v>14</v>
      </c>
      <c r="D25" s="7">
        <f>SUMSQ(C3:C5)</f>
        <v>113239178</v>
      </c>
      <c r="E25" s="7">
        <f>D26</f>
        <v>36362</v>
      </c>
      <c r="F25" s="7">
        <f>D27</f>
        <v>18420</v>
      </c>
      <c r="H25" s="16">
        <f>C3</f>
        <v>6313</v>
      </c>
      <c r="I25" s="10">
        <v>1</v>
      </c>
      <c r="J25" s="9">
        <v>1</v>
      </c>
      <c r="K25" s="752" t="s">
        <v>177</v>
      </c>
      <c r="L25" s="753"/>
      <c r="M25" s="450" t="s">
        <v>178</v>
      </c>
      <c r="P25" s="754" t="s">
        <v>179</v>
      </c>
      <c r="Q25" s="755"/>
    </row>
    <row r="26" spans="1:17">
      <c r="C26" s="6" t="s">
        <v>174</v>
      </c>
      <c r="D26" s="7" cm="1">
        <f t="array" ref="D26:D27">MMULT(TRANSPOSE(I25:J27),H25:H27)</f>
        <v>36362</v>
      </c>
      <c r="E26" s="7" cm="1">
        <f t="array" ref="E26:F27">MMULT(TRANSPOSE(I25:J27),I25:J27)</f>
        <v>14</v>
      </c>
      <c r="F26" s="7">
        <v>6</v>
      </c>
      <c r="H26" s="16">
        <f>C4</f>
        <v>6272</v>
      </c>
      <c r="I26" s="10">
        <v>2</v>
      </c>
      <c r="J26" s="9">
        <v>1</v>
      </c>
      <c r="K26" s="14" cm="1">
        <f t="array" ref="K26:L27">MINVERSE(_xlfn.ANCHORARRAY(E26))</f>
        <v>0.49999999999999972</v>
      </c>
      <c r="L26" s="7">
        <v>-0.99999999999999944</v>
      </c>
      <c r="M26" s="11" cm="1">
        <f t="array" ref="M26:M27">MMULT(_xlfn.ANCHORARRAY(K26),_xlfn.ANCHORARRAY(D26))</f>
        <v>-239</v>
      </c>
      <c r="N26" s="9" t="s">
        <v>82</v>
      </c>
    </row>
    <row r="27" spans="1:17">
      <c r="C27" s="6">
        <v>1</v>
      </c>
      <c r="D27" s="7">
        <v>18420</v>
      </c>
      <c r="E27" s="7">
        <v>6</v>
      </c>
      <c r="F27" s="7">
        <v>3</v>
      </c>
      <c r="H27" s="16">
        <f>C5</f>
        <v>5835</v>
      </c>
      <c r="I27" s="10">
        <v>3</v>
      </c>
      <c r="J27" s="19">
        <v>1</v>
      </c>
      <c r="K27" s="7">
        <v>-0.99999999999999933</v>
      </c>
      <c r="L27" s="7">
        <v>2.3333333333333321</v>
      </c>
      <c r="M27" s="11">
        <v>6618</v>
      </c>
      <c r="N27" s="9" t="s">
        <v>83</v>
      </c>
    </row>
    <row r="29" spans="1:17">
      <c r="B29" t="s">
        <v>180</v>
      </c>
    </row>
    <row r="31" spans="1:17" ht="16.5">
      <c r="C31" s="6" t="s">
        <v>173</v>
      </c>
      <c r="D31" s="6" t="s">
        <v>14</v>
      </c>
      <c r="E31" s="6" t="s">
        <v>174</v>
      </c>
      <c r="F31" s="6">
        <v>1</v>
      </c>
      <c r="H31" s="9" t="s">
        <v>14</v>
      </c>
      <c r="I31" s="9" t="s">
        <v>175</v>
      </c>
      <c r="J31" s="5"/>
      <c r="P31" s="449" t="s">
        <v>181</v>
      </c>
      <c r="Q31" s="8" cm="1">
        <f t="array" ref="Q31">D32-MMULT(TRANSPOSE(_xlfn.ANCHORARRAY(M36)),_xlfn.ANCHORARRAY(D33))</f>
        <v>15058.133334010839</v>
      </c>
    </row>
    <row r="32" spans="1:17" ht="16.5">
      <c r="C32" s="6" t="s">
        <v>14</v>
      </c>
      <c r="D32" s="7">
        <f>SUMSQ(C6:C11)</f>
        <v>227316102</v>
      </c>
      <c r="E32" s="7">
        <f>D33</f>
        <v>241429</v>
      </c>
      <c r="F32" s="7">
        <f>D34</f>
        <v>36920</v>
      </c>
      <c r="H32" s="17">
        <f t="shared" ref="H32:H37" si="0">C6</f>
        <v>5919</v>
      </c>
      <c r="I32" s="20">
        <v>4</v>
      </c>
      <c r="J32" s="9">
        <v>1</v>
      </c>
      <c r="P32" s="754" t="s">
        <v>182</v>
      </c>
      <c r="Q32" s="755"/>
    </row>
    <row r="33" spans="2:17">
      <c r="C33" s="6" t="s">
        <v>174</v>
      </c>
      <c r="D33" s="7" cm="1">
        <f t="array" ref="D33:D34">MMULT(TRANSPOSE(I32:J37),H32:H37)</f>
        <v>241429</v>
      </c>
      <c r="E33" s="7" cm="1">
        <f t="array" ref="E33:F34">MMULT(TRANSPOSE(I32:J37),I32:J37)</f>
        <v>271</v>
      </c>
      <c r="F33" s="7">
        <v>39</v>
      </c>
      <c r="H33" s="17">
        <f t="shared" si="0"/>
        <v>6105</v>
      </c>
      <c r="I33" s="10">
        <v>5</v>
      </c>
      <c r="J33" s="9">
        <v>1</v>
      </c>
    </row>
    <row r="34" spans="2:17">
      <c r="C34" s="6">
        <v>1</v>
      </c>
      <c r="D34" s="7">
        <v>36920</v>
      </c>
      <c r="E34" s="7">
        <v>39</v>
      </c>
      <c r="F34" s="7">
        <v>6</v>
      </c>
      <c r="H34" s="17">
        <f t="shared" si="0"/>
        <v>6113</v>
      </c>
      <c r="I34" s="20">
        <v>6</v>
      </c>
      <c r="J34" s="9">
        <v>1</v>
      </c>
    </row>
    <row r="35" spans="2:17" ht="16.5">
      <c r="H35" s="17">
        <f t="shared" si="0"/>
        <v>6109</v>
      </c>
      <c r="I35" s="10">
        <v>7</v>
      </c>
      <c r="J35" s="9">
        <v>1</v>
      </c>
      <c r="K35" s="12" t="s">
        <v>177</v>
      </c>
      <c r="L35" s="13"/>
      <c r="M35" s="450" t="s">
        <v>178</v>
      </c>
    </row>
    <row r="36" spans="2:17">
      <c r="H36" s="17">
        <f t="shared" si="0"/>
        <v>6279</v>
      </c>
      <c r="I36" s="20">
        <v>8</v>
      </c>
      <c r="J36" s="15">
        <v>1</v>
      </c>
      <c r="K36" s="14" cm="1">
        <f t="array" ref="K36:L37">MINVERSE(_xlfn.ANCHORARRAY(E33))</f>
        <v>5.7142857142857162E-2</v>
      </c>
      <c r="L36" s="7">
        <v>-0.37142857142857161</v>
      </c>
      <c r="M36" s="11" cm="1">
        <f t="array" ref="M36:M37">MMULT(_xlfn.ANCHORARRAY(K36),_xlfn.ANCHORARRAY(D33))</f>
        <v>82.799999999997453</v>
      </c>
      <c r="N36" s="9" t="s">
        <v>82</v>
      </c>
    </row>
    <row r="37" spans="2:17">
      <c r="H37" s="16">
        <f t="shared" si="0"/>
        <v>6395</v>
      </c>
      <c r="I37" s="9">
        <v>9</v>
      </c>
      <c r="J37" s="9">
        <v>1</v>
      </c>
      <c r="K37" s="14">
        <v>-0.37142857142857155</v>
      </c>
      <c r="L37" s="7">
        <v>2.580952380952382</v>
      </c>
      <c r="M37" s="11">
        <v>5615.1333333333314</v>
      </c>
      <c r="N37" s="9" t="s">
        <v>83</v>
      </c>
    </row>
    <row r="38" spans="2:17">
      <c r="H38" s="52"/>
      <c r="I38" s="5"/>
      <c r="J38" s="5"/>
    </row>
    <row r="40" spans="2:17">
      <c r="B40" t="s">
        <v>183</v>
      </c>
    </row>
    <row r="42" spans="2:17" ht="16.5">
      <c r="C42" s="6" t="s">
        <v>173</v>
      </c>
      <c r="D42" s="6" t="s">
        <v>14</v>
      </c>
      <c r="E42" s="6" t="s">
        <v>174</v>
      </c>
      <c r="F42" s="6">
        <v>1</v>
      </c>
      <c r="H42" s="9" t="s">
        <v>14</v>
      </c>
      <c r="I42" s="9" t="s">
        <v>175</v>
      </c>
      <c r="J42" s="5"/>
      <c r="P42" s="449" t="s">
        <v>184</v>
      </c>
      <c r="Q42" s="8" cm="1">
        <f t="array" ref="Q42">D43-MMULT(TRANSPOSE(_xlfn.ANCHORARRAY(M44)),_xlfn.ANCHORARRAY(D44))</f>
        <v>75488.166663378477</v>
      </c>
    </row>
    <row r="43" spans="2:17" ht="16.5">
      <c r="C43" s="6" t="s">
        <v>14</v>
      </c>
      <c r="D43" s="7">
        <f>SUMSQ(C12:C14)</f>
        <v>150520745</v>
      </c>
      <c r="E43" s="7">
        <f>D44</f>
        <v>234332</v>
      </c>
      <c r="F43" s="7">
        <f>D45</f>
        <v>21193</v>
      </c>
      <c r="H43" s="16" cm="1">
        <f t="array" ref="H43:H45">C12:C14</f>
        <v>6572</v>
      </c>
      <c r="I43" s="10">
        <v>10</v>
      </c>
      <c r="J43" s="9">
        <v>1</v>
      </c>
      <c r="K43" s="752" t="s">
        <v>177</v>
      </c>
      <c r="L43" s="753"/>
      <c r="M43" s="450" t="s">
        <v>178</v>
      </c>
      <c r="P43" s="754" t="s">
        <v>185</v>
      </c>
      <c r="Q43" s="755"/>
    </row>
    <row r="44" spans="2:17">
      <c r="C44" s="6" t="s">
        <v>174</v>
      </c>
      <c r="D44" s="7" cm="1">
        <f t="array" ref="D44:D45">MMULT(TRANSPOSE(I43:J45),_xlfn.ANCHORARRAY(H43))</f>
        <v>234332</v>
      </c>
      <c r="E44" s="7" cm="1">
        <f t="array" ref="E44:F45">MMULT(TRANSPOSE(I43:J45),I43:J45)</f>
        <v>365</v>
      </c>
      <c r="F44" s="7">
        <v>33</v>
      </c>
      <c r="H44" s="9">
        <v>6840</v>
      </c>
      <c r="I44" s="10">
        <v>11</v>
      </c>
      <c r="J44" s="19">
        <v>1</v>
      </c>
      <c r="K44" s="7" cm="1">
        <f t="array" ref="K44:L45">MINVERSE(_xlfn.ANCHORARRAY(E44))</f>
        <v>0.50000000000000877</v>
      </c>
      <c r="L44" s="7">
        <v>-5.5000000000000968</v>
      </c>
      <c r="M44" s="11" cm="1">
        <f t="array" ref="M44:M45">MMULT(_xlfn.ANCHORARRAY(K44),_xlfn.ANCHORARRAY(D44))</f>
        <v>604.5</v>
      </c>
      <c r="N44" s="9" t="s">
        <v>82</v>
      </c>
    </row>
    <row r="45" spans="2:17">
      <c r="C45" s="6">
        <v>1</v>
      </c>
      <c r="D45" s="7">
        <v>21193</v>
      </c>
      <c r="E45" s="7">
        <v>33</v>
      </c>
      <c r="F45" s="7">
        <v>3</v>
      </c>
      <c r="H45" s="9">
        <v>7781</v>
      </c>
      <c r="I45" s="10">
        <v>12</v>
      </c>
      <c r="J45" s="10">
        <v>1</v>
      </c>
      <c r="K45" s="7">
        <v>-5.5000000000000968</v>
      </c>
      <c r="L45" s="7">
        <v>60.833333333334402</v>
      </c>
      <c r="M45" s="11">
        <v>414.83333333348855</v>
      </c>
      <c r="N45" s="9" t="s">
        <v>83</v>
      </c>
    </row>
    <row r="47" spans="2:17">
      <c r="B47" t="s">
        <v>186</v>
      </c>
    </row>
    <row r="49" spans="3:19">
      <c r="C49" s="6" t="s">
        <v>173</v>
      </c>
      <c r="D49" s="6" t="s">
        <v>14</v>
      </c>
      <c r="E49" s="6" t="s">
        <v>174</v>
      </c>
      <c r="F49" s="6">
        <v>1</v>
      </c>
      <c r="H49" s="15" t="s">
        <v>14</v>
      </c>
      <c r="I49" s="15" t="s">
        <v>175</v>
      </c>
      <c r="L49" s="449" t="s">
        <v>187</v>
      </c>
      <c r="M49" s="8">
        <f>D50-((D52^2)/12)</f>
        <v>2967684.25</v>
      </c>
    </row>
    <row r="50" spans="3:19" ht="16.5">
      <c r="C50" s="6" t="s">
        <v>14</v>
      </c>
      <c r="D50" s="7">
        <f>SUMSQ(C3:C14)</f>
        <v>491076025</v>
      </c>
      <c r="E50" s="7">
        <f>D51</f>
        <v>512123</v>
      </c>
      <c r="F50" s="7">
        <f>D52</f>
        <v>76533</v>
      </c>
      <c r="H50" s="21">
        <f t="shared" ref="H50:H61" si="1">C3</f>
        <v>6313</v>
      </c>
      <c r="I50" s="11">
        <f t="shared" ref="I50:I61" si="2">B3</f>
        <v>1</v>
      </c>
      <c r="J50" s="7">
        <v>1</v>
      </c>
      <c r="L50" s="451" t="s">
        <v>188</v>
      </c>
      <c r="M50" s="23" cm="1">
        <f t="array" ref="M50">D50-MMULT(TRANSPOSE(_xlfn.ANCHORARRAY(E59)),_xlfn.ANCHORARRAY(D51))</f>
        <v>1465085.4930070043</v>
      </c>
    </row>
    <row r="51" spans="3:19" ht="16.5">
      <c r="C51" s="6" t="s">
        <v>174</v>
      </c>
      <c r="D51" s="7" cm="1">
        <f t="array" ref="D51:D52">_xlfn.ANCHORARRAY(E55)</f>
        <v>512123</v>
      </c>
      <c r="E51" s="7" cm="1">
        <f t="array" ref="E51:F52">_xlfn.ANCHORARRAY(C55)</f>
        <v>650</v>
      </c>
      <c r="F51" s="7">
        <v>78</v>
      </c>
      <c r="H51" s="21">
        <f t="shared" si="1"/>
        <v>6272</v>
      </c>
      <c r="I51" s="11">
        <f t="shared" si="2"/>
        <v>2</v>
      </c>
      <c r="J51" s="7">
        <v>1</v>
      </c>
      <c r="L51" s="451" t="s">
        <v>189</v>
      </c>
      <c r="M51" s="23">
        <f>SUM(Q24,Q31,Q42)</f>
        <v>116682.29999738932</v>
      </c>
      <c r="O51" s="756" t="s">
        <v>190</v>
      </c>
      <c r="P51" s="757"/>
      <c r="Q51" s="757"/>
      <c r="R51" s="757"/>
      <c r="S51" s="758"/>
    </row>
    <row r="52" spans="3:19" ht="17.5">
      <c r="C52" s="6">
        <v>1</v>
      </c>
      <c r="D52" s="7">
        <v>76533</v>
      </c>
      <c r="E52" s="7">
        <v>78</v>
      </c>
      <c r="F52" s="7">
        <v>12</v>
      </c>
      <c r="H52" s="21">
        <f t="shared" si="1"/>
        <v>5835</v>
      </c>
      <c r="I52" s="11">
        <f t="shared" si="2"/>
        <v>3</v>
      </c>
      <c r="J52" s="7">
        <v>1</v>
      </c>
      <c r="L52" s="451" t="s">
        <v>191</v>
      </c>
      <c r="M52" s="23">
        <f>1-(M51/M49)</f>
        <v>0.96068237380799881</v>
      </c>
      <c r="O52" s="27" t="s">
        <v>29</v>
      </c>
      <c r="P52" s="28" t="s">
        <v>29</v>
      </c>
      <c r="Q52" s="28" t="s">
        <v>29</v>
      </c>
      <c r="R52" s="28" t="s">
        <v>29</v>
      </c>
      <c r="S52" s="29" t="s">
        <v>29</v>
      </c>
    </row>
    <row r="53" spans="3:19">
      <c r="H53" s="21">
        <f t="shared" si="1"/>
        <v>5919</v>
      </c>
      <c r="I53" s="11">
        <f t="shared" si="2"/>
        <v>4</v>
      </c>
      <c r="J53" s="7">
        <v>1</v>
      </c>
      <c r="L53" s="451" t="s">
        <v>192</v>
      </c>
      <c r="M53" s="23">
        <f>SQRT(M51/8)</f>
        <v>120.76956363121325</v>
      </c>
      <c r="O53" s="27" t="s">
        <v>29</v>
      </c>
      <c r="P53" s="31"/>
      <c r="Q53" s="28"/>
      <c r="R53" s="30"/>
      <c r="S53" s="29" t="s">
        <v>29</v>
      </c>
    </row>
    <row r="54" spans="3:19" ht="16.5">
      <c r="C54" s="748" t="s">
        <v>193</v>
      </c>
      <c r="D54" s="749"/>
      <c r="E54" s="454" t="s">
        <v>194</v>
      </c>
      <c r="F54" s="22"/>
      <c r="H54" s="21">
        <f t="shared" si="1"/>
        <v>6105</v>
      </c>
      <c r="I54" s="11">
        <f t="shared" si="2"/>
        <v>5</v>
      </c>
      <c r="J54" s="7">
        <v>1</v>
      </c>
      <c r="L54" s="451" t="s">
        <v>195</v>
      </c>
      <c r="M54" s="23">
        <f>TINV(0.05,8)</f>
        <v>2.3060041352041671</v>
      </c>
      <c r="O54" s="27" t="s">
        <v>29</v>
      </c>
      <c r="P54" s="35" t="s">
        <v>196</v>
      </c>
      <c r="Q54" s="36"/>
      <c r="R54" s="30" t="s">
        <v>197</v>
      </c>
      <c r="S54" s="29" t="s">
        <v>29</v>
      </c>
    </row>
    <row r="55" spans="3:19">
      <c r="C55" s="24" cm="1">
        <f t="array" ref="C55:D56">MMULT(TRANSPOSE(I50:J61),I50:J61)</f>
        <v>650</v>
      </c>
      <c r="D55" s="25">
        <v>78</v>
      </c>
      <c r="E55" s="25" cm="1">
        <f t="array" ref="E55:E56">MMULT(TRANSPOSE(I50:J61),H50:H61)</f>
        <v>512123</v>
      </c>
      <c r="F55" s="22"/>
      <c r="H55" s="21">
        <f t="shared" si="1"/>
        <v>6113</v>
      </c>
      <c r="I55" s="11">
        <f t="shared" si="2"/>
        <v>6</v>
      </c>
      <c r="J55" s="7">
        <v>1</v>
      </c>
      <c r="L55" s="22"/>
      <c r="M55" s="22"/>
      <c r="O55" s="27" t="s">
        <v>198</v>
      </c>
      <c r="P55" s="35" t="s">
        <v>199</v>
      </c>
      <c r="Q55" s="36"/>
      <c r="R55" s="30" t="s">
        <v>200</v>
      </c>
      <c r="S55" s="29" t="s">
        <v>29</v>
      </c>
    </row>
    <row r="56" spans="3:19" ht="16.5">
      <c r="C56" s="24">
        <v>78</v>
      </c>
      <c r="D56" s="25">
        <v>12</v>
      </c>
      <c r="E56" s="25">
        <v>76533</v>
      </c>
      <c r="F56" s="22"/>
      <c r="H56" s="21">
        <f t="shared" si="1"/>
        <v>6109</v>
      </c>
      <c r="I56" s="11">
        <f t="shared" si="2"/>
        <v>7</v>
      </c>
      <c r="J56" s="7">
        <v>1</v>
      </c>
      <c r="L56" s="449" t="s">
        <v>201</v>
      </c>
      <c r="M56" s="8">
        <f>M53*SQRT(K26)</f>
        <v>85.396977404571118</v>
      </c>
      <c r="O56" s="27" t="s">
        <v>29</v>
      </c>
      <c r="P56" s="35" t="s">
        <v>202</v>
      </c>
      <c r="Q56" s="36"/>
      <c r="R56" s="30" t="s">
        <v>203</v>
      </c>
      <c r="S56" s="29" t="s">
        <v>29</v>
      </c>
    </row>
    <row r="57" spans="3:19" ht="16.5">
      <c r="C57" s="22"/>
      <c r="D57" s="22"/>
      <c r="E57" s="22"/>
      <c r="F57" s="22"/>
      <c r="H57" s="21">
        <f t="shared" si="1"/>
        <v>6279</v>
      </c>
      <c r="I57" s="11">
        <f t="shared" si="2"/>
        <v>8</v>
      </c>
      <c r="J57" s="7">
        <v>1</v>
      </c>
      <c r="L57" s="451" t="s">
        <v>204</v>
      </c>
      <c r="M57" s="23">
        <f>M26/M56</f>
        <v>-2.7986939030374494</v>
      </c>
      <c r="O57" s="27" t="s">
        <v>29</v>
      </c>
      <c r="P57" s="31"/>
      <c r="Q57" s="28"/>
      <c r="R57" s="30"/>
      <c r="S57" s="29" t="s">
        <v>29</v>
      </c>
    </row>
    <row r="58" spans="3:19">
      <c r="C58" s="750" t="s">
        <v>205</v>
      </c>
      <c r="D58" s="751"/>
      <c r="E58" s="454" t="s">
        <v>206</v>
      </c>
      <c r="F58" s="22"/>
      <c r="H58" s="21">
        <f t="shared" si="1"/>
        <v>6395</v>
      </c>
      <c r="I58" s="11">
        <f t="shared" si="2"/>
        <v>9</v>
      </c>
      <c r="J58" s="7">
        <v>1</v>
      </c>
      <c r="L58" s="22"/>
      <c r="M58" s="22"/>
      <c r="O58" s="32" t="s">
        <v>29</v>
      </c>
      <c r="P58" s="33" t="s">
        <v>29</v>
      </c>
      <c r="Q58" s="33" t="s">
        <v>29</v>
      </c>
      <c r="R58" s="33" t="s">
        <v>29</v>
      </c>
      <c r="S58" s="34" t="s">
        <v>29</v>
      </c>
    </row>
    <row r="59" spans="3:19" ht="16.5">
      <c r="C59" s="3" cm="1">
        <f t="array" ref="C59:D60">MINVERSE(_xlfn.ANCHORARRAY(C55))</f>
        <v>6.9930069930069921E-3</v>
      </c>
      <c r="D59" s="23">
        <v>-4.5454545454545449E-2</v>
      </c>
      <c r="E59" s="23" cm="1">
        <f t="array" ref="E59:E60">MMULT(_xlfn.ANCHORARRAY(C59),_xlfn.ANCHORARRAY(E55))</f>
        <v>102.50699300699262</v>
      </c>
      <c r="F59" s="454" t="s">
        <v>82</v>
      </c>
      <c r="H59" s="21">
        <f t="shared" si="1"/>
        <v>6572</v>
      </c>
      <c r="I59" s="11">
        <f t="shared" si="2"/>
        <v>10</v>
      </c>
      <c r="J59" s="7">
        <v>1</v>
      </c>
      <c r="L59" s="449" t="s">
        <v>207</v>
      </c>
      <c r="M59" s="8">
        <f>M53*SQRT(K36)</f>
        <v>28.86944751777132</v>
      </c>
    </row>
    <row r="60" spans="3:19" ht="16.5">
      <c r="C60" s="3">
        <v>-4.5454545454545442E-2</v>
      </c>
      <c r="D60" s="23">
        <v>0.37878787878787873</v>
      </c>
      <c r="E60" s="23">
        <v>5711.4545454545478</v>
      </c>
      <c r="F60" s="455" t="s">
        <v>83</v>
      </c>
      <c r="H60" s="53">
        <f t="shared" si="1"/>
        <v>6840</v>
      </c>
      <c r="I60" s="54">
        <f t="shared" si="2"/>
        <v>11</v>
      </c>
      <c r="J60" s="55">
        <v>1</v>
      </c>
      <c r="L60" s="451" t="s">
        <v>208</v>
      </c>
      <c r="M60" s="23">
        <f>M36/M59</f>
        <v>2.8680839821762372</v>
      </c>
    </row>
    <row r="61" spans="3:19">
      <c r="H61" s="21">
        <f t="shared" si="1"/>
        <v>7781</v>
      </c>
      <c r="I61" s="7">
        <f t="shared" si="2"/>
        <v>12</v>
      </c>
      <c r="J61" s="7">
        <v>1</v>
      </c>
      <c r="L61" s="22"/>
      <c r="M61" s="22"/>
    </row>
    <row r="62" spans="3:19" ht="16.5">
      <c r="H62" s="1"/>
      <c r="L62" s="449" t="s">
        <v>209</v>
      </c>
      <c r="M62" s="8">
        <f>M53*SQRT(K44)</f>
        <v>85.396977404571871</v>
      </c>
    </row>
    <row r="63" spans="3:19" ht="16.5">
      <c r="L63" s="451" t="s">
        <v>210</v>
      </c>
      <c r="M63" s="23">
        <f>M44/M62</f>
        <v>7.0787048719084646</v>
      </c>
    </row>
    <row r="65" spans="1:4">
      <c r="B65" t="s">
        <v>139</v>
      </c>
    </row>
    <row r="66" spans="1:4">
      <c r="A66" s="456" t="s">
        <v>1</v>
      </c>
      <c r="B66" t="s">
        <v>82</v>
      </c>
      <c r="C66" s="457" t="s">
        <v>2</v>
      </c>
    </row>
    <row r="67" spans="1:4">
      <c r="A67" s="3">
        <v>2010</v>
      </c>
      <c r="B67">
        <v>1</v>
      </c>
      <c r="C67" s="4">
        <v>8421</v>
      </c>
      <c r="D67">
        <v>1</v>
      </c>
    </row>
    <row r="68" spans="1:4">
      <c r="A68" s="3">
        <v>2011</v>
      </c>
      <c r="B68">
        <v>2</v>
      </c>
      <c r="C68" s="4">
        <v>8245</v>
      </c>
    </row>
    <row r="69" spans="1:4">
      <c r="A69" s="3">
        <v>2012</v>
      </c>
      <c r="B69">
        <v>3</v>
      </c>
      <c r="C69" s="4">
        <v>8022</v>
      </c>
    </row>
    <row r="70" spans="1:4">
      <c r="A70" s="3">
        <v>2013</v>
      </c>
      <c r="B70">
        <v>4</v>
      </c>
      <c r="C70" s="4">
        <v>7421</v>
      </c>
      <c r="D70">
        <v>2</v>
      </c>
    </row>
    <row r="71" spans="1:4">
      <c r="A71" s="3">
        <v>2014</v>
      </c>
      <c r="B71">
        <v>5</v>
      </c>
      <c r="C71" s="4">
        <v>7685</v>
      </c>
    </row>
    <row r="72" spans="1:4">
      <c r="A72" s="3">
        <v>2015</v>
      </c>
      <c r="B72">
        <v>6</v>
      </c>
      <c r="C72" s="4">
        <v>7664</v>
      </c>
    </row>
    <row r="73" spans="1:4">
      <c r="A73" s="3">
        <v>2016</v>
      </c>
      <c r="B73">
        <v>7</v>
      </c>
      <c r="C73" s="4">
        <v>7783</v>
      </c>
    </row>
    <row r="74" spans="1:4">
      <c r="A74" s="3">
        <v>2017</v>
      </c>
      <c r="B74">
        <v>8</v>
      </c>
      <c r="C74" s="4">
        <v>8200</v>
      </c>
    </row>
    <row r="75" spans="1:4">
      <c r="A75" s="3">
        <v>2018</v>
      </c>
      <c r="B75">
        <v>9</v>
      </c>
      <c r="C75" s="4">
        <v>8769</v>
      </c>
    </row>
    <row r="76" spans="1:4">
      <c r="A76" s="3">
        <v>2019</v>
      </c>
      <c r="B76">
        <v>10</v>
      </c>
      <c r="C76" s="4">
        <v>9073</v>
      </c>
      <c r="D76">
        <v>3</v>
      </c>
    </row>
    <row r="77" spans="1:4">
      <c r="A77" s="48">
        <v>2020</v>
      </c>
      <c r="B77">
        <v>11</v>
      </c>
      <c r="C77" s="49">
        <v>9901</v>
      </c>
    </row>
    <row r="78" spans="1:4">
      <c r="A78" s="50">
        <v>2021</v>
      </c>
      <c r="B78" s="7">
        <v>12</v>
      </c>
      <c r="C78" s="51">
        <v>11077</v>
      </c>
    </row>
    <row r="79" spans="1:4">
      <c r="A79" s="22"/>
      <c r="C79" s="47"/>
    </row>
    <row r="81" spans="1:17">
      <c r="A81" t="s">
        <v>168</v>
      </c>
    </row>
    <row r="82" spans="1:17">
      <c r="A82" t="s">
        <v>169</v>
      </c>
    </row>
    <row r="83" spans="1:17">
      <c r="A83" t="s">
        <v>170</v>
      </c>
    </row>
    <row r="84" spans="1:17">
      <c r="A84" t="s">
        <v>171</v>
      </c>
    </row>
    <row r="86" spans="1:17">
      <c r="B86" t="s">
        <v>172</v>
      </c>
    </row>
    <row r="88" spans="1:17" ht="16.5">
      <c r="C88" s="6" t="s">
        <v>173</v>
      </c>
      <c r="D88" s="6" t="s">
        <v>14</v>
      </c>
      <c r="E88" s="6" t="s">
        <v>174</v>
      </c>
      <c r="F88" s="6">
        <v>1</v>
      </c>
      <c r="H88" s="9" t="s">
        <v>14</v>
      </c>
      <c r="I88" s="9" t="s">
        <v>175</v>
      </c>
      <c r="J88" s="5"/>
      <c r="P88" s="449" t="s">
        <v>176</v>
      </c>
      <c r="Q88" s="8" cm="1">
        <f t="array" ref="Q88">D89-MMULT(TRANSPOSE(_xlfn.ANCHORARRAY(M90)),_xlfn.ANCHORARRAY(D90))</f>
        <v>368.16666659712791</v>
      </c>
    </row>
    <row r="89" spans="1:17" ht="16.5">
      <c r="C89" s="6" t="s">
        <v>14</v>
      </c>
      <c r="D89" s="7">
        <f>SUMSQ(C67:C69)</f>
        <v>203245750</v>
      </c>
      <c r="E89" s="7">
        <f>D90</f>
        <v>48977</v>
      </c>
      <c r="F89" s="7">
        <f>D91</f>
        <v>24688</v>
      </c>
      <c r="H89" s="16">
        <f>C67</f>
        <v>8421</v>
      </c>
      <c r="I89" s="10">
        <v>1</v>
      </c>
      <c r="J89" s="9">
        <v>1</v>
      </c>
      <c r="K89" s="752" t="s">
        <v>177</v>
      </c>
      <c r="L89" s="753"/>
      <c r="M89" s="450" t="s">
        <v>178</v>
      </c>
      <c r="P89" s="754" t="s">
        <v>211</v>
      </c>
      <c r="Q89" s="755"/>
    </row>
    <row r="90" spans="1:17">
      <c r="C90" s="6" t="s">
        <v>174</v>
      </c>
      <c r="D90" s="7" cm="1">
        <f t="array" ref="D90:D91">MMULT(TRANSPOSE(I89:J91),H89:H91)</f>
        <v>48977</v>
      </c>
      <c r="E90" s="7" cm="1">
        <f t="array" ref="E90:F91">MMULT(TRANSPOSE(I89:J91),I89:J91)</f>
        <v>14</v>
      </c>
      <c r="F90" s="7">
        <v>6</v>
      </c>
      <c r="H90" s="16">
        <f>C68</f>
        <v>8245</v>
      </c>
      <c r="I90" s="10">
        <v>2</v>
      </c>
      <c r="J90" s="9">
        <v>1</v>
      </c>
      <c r="K90" s="14" cm="1">
        <f t="array" ref="K90:L91">MINVERSE(_xlfn.ANCHORARRAY(E90))</f>
        <v>0.49999999999999972</v>
      </c>
      <c r="L90" s="7">
        <v>-0.99999999999999944</v>
      </c>
      <c r="M90" s="11" cm="1">
        <f t="array" ref="M90:M91">MMULT(_xlfn.ANCHORARRAY(K90),_xlfn.ANCHORARRAY(D90))</f>
        <v>-199.5</v>
      </c>
      <c r="N90" s="9" t="s">
        <v>82</v>
      </c>
    </row>
    <row r="91" spans="1:17">
      <c r="C91" s="6">
        <v>1</v>
      </c>
      <c r="D91" s="7">
        <v>24688</v>
      </c>
      <c r="E91" s="7">
        <v>6</v>
      </c>
      <c r="F91" s="7">
        <v>3</v>
      </c>
      <c r="H91" s="16">
        <f>C69</f>
        <v>8022</v>
      </c>
      <c r="I91" s="10">
        <v>3</v>
      </c>
      <c r="J91" s="19">
        <v>1</v>
      </c>
      <c r="K91" s="7">
        <v>-0.99999999999999933</v>
      </c>
      <c r="L91" s="7">
        <v>2.3333333333333321</v>
      </c>
      <c r="M91" s="11">
        <v>8628.3333333333358</v>
      </c>
      <c r="N91" s="9" t="s">
        <v>83</v>
      </c>
    </row>
    <row r="93" spans="1:17">
      <c r="B93" t="s">
        <v>180</v>
      </c>
    </row>
    <row r="95" spans="1:17" ht="16.5">
      <c r="C95" s="6" t="s">
        <v>173</v>
      </c>
      <c r="D95" s="6" t="s">
        <v>14</v>
      </c>
      <c r="E95" s="6" t="s">
        <v>174</v>
      </c>
      <c r="F95" s="6">
        <v>1</v>
      </c>
      <c r="H95" s="9" t="s">
        <v>14</v>
      </c>
      <c r="I95" s="9" t="s">
        <v>175</v>
      </c>
      <c r="J95" s="5"/>
      <c r="P95" s="449" t="s">
        <v>181</v>
      </c>
      <c r="Q95" s="8" cm="1">
        <f t="array" ref="Q95">D96-MMULT(TRANSPOSE(_xlfn.ANCHORARRAY(M100)),_xlfn.ANCHORARRAY(D97))</f>
        <v>178771.10476219654</v>
      </c>
    </row>
    <row r="96" spans="1:17" ht="16.5">
      <c r="C96" s="6" t="s">
        <v>14</v>
      </c>
      <c r="D96" s="7">
        <f>SUMSQ(C70:C75)</f>
        <v>377577812</v>
      </c>
      <c r="E96" s="7">
        <f>D97</f>
        <v>313095</v>
      </c>
      <c r="F96" s="7">
        <f>D98</f>
        <v>47522</v>
      </c>
      <c r="H96" s="17">
        <f t="shared" ref="H96:H101" si="3">C70</f>
        <v>7421</v>
      </c>
      <c r="I96" s="20">
        <v>4</v>
      </c>
      <c r="J96" s="9">
        <v>1</v>
      </c>
      <c r="P96" s="754" t="s">
        <v>212</v>
      </c>
      <c r="Q96" s="755"/>
    </row>
    <row r="97" spans="2:17">
      <c r="C97" s="6" t="s">
        <v>174</v>
      </c>
      <c r="D97" s="7" cm="1">
        <f t="array" ref="D97:D98">MMULT(TRANSPOSE(I96:J101),H96:H101)</f>
        <v>313095</v>
      </c>
      <c r="E97" s="7" cm="1">
        <f t="array" ref="E97:F98">MMULT(TRANSPOSE(I96:J101),I96:J101)</f>
        <v>271</v>
      </c>
      <c r="F97" s="7">
        <v>39</v>
      </c>
      <c r="H97" s="17">
        <f t="shared" si="3"/>
        <v>7685</v>
      </c>
      <c r="I97" s="10">
        <v>5</v>
      </c>
      <c r="J97" s="9">
        <v>1</v>
      </c>
    </row>
    <row r="98" spans="2:17">
      <c r="C98" s="6">
        <v>1</v>
      </c>
      <c r="D98" s="7">
        <v>47522</v>
      </c>
      <c r="E98" s="7">
        <v>39</v>
      </c>
      <c r="F98" s="7">
        <v>6</v>
      </c>
      <c r="H98" s="17">
        <f t="shared" si="3"/>
        <v>7664</v>
      </c>
      <c r="I98" s="20">
        <v>6</v>
      </c>
      <c r="J98" s="9">
        <v>1</v>
      </c>
    </row>
    <row r="99" spans="2:17" ht="16.5">
      <c r="H99" s="17">
        <f t="shared" si="3"/>
        <v>7783</v>
      </c>
      <c r="I99" s="10">
        <v>7</v>
      </c>
      <c r="J99" s="9">
        <v>1</v>
      </c>
      <c r="K99" s="12" t="s">
        <v>177</v>
      </c>
      <c r="L99" s="13"/>
      <c r="M99" s="450" t="s">
        <v>178</v>
      </c>
    </row>
    <row r="100" spans="2:17">
      <c r="H100" s="17">
        <f t="shared" si="3"/>
        <v>8200</v>
      </c>
      <c r="I100" s="20">
        <v>8</v>
      </c>
      <c r="J100" s="9">
        <v>1</v>
      </c>
      <c r="K100" s="14" cm="1">
        <f t="array" ref="K100:L101">MINVERSE(_xlfn.ANCHORARRAY(E97))</f>
        <v>5.7142857142857162E-2</v>
      </c>
      <c r="L100" s="7">
        <v>-0.37142857142857161</v>
      </c>
      <c r="M100" s="11" cm="1">
        <f t="array" ref="M100:M101">MMULT(_xlfn.ANCHORARRAY(K100),_xlfn.ANCHORARRAY(D97))</f>
        <v>240.11428571428405</v>
      </c>
      <c r="N100" s="9" t="s">
        <v>82</v>
      </c>
    </row>
    <row r="101" spans="2:17">
      <c r="H101" s="16">
        <f t="shared" si="3"/>
        <v>8769</v>
      </c>
      <c r="I101" s="9">
        <v>9</v>
      </c>
      <c r="J101" s="18">
        <v>1</v>
      </c>
      <c r="K101" s="14">
        <v>-0.37142857142857155</v>
      </c>
      <c r="L101" s="7">
        <v>2.580952380952382</v>
      </c>
      <c r="M101" s="11">
        <v>6359.5904761904821</v>
      </c>
      <c r="N101" s="9" t="s">
        <v>83</v>
      </c>
    </row>
    <row r="104" spans="2:17">
      <c r="B104" t="s">
        <v>183</v>
      </c>
    </row>
    <row r="106" spans="2:17" ht="16.5">
      <c r="C106" s="6" t="s">
        <v>173</v>
      </c>
      <c r="D106" s="6" t="s">
        <v>14</v>
      </c>
      <c r="E106" s="6" t="s">
        <v>174</v>
      </c>
      <c r="F106" s="6">
        <v>1</v>
      </c>
      <c r="H106" t="s">
        <v>14</v>
      </c>
      <c r="I106" t="s">
        <v>175</v>
      </c>
      <c r="P106" s="449" t="s">
        <v>184</v>
      </c>
      <c r="Q106" s="8" cm="1">
        <f t="array" ref="Q106">D107-MMULT(TRANSPOSE(_xlfn.ANCHORARRAY(M108)),_xlfn.ANCHORARRAY(D108))</f>
        <v>20184</v>
      </c>
    </row>
    <row r="107" spans="2:17" ht="16.5">
      <c r="C107" s="6" t="s">
        <v>14</v>
      </c>
      <c r="D107" s="7">
        <f>SUMSQ(C76:C78)</f>
        <v>303049059</v>
      </c>
      <c r="E107" s="7">
        <f>D108</f>
        <v>332565</v>
      </c>
      <c r="F107" s="7">
        <f>D109</f>
        <v>30051</v>
      </c>
      <c r="H107" s="16">
        <f>C76</f>
        <v>9073</v>
      </c>
      <c r="I107" s="9">
        <v>10</v>
      </c>
      <c r="J107" s="18">
        <v>1</v>
      </c>
      <c r="K107" s="12" t="s">
        <v>177</v>
      </c>
      <c r="L107" s="13"/>
      <c r="M107" s="450" t="s">
        <v>178</v>
      </c>
      <c r="P107" s="754" t="s">
        <v>213</v>
      </c>
      <c r="Q107" s="755"/>
    </row>
    <row r="108" spans="2:17">
      <c r="C108" s="6" t="s">
        <v>174</v>
      </c>
      <c r="D108" s="7" cm="1">
        <f t="array" ref="D108:D109">MMULT(TRANSPOSE(I107:J109),H107:H109)</f>
        <v>332565</v>
      </c>
      <c r="E108" s="7" cm="1">
        <f t="array" ref="E108:F109">MMULT(TRANSPOSE(I107:J109),I107:J109)</f>
        <v>365</v>
      </c>
      <c r="F108" s="7">
        <v>33</v>
      </c>
      <c r="H108" s="17">
        <f t="shared" ref="H108:H109" si="4">C77</f>
        <v>9901</v>
      </c>
      <c r="I108" s="20">
        <v>11</v>
      </c>
      <c r="J108" s="15">
        <v>1</v>
      </c>
      <c r="K108" s="7" cm="1">
        <f t="array" ref="K108:L109">MINVERSE(_xlfn.ANCHORARRAY(E108))</f>
        <v>0.50000000000000877</v>
      </c>
      <c r="L108" s="7">
        <v>-5.5000000000000968</v>
      </c>
      <c r="M108" s="11" cm="1">
        <f t="array" ref="M108:M109">MMULT(_xlfn.ANCHORARRAY(K108),_xlfn.ANCHORARRAY(D108))</f>
        <v>1002</v>
      </c>
      <c r="N108" s="9" t="s">
        <v>82</v>
      </c>
    </row>
    <row r="109" spans="2:17">
      <c r="C109" s="6">
        <v>1</v>
      </c>
      <c r="D109" s="7">
        <v>30051</v>
      </c>
      <c r="E109" s="7">
        <v>33</v>
      </c>
      <c r="F109" s="7">
        <v>3</v>
      </c>
      <c r="H109" s="16">
        <f t="shared" si="4"/>
        <v>11077</v>
      </c>
      <c r="I109" s="18">
        <v>12</v>
      </c>
      <c r="J109" s="9">
        <v>1</v>
      </c>
      <c r="K109" s="14">
        <v>-5.5000000000000968</v>
      </c>
      <c r="L109" s="7">
        <v>60.833333333334402</v>
      </c>
      <c r="M109" s="11">
        <v>-1005</v>
      </c>
      <c r="N109" s="9" t="s">
        <v>83</v>
      </c>
    </row>
    <row r="110" spans="2:17">
      <c r="H110" s="52"/>
      <c r="I110" s="5"/>
      <c r="J110" s="5"/>
    </row>
    <row r="111" spans="2:17">
      <c r="B111" t="s">
        <v>186</v>
      </c>
    </row>
    <row r="113" spans="3:19">
      <c r="C113" s="6" t="s">
        <v>173</v>
      </c>
      <c r="D113" s="6" t="s">
        <v>14</v>
      </c>
      <c r="E113" s="6" t="s">
        <v>174</v>
      </c>
      <c r="F113" s="6">
        <v>1</v>
      </c>
      <c r="H113" s="15" t="s">
        <v>14</v>
      </c>
      <c r="I113" s="15" t="s">
        <v>175</v>
      </c>
      <c r="L113" s="449" t="s">
        <v>187</v>
      </c>
      <c r="M113" s="8">
        <f>D114-((D116^2)/12)</f>
        <v>12429944.25</v>
      </c>
    </row>
    <row r="114" spans="3:19" ht="16.5">
      <c r="C114" s="6" t="s">
        <v>14</v>
      </c>
      <c r="D114" s="7">
        <f>SUMSQ(C67:C78)</f>
        <v>883872621</v>
      </c>
      <c r="E114" s="7">
        <f>D115</f>
        <v>694637</v>
      </c>
      <c r="F114" s="7">
        <f>D116</f>
        <v>102261</v>
      </c>
      <c r="H114" s="21">
        <f t="shared" ref="H114:H125" si="5">C67</f>
        <v>8421</v>
      </c>
      <c r="I114" s="11">
        <f t="shared" ref="I114:I125" si="6">B67</f>
        <v>1</v>
      </c>
      <c r="J114" s="7">
        <v>1</v>
      </c>
      <c r="L114" s="451" t="s">
        <v>188</v>
      </c>
      <c r="M114" s="23" cm="1">
        <f t="array" ref="M114">D114-MMULT(TRANSPOSE(_xlfn.ANCHORARRAY(E123)),_xlfn.ANCHORARRAY(D115))</f>
        <v>6161178.2342658043</v>
      </c>
    </row>
    <row r="115" spans="3:19" ht="16.5">
      <c r="C115" s="6" t="s">
        <v>174</v>
      </c>
      <c r="D115" s="7" cm="1">
        <f t="array" ref="D115:D116">_xlfn.ANCHORARRAY(E119)</f>
        <v>694637</v>
      </c>
      <c r="E115" s="7" cm="1">
        <f t="array" ref="E115:F116">_xlfn.ANCHORARRAY(C119)</f>
        <v>650</v>
      </c>
      <c r="F115" s="7">
        <v>78</v>
      </c>
      <c r="H115" s="21">
        <f t="shared" si="5"/>
        <v>8245</v>
      </c>
      <c r="I115" s="11">
        <f t="shared" si="6"/>
        <v>2</v>
      </c>
      <c r="J115" s="7">
        <v>1</v>
      </c>
      <c r="L115" s="451" t="s">
        <v>189</v>
      </c>
      <c r="M115" s="23">
        <f>SUM(Q88,Q95,Q106)</f>
        <v>199323.27142879367</v>
      </c>
      <c r="O115" s="756" t="s">
        <v>190</v>
      </c>
      <c r="P115" s="757"/>
      <c r="Q115" s="757"/>
      <c r="R115" s="757"/>
      <c r="S115" s="758"/>
    </row>
    <row r="116" spans="3:19" ht="17.5">
      <c r="C116" s="6">
        <v>1</v>
      </c>
      <c r="D116" s="7">
        <v>102261</v>
      </c>
      <c r="E116" s="7">
        <v>78</v>
      </c>
      <c r="F116" s="7">
        <v>12</v>
      </c>
      <c r="H116" s="21">
        <f t="shared" si="5"/>
        <v>8022</v>
      </c>
      <c r="I116" s="11">
        <f t="shared" si="6"/>
        <v>3</v>
      </c>
      <c r="J116" s="7">
        <v>1</v>
      </c>
      <c r="L116" s="451" t="s">
        <v>191</v>
      </c>
      <c r="M116" s="23">
        <f>1-(M115/M113)</f>
        <v>0.98396426665961967</v>
      </c>
      <c r="O116" s="27" t="s">
        <v>29</v>
      </c>
      <c r="P116" s="28" t="s">
        <v>29</v>
      </c>
      <c r="Q116" s="28" t="s">
        <v>29</v>
      </c>
      <c r="R116" s="28" t="s">
        <v>29</v>
      </c>
      <c r="S116" s="29" t="s">
        <v>29</v>
      </c>
    </row>
    <row r="117" spans="3:19">
      <c r="H117" s="21">
        <f t="shared" si="5"/>
        <v>7421</v>
      </c>
      <c r="I117" s="11">
        <f t="shared" si="6"/>
        <v>4</v>
      </c>
      <c r="J117" s="7">
        <v>1</v>
      </c>
      <c r="L117" s="451" t="s">
        <v>192</v>
      </c>
      <c r="M117" s="23">
        <f>SQRT(M115/8)</f>
        <v>157.84615588793795</v>
      </c>
      <c r="O117" s="27" t="s">
        <v>29</v>
      </c>
      <c r="P117" s="28"/>
      <c r="Q117" s="28"/>
      <c r="R117" s="30"/>
      <c r="S117" s="29" t="s">
        <v>29</v>
      </c>
    </row>
    <row r="118" spans="3:19" ht="16.5">
      <c r="C118" s="748" t="s">
        <v>193</v>
      </c>
      <c r="D118" s="749"/>
      <c r="E118" s="454" t="s">
        <v>194</v>
      </c>
      <c r="F118" s="22"/>
      <c r="H118" s="21">
        <f t="shared" si="5"/>
        <v>7685</v>
      </c>
      <c r="I118" s="11">
        <f t="shared" si="6"/>
        <v>5</v>
      </c>
      <c r="J118" s="7">
        <v>1</v>
      </c>
      <c r="L118" s="451" t="s">
        <v>195</v>
      </c>
      <c r="M118" s="23">
        <f>TINV(0.05,8)</f>
        <v>2.3060041352041671</v>
      </c>
      <c r="O118" s="27" t="s">
        <v>29</v>
      </c>
      <c r="P118" s="35" t="s">
        <v>214</v>
      </c>
      <c r="Q118" s="36"/>
      <c r="R118" s="30" t="s">
        <v>197</v>
      </c>
      <c r="S118" s="29" t="s">
        <v>29</v>
      </c>
    </row>
    <row r="119" spans="3:19">
      <c r="C119" s="24" cm="1">
        <f t="array" ref="C119:D120">MMULT(TRANSPOSE(I114:J125),I114:J125)</f>
        <v>650</v>
      </c>
      <c r="D119" s="25">
        <v>78</v>
      </c>
      <c r="E119" s="25" cm="1">
        <f t="array" ref="E119:E120">MMULT(TRANSPOSE(I114:J125),H114:H125)</f>
        <v>694637</v>
      </c>
      <c r="F119" s="22"/>
      <c r="H119" s="21">
        <f t="shared" si="5"/>
        <v>7664</v>
      </c>
      <c r="I119" s="11">
        <f t="shared" si="6"/>
        <v>6</v>
      </c>
      <c r="J119" s="7">
        <v>1</v>
      </c>
      <c r="L119" s="22"/>
      <c r="M119" s="22"/>
      <c r="O119" s="27" t="s">
        <v>198</v>
      </c>
      <c r="P119" s="35" t="s">
        <v>215</v>
      </c>
      <c r="Q119" s="36"/>
      <c r="R119" s="30" t="s">
        <v>200</v>
      </c>
      <c r="S119" s="29" t="s">
        <v>29</v>
      </c>
    </row>
    <row r="120" spans="3:19" ht="16.5">
      <c r="C120" s="24">
        <v>78</v>
      </c>
      <c r="D120" s="25">
        <v>12</v>
      </c>
      <c r="E120" s="25">
        <v>102261</v>
      </c>
      <c r="F120" s="22"/>
      <c r="H120" s="21">
        <f t="shared" si="5"/>
        <v>7783</v>
      </c>
      <c r="I120" s="11">
        <f t="shared" si="6"/>
        <v>7</v>
      </c>
      <c r="J120" s="7">
        <v>1</v>
      </c>
      <c r="L120" s="449" t="s">
        <v>201</v>
      </c>
      <c r="M120" s="8">
        <f>M117*SQRT(K90)</f>
        <v>111.61408721258978</v>
      </c>
      <c r="O120" s="27" t="s">
        <v>29</v>
      </c>
      <c r="P120" s="35" t="s">
        <v>216</v>
      </c>
      <c r="Q120" s="36"/>
      <c r="R120" s="30" t="s">
        <v>203</v>
      </c>
      <c r="S120" s="29" t="s">
        <v>29</v>
      </c>
    </row>
    <row r="121" spans="3:19" ht="16.5">
      <c r="C121" s="22"/>
      <c r="D121" s="22"/>
      <c r="E121" s="22"/>
      <c r="F121" s="22"/>
      <c r="H121" s="21">
        <f t="shared" si="5"/>
        <v>8200</v>
      </c>
      <c r="I121" s="11">
        <f t="shared" si="6"/>
        <v>8</v>
      </c>
      <c r="J121" s="7">
        <v>1</v>
      </c>
      <c r="L121" s="451" t="s">
        <v>204</v>
      </c>
      <c r="M121" s="23">
        <f>M90/M120</f>
        <v>-1.7874087848786968</v>
      </c>
      <c r="O121" s="27" t="s">
        <v>29</v>
      </c>
      <c r="P121" s="28"/>
      <c r="Q121" s="28"/>
      <c r="R121" s="30"/>
      <c r="S121" s="29" t="s">
        <v>29</v>
      </c>
    </row>
    <row r="122" spans="3:19">
      <c r="C122" s="750" t="s">
        <v>205</v>
      </c>
      <c r="D122" s="751"/>
      <c r="E122" s="454" t="s">
        <v>206</v>
      </c>
      <c r="F122" s="22"/>
      <c r="H122" s="21">
        <f t="shared" si="5"/>
        <v>8769</v>
      </c>
      <c r="I122" s="11">
        <f t="shared" si="6"/>
        <v>9</v>
      </c>
      <c r="J122" s="7">
        <v>1</v>
      </c>
      <c r="L122" s="22"/>
      <c r="M122" s="22"/>
      <c r="O122" s="32" t="s">
        <v>29</v>
      </c>
      <c r="P122" s="33" t="s">
        <v>29</v>
      </c>
      <c r="Q122" s="33" t="s">
        <v>29</v>
      </c>
      <c r="R122" s="33" t="s">
        <v>29</v>
      </c>
      <c r="S122" s="34" t="s">
        <v>29</v>
      </c>
    </row>
    <row r="123" spans="3:19" ht="16.5">
      <c r="C123" s="3" cm="1">
        <f t="array" ref="C123:D124">MINVERSE(_xlfn.ANCHORARRAY(C119))</f>
        <v>6.9930069930069921E-3</v>
      </c>
      <c r="D123" s="23">
        <v>-4.5454545454545449E-2</v>
      </c>
      <c r="E123" s="23" cm="1">
        <f t="array" ref="E123:E124">MMULT(_xlfn.ANCHORARRAY(C123),_xlfn.ANCHORARRAY(E119))</f>
        <v>209.37412587412564</v>
      </c>
      <c r="F123" s="454" t="s">
        <v>82</v>
      </c>
      <c r="H123" s="21">
        <f t="shared" si="5"/>
        <v>9073</v>
      </c>
      <c r="I123" s="11">
        <f t="shared" si="6"/>
        <v>10</v>
      </c>
      <c r="J123" s="7">
        <v>1</v>
      </c>
      <c r="L123" s="449" t="s">
        <v>207</v>
      </c>
      <c r="M123" s="8">
        <f>M117*SQRT(K100)</f>
        <v>37.732448278144005</v>
      </c>
    </row>
    <row r="124" spans="3:19" ht="16.5">
      <c r="C124" s="3">
        <v>-4.5454545454545442E-2</v>
      </c>
      <c r="D124" s="23">
        <v>0.37878787878787873</v>
      </c>
      <c r="E124" s="23">
        <v>7160.8181818181838</v>
      </c>
      <c r="F124" s="455" t="s">
        <v>83</v>
      </c>
      <c r="H124" s="53">
        <f t="shared" si="5"/>
        <v>9901</v>
      </c>
      <c r="I124" s="54">
        <f t="shared" si="6"/>
        <v>11</v>
      </c>
      <c r="J124" s="55">
        <v>1</v>
      </c>
      <c r="L124" s="451" t="s">
        <v>208</v>
      </c>
      <c r="M124" s="23">
        <f>M100/M123</f>
        <v>6.3636020632503429</v>
      </c>
    </row>
    <row r="125" spans="3:19">
      <c r="H125" s="21">
        <f t="shared" si="5"/>
        <v>11077</v>
      </c>
      <c r="I125" s="7">
        <f t="shared" si="6"/>
        <v>12</v>
      </c>
      <c r="J125" s="7">
        <v>1</v>
      </c>
      <c r="L125" s="22"/>
      <c r="M125" s="22"/>
    </row>
    <row r="126" spans="3:19" ht="16.5">
      <c r="H126" s="1"/>
      <c r="L126" s="449" t="s">
        <v>209</v>
      </c>
      <c r="M126" s="8">
        <f>M117*SQRT(K108)</f>
        <v>111.61408721259079</v>
      </c>
    </row>
    <row r="127" spans="3:19" ht="16.5">
      <c r="L127" s="451" t="s">
        <v>210</v>
      </c>
      <c r="M127" s="23">
        <f>M108/M126</f>
        <v>8.9773614157816439</v>
      </c>
    </row>
    <row r="129" spans="1:4">
      <c r="B129" t="s">
        <v>140</v>
      </c>
    </row>
    <row r="130" spans="1:4">
      <c r="A130" s="456" t="s">
        <v>1</v>
      </c>
      <c r="B130" t="s">
        <v>82</v>
      </c>
      <c r="C130" s="457" t="s">
        <v>2</v>
      </c>
    </row>
    <row r="131" spans="1:4">
      <c r="A131" s="3">
        <v>2010</v>
      </c>
      <c r="B131">
        <v>1</v>
      </c>
      <c r="C131" s="4">
        <v>4461</v>
      </c>
      <c r="D131">
        <v>1</v>
      </c>
    </row>
    <row r="132" spans="1:4">
      <c r="A132" s="3">
        <v>2011</v>
      </c>
      <c r="B132">
        <v>2</v>
      </c>
      <c r="C132" s="4">
        <v>4977</v>
      </c>
    </row>
    <row r="133" spans="1:4">
      <c r="A133" s="3">
        <v>2012</v>
      </c>
      <c r="B133">
        <v>3</v>
      </c>
      <c r="C133" s="4">
        <v>5261</v>
      </c>
    </row>
    <row r="134" spans="1:4">
      <c r="A134" s="3">
        <v>2013</v>
      </c>
      <c r="B134">
        <v>4</v>
      </c>
      <c r="C134" s="4">
        <v>5277</v>
      </c>
    </row>
    <row r="135" spans="1:4">
      <c r="A135" s="3">
        <v>2014</v>
      </c>
      <c r="B135">
        <v>5</v>
      </c>
      <c r="C135" s="4">
        <v>5346</v>
      </c>
    </row>
    <row r="136" spans="1:4">
      <c r="A136" s="3">
        <v>2015</v>
      </c>
      <c r="B136">
        <v>6</v>
      </c>
      <c r="C136" s="4">
        <v>5403</v>
      </c>
    </row>
    <row r="137" spans="1:4">
      <c r="A137" s="3">
        <v>2016</v>
      </c>
      <c r="B137">
        <v>7</v>
      </c>
      <c r="C137" s="4">
        <v>5719</v>
      </c>
    </row>
    <row r="138" spans="1:4">
      <c r="A138" s="3">
        <v>2017</v>
      </c>
      <c r="B138">
        <v>8</v>
      </c>
      <c r="C138" s="4">
        <v>6478</v>
      </c>
    </row>
    <row r="139" spans="1:4">
      <c r="A139" s="3">
        <v>2018</v>
      </c>
      <c r="B139">
        <v>9</v>
      </c>
      <c r="C139" s="4">
        <v>6795</v>
      </c>
      <c r="D139">
        <v>2</v>
      </c>
    </row>
    <row r="140" spans="1:4">
      <c r="A140" s="3">
        <v>2019</v>
      </c>
      <c r="B140">
        <v>10</v>
      </c>
      <c r="C140" s="4">
        <v>7519</v>
      </c>
    </row>
    <row r="141" spans="1:4">
      <c r="A141" s="48">
        <v>2020</v>
      </c>
      <c r="B141">
        <v>11</v>
      </c>
      <c r="C141" s="49">
        <v>8401</v>
      </c>
    </row>
    <row r="142" spans="1:4">
      <c r="A142" s="50">
        <v>2021</v>
      </c>
      <c r="B142" s="7">
        <v>12</v>
      </c>
      <c r="C142" s="51">
        <v>9346</v>
      </c>
    </row>
    <row r="143" spans="1:4">
      <c r="A143" s="22"/>
      <c r="C143" s="47"/>
    </row>
    <row r="145" spans="1:17">
      <c r="A145" t="s">
        <v>217</v>
      </c>
    </row>
    <row r="146" spans="1:17">
      <c r="A146" t="s">
        <v>218</v>
      </c>
    </row>
    <row r="147" spans="1:17">
      <c r="A147" t="s">
        <v>219</v>
      </c>
    </row>
    <row r="149" spans="1:17">
      <c r="B149" t="s">
        <v>172</v>
      </c>
    </row>
    <row r="151" spans="1:17" ht="16.5">
      <c r="C151" s="6" t="s">
        <v>173</v>
      </c>
      <c r="D151" s="6" t="s">
        <v>14</v>
      </c>
      <c r="E151" s="6" t="s">
        <v>174</v>
      </c>
      <c r="F151" s="6">
        <v>1</v>
      </c>
      <c r="H151" s="9" t="s">
        <v>14</v>
      </c>
      <c r="I151" s="9" t="s">
        <v>175</v>
      </c>
      <c r="P151" s="449" t="s">
        <v>176</v>
      </c>
      <c r="Q151" s="8" cm="1">
        <f t="array" ref="Q151">D152-MMULT(TRANSPOSE(_xlfn.ANCHORARRAY(M158)),_xlfn.ANCHORARRAY(D153))</f>
        <v>353584.64285725355</v>
      </c>
    </row>
    <row r="152" spans="1:17" ht="16.5">
      <c r="C152" s="6" t="s">
        <v>14</v>
      </c>
      <c r="D152" s="7">
        <f>SUMSQ(C131:C138)</f>
        <v>232639470</v>
      </c>
      <c r="E152" s="7">
        <f>D153</f>
        <v>202311</v>
      </c>
      <c r="F152" s="7">
        <f>D154</f>
        <v>42922</v>
      </c>
      <c r="H152" s="51">
        <v>4461</v>
      </c>
      <c r="I152" s="11">
        <f>B131</f>
        <v>1</v>
      </c>
      <c r="J152" s="7">
        <v>1</v>
      </c>
      <c r="P152" s="754" t="s">
        <v>220</v>
      </c>
      <c r="Q152" s="755"/>
    </row>
    <row r="153" spans="1:17">
      <c r="C153" s="6" t="s">
        <v>174</v>
      </c>
      <c r="D153" s="7" cm="1">
        <f t="array" ref="D153:D154">MMULT(TRANSPOSE(I152:J159),H152:H159)</f>
        <v>202311</v>
      </c>
      <c r="E153" s="7" cm="1">
        <f t="array" ref="E153:F154">MMULT(TRANSPOSE(I152:J159),I152:J159)</f>
        <v>204</v>
      </c>
      <c r="F153" s="7">
        <v>36</v>
      </c>
      <c r="H153" s="51">
        <v>4977</v>
      </c>
      <c r="I153" s="11">
        <f t="shared" ref="I153:I159" si="7">B132</f>
        <v>2</v>
      </c>
      <c r="J153" s="7">
        <v>1</v>
      </c>
    </row>
    <row r="154" spans="1:17">
      <c r="C154" s="6">
        <v>1</v>
      </c>
      <c r="D154" s="7">
        <v>42922</v>
      </c>
      <c r="E154" s="7">
        <v>36</v>
      </c>
      <c r="F154" s="7">
        <v>8</v>
      </c>
      <c r="H154" s="51">
        <v>5261</v>
      </c>
      <c r="I154" s="11">
        <f t="shared" si="7"/>
        <v>3</v>
      </c>
      <c r="J154" s="7">
        <v>1</v>
      </c>
    </row>
    <row r="155" spans="1:17">
      <c r="H155" s="51">
        <v>5277</v>
      </c>
      <c r="I155" s="11">
        <f t="shared" si="7"/>
        <v>4</v>
      </c>
      <c r="J155" s="7">
        <v>1</v>
      </c>
    </row>
    <row r="156" spans="1:17">
      <c r="H156" s="51">
        <v>5346</v>
      </c>
      <c r="I156" s="11">
        <f t="shared" si="7"/>
        <v>5</v>
      </c>
      <c r="J156" s="7">
        <v>1</v>
      </c>
    </row>
    <row r="157" spans="1:17" ht="16.5">
      <c r="H157" s="51">
        <v>5403</v>
      </c>
      <c r="I157" s="11">
        <f t="shared" si="7"/>
        <v>6</v>
      </c>
      <c r="J157" s="7">
        <v>1</v>
      </c>
      <c r="K157" s="752" t="s">
        <v>177</v>
      </c>
      <c r="L157" s="753"/>
      <c r="M157" s="450" t="s">
        <v>178</v>
      </c>
    </row>
    <row r="158" spans="1:17">
      <c r="H158" s="51">
        <v>5719</v>
      </c>
      <c r="I158" s="11">
        <f t="shared" si="7"/>
        <v>7</v>
      </c>
      <c r="J158" s="7">
        <v>1</v>
      </c>
      <c r="K158" s="14" cm="1">
        <f t="array" ref="K158:L159">MINVERSE(_xlfn.ANCHORARRAY(E153))</f>
        <v>2.3809523809523815E-2</v>
      </c>
      <c r="L158" s="7">
        <v>-0.10714285714285718</v>
      </c>
      <c r="M158" s="11" cm="1">
        <f t="array" ref="M158:M159">MMULT(_xlfn.ANCHORARRAY(K158),_xlfn.ANCHORARRAY(D153))</f>
        <v>218.14285714285688</v>
      </c>
      <c r="N158" s="9" t="s">
        <v>82</v>
      </c>
    </row>
    <row r="159" spans="1:17">
      <c r="H159" s="51">
        <v>6478</v>
      </c>
      <c r="I159" s="11">
        <f t="shared" si="7"/>
        <v>8</v>
      </c>
      <c r="J159" s="7">
        <v>1</v>
      </c>
      <c r="K159" s="7">
        <v>-0.10714285714285718</v>
      </c>
      <c r="L159" s="7">
        <v>0.60714285714285732</v>
      </c>
      <c r="M159" s="11">
        <v>4383.6071428571413</v>
      </c>
      <c r="N159" s="9" t="s">
        <v>83</v>
      </c>
    </row>
    <row r="161" spans="2:19">
      <c r="B161" t="s">
        <v>180</v>
      </c>
    </row>
    <row r="163" spans="2:19" ht="16.5">
      <c r="C163" s="6" t="s">
        <v>173</v>
      </c>
      <c r="D163" s="6" t="s">
        <v>14</v>
      </c>
      <c r="E163" s="6" t="s">
        <v>174</v>
      </c>
      <c r="F163" s="6">
        <v>1</v>
      </c>
      <c r="H163" s="9" t="s">
        <v>14</v>
      </c>
      <c r="I163" s="9" t="s">
        <v>175</v>
      </c>
      <c r="P163" s="449" t="s">
        <v>181</v>
      </c>
      <c r="Q163" s="8" cm="1">
        <f t="array" ref="Q163">D164-MMULT(TRANSPOSE(_xlfn.ANCHORARRAY(M166)),_xlfn.ANCHORARRAY(D165))</f>
        <v>12661.5</v>
      </c>
    </row>
    <row r="164" spans="2:19" ht="16.5">
      <c r="C164" s="6" t="s">
        <v>14</v>
      </c>
      <c r="D164" s="7">
        <f>SUMSQ(C139:C142)</f>
        <v>260631903</v>
      </c>
      <c r="E164" s="7">
        <f>D165</f>
        <v>340908</v>
      </c>
      <c r="F164" s="7">
        <f>D166</f>
        <v>32061</v>
      </c>
      <c r="H164" s="51">
        <f>C139</f>
        <v>6795</v>
      </c>
      <c r="I164" s="11">
        <f>B139</f>
        <v>9</v>
      </c>
      <c r="J164" s="7">
        <v>1</v>
      </c>
      <c r="P164" s="754" t="s">
        <v>221</v>
      </c>
      <c r="Q164" s="755"/>
    </row>
    <row r="165" spans="2:19" ht="16.5">
      <c r="C165" s="6" t="s">
        <v>174</v>
      </c>
      <c r="D165" s="7" cm="1">
        <f t="array" ref="D165:D166">MMULT(TRANSPOSE(I164:J167),H164:H167)</f>
        <v>340908</v>
      </c>
      <c r="E165" s="7" cm="1">
        <f t="array" ref="E165:F166">MMULT(TRANSPOSE(I164:J167),I164:J167)</f>
        <v>446</v>
      </c>
      <c r="F165" s="7">
        <v>42</v>
      </c>
      <c r="H165" s="51">
        <f t="shared" ref="H165:H167" si="8">C140</f>
        <v>7519</v>
      </c>
      <c r="I165" s="11">
        <f t="shared" ref="I165:I167" si="9">B140</f>
        <v>10</v>
      </c>
      <c r="J165" s="7">
        <v>1</v>
      </c>
      <c r="K165" s="752" t="s">
        <v>177</v>
      </c>
      <c r="L165" s="753"/>
      <c r="M165" s="450" t="s">
        <v>178</v>
      </c>
    </row>
    <row r="166" spans="2:19">
      <c r="C166" s="6">
        <v>1</v>
      </c>
      <c r="D166" s="7">
        <v>32061</v>
      </c>
      <c r="E166" s="7">
        <v>42</v>
      </c>
      <c r="F166" s="7">
        <v>4</v>
      </c>
      <c r="H166" s="51">
        <f t="shared" si="8"/>
        <v>8401</v>
      </c>
      <c r="I166" s="11">
        <f t="shared" si="9"/>
        <v>11</v>
      </c>
      <c r="J166" s="7">
        <v>1</v>
      </c>
      <c r="K166" s="14" cm="1">
        <f t="array" ref="K166:L167">MINVERSE(_xlfn.ANCHORARRAY(E165))</f>
        <v>0.19999999999999943</v>
      </c>
      <c r="L166" s="7">
        <v>-2.0999999999999939</v>
      </c>
      <c r="M166" s="11" cm="1">
        <f t="array" ref="M166:M167">MMULT(_xlfn.ANCHORARRAY(K166),_xlfn.ANCHORARRAY(D165))</f>
        <v>853.5</v>
      </c>
      <c r="N166" s="9" t="s">
        <v>82</v>
      </c>
    </row>
    <row r="167" spans="2:19">
      <c r="H167" s="51">
        <f t="shared" si="8"/>
        <v>9346</v>
      </c>
      <c r="I167" s="11">
        <f t="shared" si="9"/>
        <v>12</v>
      </c>
      <c r="J167" s="7">
        <v>1</v>
      </c>
      <c r="K167" s="7">
        <v>-2.0999999999999939</v>
      </c>
      <c r="L167" s="7">
        <v>22.299999999999937</v>
      </c>
      <c r="M167" s="11">
        <v>-946.5</v>
      </c>
      <c r="N167" s="9" t="s">
        <v>83</v>
      </c>
    </row>
    <row r="169" spans="2:19">
      <c r="B169" t="s">
        <v>186</v>
      </c>
    </row>
    <row r="171" spans="2:19">
      <c r="C171" s="6" t="s">
        <v>173</v>
      </c>
      <c r="D171" s="6" t="s">
        <v>14</v>
      </c>
      <c r="E171" s="6" t="s">
        <v>174</v>
      </c>
      <c r="F171" s="6">
        <v>1</v>
      </c>
      <c r="H171" s="15" t="s">
        <v>14</v>
      </c>
      <c r="I171" s="15" t="s">
        <v>175</v>
      </c>
      <c r="L171" s="449" t="s">
        <v>187</v>
      </c>
      <c r="M171" s="8">
        <f>D172-((D174^2)/12)</f>
        <v>24733848.916666687</v>
      </c>
    </row>
    <row r="172" spans="2:19" ht="16.5">
      <c r="C172" s="6" t="s">
        <v>14</v>
      </c>
      <c r="D172" s="7">
        <f>SUMSQ(C131:C142)</f>
        <v>493271373</v>
      </c>
      <c r="E172" s="7">
        <f>D173</f>
        <v>543219</v>
      </c>
      <c r="F172" s="7">
        <f>D174</f>
        <v>74983</v>
      </c>
      <c r="H172" s="21">
        <f>C131</f>
        <v>4461</v>
      </c>
      <c r="I172" s="11">
        <f>I152</f>
        <v>1</v>
      </c>
      <c r="J172" s="7">
        <v>1</v>
      </c>
      <c r="L172" s="451" t="s">
        <v>188</v>
      </c>
      <c r="M172" s="23" cm="1">
        <f t="array" ref="M172">D172-MMULT(TRANSPOSE(_xlfn.ANCHORARRAY(E181)),_xlfn.ANCHORARRAY(D173))</f>
        <v>2937114.1596735716</v>
      </c>
    </row>
    <row r="173" spans="2:19" ht="16.5">
      <c r="C173" s="6" t="s">
        <v>174</v>
      </c>
      <c r="D173" s="7" cm="1">
        <f t="array" ref="D173:D174">_xlfn.ANCHORARRAY(E177)</f>
        <v>543219</v>
      </c>
      <c r="E173" s="7" cm="1">
        <f t="array" ref="E173:F174">_xlfn.ANCHORARRAY(C177)</f>
        <v>650</v>
      </c>
      <c r="F173" s="7">
        <v>78</v>
      </c>
      <c r="H173" s="21">
        <f t="shared" ref="H173:H183" si="10">C132</f>
        <v>4977</v>
      </c>
      <c r="I173" s="11">
        <f t="shared" ref="I173:I179" si="11">I153</f>
        <v>2</v>
      </c>
      <c r="J173" s="7">
        <v>1</v>
      </c>
      <c r="L173" s="451" t="s">
        <v>189</v>
      </c>
      <c r="M173" s="23">
        <f>SUM(Q151,Q163)</f>
        <v>366246.14285725355</v>
      </c>
      <c r="O173" s="756" t="s">
        <v>190</v>
      </c>
      <c r="P173" s="757"/>
      <c r="Q173" s="757"/>
      <c r="R173" s="757"/>
      <c r="S173" s="758"/>
    </row>
    <row r="174" spans="2:19" ht="17.5">
      <c r="C174" s="6">
        <v>1</v>
      </c>
      <c r="D174" s="7">
        <v>74983</v>
      </c>
      <c r="E174" s="7">
        <v>78</v>
      </c>
      <c r="F174" s="7">
        <v>12</v>
      </c>
      <c r="H174" s="21">
        <f t="shared" si="10"/>
        <v>5261</v>
      </c>
      <c r="I174" s="11">
        <f t="shared" si="11"/>
        <v>3</v>
      </c>
      <c r="J174" s="7">
        <v>1</v>
      </c>
      <c r="L174" s="451" t="s">
        <v>191</v>
      </c>
      <c r="M174" s="23">
        <f>1-(M173/M171)</f>
        <v>0.98519251313892919</v>
      </c>
      <c r="O174" s="27" t="s">
        <v>29</v>
      </c>
      <c r="P174" s="28" t="s">
        <v>29</v>
      </c>
      <c r="Q174" s="28" t="s">
        <v>29</v>
      </c>
      <c r="R174" s="28" t="s">
        <v>29</v>
      </c>
      <c r="S174" s="29" t="s">
        <v>29</v>
      </c>
    </row>
    <row r="175" spans="2:19">
      <c r="H175" s="21">
        <f t="shared" si="10"/>
        <v>5277</v>
      </c>
      <c r="I175" s="11">
        <f t="shared" si="11"/>
        <v>4</v>
      </c>
      <c r="J175" s="7">
        <v>1</v>
      </c>
      <c r="L175" s="451" t="s">
        <v>192</v>
      </c>
      <c r="M175" s="23">
        <f>SQRT(M173/8)</f>
        <v>213.96440792140336</v>
      </c>
      <c r="O175" s="27" t="s">
        <v>29</v>
      </c>
      <c r="P175" s="28"/>
      <c r="Q175" s="28"/>
      <c r="R175" s="30"/>
      <c r="S175" s="29" t="s">
        <v>29</v>
      </c>
    </row>
    <row r="176" spans="2:19" ht="16.5">
      <c r="C176" s="748" t="s">
        <v>193</v>
      </c>
      <c r="D176" s="749"/>
      <c r="E176" s="454" t="s">
        <v>194</v>
      </c>
      <c r="F176" s="22"/>
      <c r="H176" s="21">
        <f t="shared" si="10"/>
        <v>5346</v>
      </c>
      <c r="I176" s="11">
        <f t="shared" si="11"/>
        <v>5</v>
      </c>
      <c r="J176" s="7">
        <v>1</v>
      </c>
      <c r="L176" s="451" t="s">
        <v>195</v>
      </c>
      <c r="M176" s="23">
        <f>TINV(0.05,8)</f>
        <v>2.3060041352041671</v>
      </c>
      <c r="O176" s="27" t="s">
        <v>29</v>
      </c>
      <c r="P176" s="35" t="s">
        <v>222</v>
      </c>
      <c r="Q176" s="36"/>
      <c r="R176" s="30" t="s">
        <v>223</v>
      </c>
      <c r="S176" s="29" t="s">
        <v>29</v>
      </c>
    </row>
    <row r="177" spans="1:19">
      <c r="C177" s="24" cm="1">
        <f t="array" ref="C177:D178">MMULT(TRANSPOSE(I172:J183),I172:J183)</f>
        <v>650</v>
      </c>
      <c r="D177" s="25">
        <v>78</v>
      </c>
      <c r="E177" s="25" cm="1">
        <f t="array" ref="E177:E178">MMULT(TRANSPOSE(I172:J183),H172:H183)</f>
        <v>543219</v>
      </c>
      <c r="F177" s="22"/>
      <c r="H177" s="21">
        <f t="shared" si="10"/>
        <v>5403</v>
      </c>
      <c r="I177" s="11">
        <f t="shared" si="11"/>
        <v>6</v>
      </c>
      <c r="J177" s="7">
        <v>1</v>
      </c>
      <c r="L177" s="22"/>
      <c r="M177" s="22"/>
      <c r="O177" s="27" t="s">
        <v>198</v>
      </c>
      <c r="P177" s="35"/>
      <c r="Q177" s="36"/>
      <c r="R177" s="30"/>
      <c r="S177" s="29" t="s">
        <v>29</v>
      </c>
    </row>
    <row r="178" spans="1:19" ht="16.5">
      <c r="C178" s="24">
        <v>78</v>
      </c>
      <c r="D178" s="25">
        <v>12</v>
      </c>
      <c r="E178" s="25">
        <v>74983</v>
      </c>
      <c r="F178" s="22"/>
      <c r="H178" s="21">
        <f t="shared" si="10"/>
        <v>5719</v>
      </c>
      <c r="I178" s="11">
        <f>I158</f>
        <v>7</v>
      </c>
      <c r="J178" s="7">
        <v>1</v>
      </c>
      <c r="L178" s="449" t="s">
        <v>201</v>
      </c>
      <c r="M178" s="8">
        <f>M175*SQRT(K158)</f>
        <v>33.015424914928097</v>
      </c>
      <c r="O178" s="27" t="s">
        <v>29</v>
      </c>
      <c r="P178" s="35" t="s">
        <v>224</v>
      </c>
      <c r="Q178" s="36"/>
      <c r="R178" s="30" t="s">
        <v>225</v>
      </c>
      <c r="S178" s="29" t="s">
        <v>29</v>
      </c>
    </row>
    <row r="179" spans="1:19" ht="16.5">
      <c r="C179" s="22"/>
      <c r="D179" s="22"/>
      <c r="E179" s="22"/>
      <c r="F179" s="22"/>
      <c r="H179" s="21">
        <f t="shared" si="10"/>
        <v>6478</v>
      </c>
      <c r="I179" s="11">
        <f t="shared" si="11"/>
        <v>8</v>
      </c>
      <c r="J179" s="7">
        <v>1</v>
      </c>
      <c r="L179" s="451" t="s">
        <v>204</v>
      </c>
      <c r="M179" s="23">
        <f>M158/M178</f>
        <v>6.607301214658075</v>
      </c>
      <c r="O179" s="27" t="s">
        <v>29</v>
      </c>
      <c r="P179" s="28"/>
      <c r="Q179" s="28"/>
      <c r="R179" s="30"/>
      <c r="S179" s="29" t="s">
        <v>29</v>
      </c>
    </row>
    <row r="180" spans="1:19">
      <c r="C180" s="750" t="s">
        <v>205</v>
      </c>
      <c r="D180" s="751"/>
      <c r="E180" s="454" t="s">
        <v>206</v>
      </c>
      <c r="F180" s="22"/>
      <c r="H180" s="21">
        <f t="shared" si="10"/>
        <v>6795</v>
      </c>
      <c r="I180" s="11">
        <f>I164</f>
        <v>9</v>
      </c>
      <c r="J180" s="7">
        <v>1</v>
      </c>
      <c r="L180" s="22"/>
      <c r="M180" s="22"/>
      <c r="O180" s="32" t="s">
        <v>29</v>
      </c>
      <c r="P180" s="33" t="s">
        <v>29</v>
      </c>
      <c r="Q180" s="33" t="s">
        <v>29</v>
      </c>
      <c r="R180" s="33" t="s">
        <v>29</v>
      </c>
      <c r="S180" s="34" t="s">
        <v>29</v>
      </c>
    </row>
    <row r="181" spans="1:19" ht="16.5">
      <c r="C181" s="3" cm="1">
        <f t="array" ref="C181:D182">MINVERSE(_xlfn.ANCHORARRAY(C177))</f>
        <v>6.9930069930069921E-3</v>
      </c>
      <c r="D181" s="23">
        <v>-4.5454545454545449E-2</v>
      </c>
      <c r="E181" s="23" cm="1">
        <f t="array" ref="E181:E182">MMULT(_xlfn.ANCHORARRAY(C181),_xlfn.ANCHORARRAY(E177))</f>
        <v>390.41608391608361</v>
      </c>
      <c r="F181" s="454" t="s">
        <v>82</v>
      </c>
      <c r="H181" s="21">
        <f t="shared" si="10"/>
        <v>7519</v>
      </c>
      <c r="I181" s="11">
        <f t="shared" ref="I181:I183" si="12">I165</f>
        <v>10</v>
      </c>
      <c r="J181" s="7">
        <v>1</v>
      </c>
      <c r="L181" s="449" t="s">
        <v>207</v>
      </c>
      <c r="M181" s="8">
        <f>M175*SQRT(K166)</f>
        <v>95.687792175550342</v>
      </c>
    </row>
    <row r="182" spans="1:19" ht="16.5">
      <c r="C182" s="3">
        <v>-4.5454545454545442E-2</v>
      </c>
      <c r="D182" s="23">
        <v>0.37878787878787873</v>
      </c>
      <c r="E182" s="23">
        <v>3710.8787878787916</v>
      </c>
      <c r="F182" s="455" t="s">
        <v>83</v>
      </c>
      <c r="H182" s="21">
        <f t="shared" si="10"/>
        <v>8401</v>
      </c>
      <c r="I182" s="11">
        <f t="shared" si="12"/>
        <v>11</v>
      </c>
      <c r="J182" s="55">
        <v>1</v>
      </c>
      <c r="L182" s="451" t="s">
        <v>208</v>
      </c>
      <c r="M182" s="23">
        <f>M166/M181</f>
        <v>8.9196331171917453</v>
      </c>
    </row>
    <row r="183" spans="1:19">
      <c r="H183" s="21">
        <f t="shared" si="10"/>
        <v>9346</v>
      </c>
      <c r="I183" s="11">
        <f t="shared" si="12"/>
        <v>12</v>
      </c>
      <c r="J183" s="7">
        <v>1</v>
      </c>
      <c r="L183" s="22"/>
      <c r="M183" s="22"/>
    </row>
    <row r="184" spans="1:19">
      <c r="H184" s="1"/>
      <c r="L184" s="458"/>
      <c r="M184" s="60" t="s">
        <v>8</v>
      </c>
    </row>
    <row r="185" spans="1:19">
      <c r="B185" t="s">
        <v>141</v>
      </c>
      <c r="L185" s="458"/>
      <c r="M185" s="60"/>
    </row>
    <row r="186" spans="1:19" ht="29">
      <c r="A186" s="432" t="s">
        <v>1</v>
      </c>
      <c r="B186" t="str">
        <f t="shared" ref="B186:B198" si="13">B130</f>
        <v>t</v>
      </c>
      <c r="C186" s="432" t="s">
        <v>2</v>
      </c>
    </row>
    <row r="187" spans="1:19">
      <c r="A187" s="37">
        <v>2010</v>
      </c>
      <c r="B187">
        <f t="shared" si="13"/>
        <v>1</v>
      </c>
      <c r="C187" s="26">
        <v>4090</v>
      </c>
      <c r="D187">
        <v>1</v>
      </c>
    </row>
    <row r="188" spans="1:19">
      <c r="A188" s="37">
        <v>2011</v>
      </c>
      <c r="B188">
        <f t="shared" si="13"/>
        <v>2</v>
      </c>
      <c r="C188" s="26">
        <v>3870</v>
      </c>
    </row>
    <row r="189" spans="1:19">
      <c r="A189" s="37">
        <v>2012</v>
      </c>
      <c r="B189">
        <f t="shared" si="13"/>
        <v>3</v>
      </c>
      <c r="C189" s="26">
        <v>3725</v>
      </c>
    </row>
    <row r="190" spans="1:19">
      <c r="A190" s="37">
        <v>2013</v>
      </c>
      <c r="B190">
        <f t="shared" si="13"/>
        <v>4</v>
      </c>
      <c r="C190" s="26">
        <v>3580</v>
      </c>
    </row>
    <row r="191" spans="1:19">
      <c r="A191" s="37">
        <v>2014</v>
      </c>
      <c r="B191">
        <f t="shared" si="13"/>
        <v>5</v>
      </c>
      <c r="C191" s="26">
        <v>3478</v>
      </c>
      <c r="D191">
        <v>2</v>
      </c>
    </row>
    <row r="192" spans="1:19">
      <c r="A192" s="37">
        <v>2015</v>
      </c>
      <c r="B192">
        <f t="shared" si="13"/>
        <v>6</v>
      </c>
      <c r="C192" s="26">
        <v>3543</v>
      </c>
    </row>
    <row r="193" spans="1:17">
      <c r="A193" s="37">
        <v>2016</v>
      </c>
      <c r="B193">
        <f t="shared" si="13"/>
        <v>7</v>
      </c>
      <c r="C193" s="26">
        <v>3700</v>
      </c>
    </row>
    <row r="194" spans="1:17">
      <c r="A194" s="37">
        <v>2017</v>
      </c>
      <c r="B194">
        <f t="shared" si="13"/>
        <v>8</v>
      </c>
      <c r="C194" s="26">
        <v>3898</v>
      </c>
    </row>
    <row r="195" spans="1:17">
      <c r="A195" s="37">
        <v>2018</v>
      </c>
      <c r="B195">
        <f t="shared" si="13"/>
        <v>9</v>
      </c>
      <c r="C195" s="26">
        <v>4306</v>
      </c>
      <c r="D195">
        <v>3</v>
      </c>
    </row>
    <row r="196" spans="1:17">
      <c r="A196" s="37">
        <v>2019</v>
      </c>
      <c r="B196">
        <f t="shared" si="13"/>
        <v>10</v>
      </c>
      <c r="C196" s="26">
        <v>4693</v>
      </c>
    </row>
    <row r="197" spans="1:17">
      <c r="A197" s="37">
        <v>2020</v>
      </c>
      <c r="B197">
        <f t="shared" si="13"/>
        <v>11</v>
      </c>
      <c r="C197" s="26">
        <v>5198</v>
      </c>
    </row>
    <row r="198" spans="1:17">
      <c r="A198" s="37">
        <v>2021</v>
      </c>
      <c r="B198">
        <f t="shared" si="13"/>
        <v>12</v>
      </c>
      <c r="C198" s="26">
        <v>5859</v>
      </c>
    </row>
    <row r="200" spans="1:17">
      <c r="A200" t="s">
        <v>168</v>
      </c>
    </row>
    <row r="201" spans="1:17">
      <c r="A201" t="s">
        <v>226</v>
      </c>
    </row>
    <row r="202" spans="1:17">
      <c r="A202" t="s">
        <v>227</v>
      </c>
    </row>
    <row r="203" spans="1:17">
      <c r="A203" t="s">
        <v>228</v>
      </c>
    </row>
    <row r="205" spans="1:17">
      <c r="B205" t="s">
        <v>172</v>
      </c>
    </row>
    <row r="207" spans="1:17" ht="16.5">
      <c r="C207" s="6" t="s">
        <v>173</v>
      </c>
      <c r="D207" s="6" t="s">
        <v>14</v>
      </c>
      <c r="E207" s="6" t="s">
        <v>174</v>
      </c>
      <c r="F207" s="6">
        <v>1</v>
      </c>
      <c r="H207" s="9" t="s">
        <v>14</v>
      </c>
      <c r="I207" s="9" t="s">
        <v>175</v>
      </c>
      <c r="J207" s="5"/>
      <c r="P207" s="449" t="s">
        <v>176</v>
      </c>
      <c r="Q207" s="8" cm="1">
        <f t="array" ref="Q207">D208-MMULT(TRANSPOSE(_xlfn.ANCHORARRAY(M210)),_xlfn.ANCHORARRAY(D209))</f>
        <v>1687.5000000149012</v>
      </c>
    </row>
    <row r="208" spans="1:17" ht="16.5">
      <c r="C208" s="6" t="s">
        <v>14</v>
      </c>
      <c r="D208" s="7">
        <f>SUMSQ(C187:C190)</f>
        <v>58397025</v>
      </c>
      <c r="E208" s="7">
        <f>D209</f>
        <v>37325</v>
      </c>
      <c r="F208" s="7">
        <f>D210</f>
        <v>15265</v>
      </c>
      <c r="H208" s="16">
        <f>C187</f>
        <v>4090</v>
      </c>
      <c r="I208" s="10">
        <v>1</v>
      </c>
      <c r="J208" s="9">
        <v>1</v>
      </c>
      <c r="P208" s="754" t="s">
        <v>229</v>
      </c>
      <c r="Q208" s="755"/>
    </row>
    <row r="209" spans="2:17" ht="16.5">
      <c r="C209" s="6" t="s">
        <v>174</v>
      </c>
      <c r="D209" s="7" cm="1">
        <f t="array" ref="D209:D210">MMULT(TRANSPOSE(I208:J211),H208:H211)</f>
        <v>37325</v>
      </c>
      <c r="E209" s="7" cm="1">
        <f t="array" ref="E209:F210">MMULT(TRANSPOSE(I208:J211),I208:J211)</f>
        <v>30</v>
      </c>
      <c r="F209" s="7">
        <v>10</v>
      </c>
      <c r="H209" s="16">
        <f t="shared" ref="H209:H211" si="14">C188</f>
        <v>3870</v>
      </c>
      <c r="I209" s="10">
        <v>2</v>
      </c>
      <c r="J209" s="9">
        <v>1</v>
      </c>
      <c r="K209" s="12" t="s">
        <v>177</v>
      </c>
      <c r="L209" s="13"/>
      <c r="M209" s="450" t="s">
        <v>178</v>
      </c>
    </row>
    <row r="210" spans="2:17">
      <c r="C210" s="6">
        <v>1</v>
      </c>
      <c r="D210" s="7">
        <v>15265</v>
      </c>
      <c r="E210" s="7">
        <v>10</v>
      </c>
      <c r="F210" s="7">
        <v>4</v>
      </c>
      <c r="H210" s="16">
        <f t="shared" si="14"/>
        <v>3725</v>
      </c>
      <c r="I210" s="20">
        <v>3</v>
      </c>
      <c r="J210" s="19">
        <v>1</v>
      </c>
      <c r="K210" s="7" cm="1">
        <f t="array" ref="K210:L211">MINVERSE(_xlfn.ANCHORARRAY(E209))</f>
        <v>0.19999999999999993</v>
      </c>
      <c r="L210" s="14">
        <v>-0.49999999999999978</v>
      </c>
      <c r="M210" s="11" cm="1">
        <f t="array" ref="M210:M211">MMULT(_xlfn.ANCHORARRAY(K210),_xlfn.ANCHORARRAY(D209))</f>
        <v>-167.49999999999909</v>
      </c>
      <c r="N210" s="9" t="s">
        <v>82</v>
      </c>
    </row>
    <row r="211" spans="2:17">
      <c r="H211" s="61">
        <f t="shared" si="14"/>
        <v>3580</v>
      </c>
      <c r="I211" s="9">
        <v>4</v>
      </c>
      <c r="J211" s="18">
        <v>1</v>
      </c>
      <c r="K211" s="64">
        <v>-0.49999999999999978</v>
      </c>
      <c r="L211" s="7">
        <v>1.4999999999999993</v>
      </c>
      <c r="M211" s="11">
        <v>4234.9999999999964</v>
      </c>
      <c r="N211" s="9" t="s">
        <v>83</v>
      </c>
    </row>
    <row r="212" spans="2:17">
      <c r="B212" t="s">
        <v>180</v>
      </c>
    </row>
    <row r="214" spans="2:17" ht="16.5">
      <c r="C214" s="6" t="s">
        <v>173</v>
      </c>
      <c r="D214" s="6" t="s">
        <v>14</v>
      </c>
      <c r="E214" s="6" t="s">
        <v>174</v>
      </c>
      <c r="F214" s="6">
        <v>1</v>
      </c>
      <c r="H214" s="9" t="s">
        <v>14</v>
      </c>
      <c r="I214" s="9" t="s">
        <v>175</v>
      </c>
      <c r="J214" s="5"/>
      <c r="P214" s="449" t="s">
        <v>181</v>
      </c>
      <c r="Q214" s="8" cm="1">
        <f t="array" ref="Q214">D215-MMULT(TRANSPOSE(_xlfn.ANCHORARRAY(M217)),_xlfn.ANCHORARRAY(D216))</f>
        <v>2395055.5</v>
      </c>
    </row>
    <row r="215" spans="2:17" ht="16.5">
      <c r="C215" s="6" t="s">
        <v>14</v>
      </c>
      <c r="D215" s="7">
        <f>SUMSQ(C191:C194)</f>
        <v>53533737</v>
      </c>
      <c r="E215" s="7">
        <f>D216</f>
        <v>93169</v>
      </c>
      <c r="F215" s="7">
        <f>D217</f>
        <v>14301</v>
      </c>
      <c r="H215" s="17">
        <f>C190</f>
        <v>3580</v>
      </c>
      <c r="I215" s="10">
        <v>5</v>
      </c>
      <c r="J215" s="9">
        <v>1</v>
      </c>
      <c r="P215" s="754" t="s">
        <v>230</v>
      </c>
      <c r="Q215" s="755"/>
    </row>
    <row r="216" spans="2:17" ht="16.5">
      <c r="C216" s="6" t="s">
        <v>174</v>
      </c>
      <c r="D216" s="7" cm="1">
        <f t="array" ref="D216:D217">MMULT(TRANSPOSE(I215:J218),H215:H218)</f>
        <v>93169</v>
      </c>
      <c r="E216" s="7" cm="1">
        <f t="array" ref="E216:F217">MMULT(TRANSPOSE(I215:J218),I215:J218)</f>
        <v>174</v>
      </c>
      <c r="F216" s="7">
        <v>26</v>
      </c>
      <c r="H216" s="17">
        <f>C191</f>
        <v>3478</v>
      </c>
      <c r="I216" s="20">
        <v>6</v>
      </c>
      <c r="J216" s="9">
        <v>1</v>
      </c>
      <c r="K216" s="12" t="s">
        <v>177</v>
      </c>
      <c r="L216" s="13"/>
      <c r="M216" s="450" t="s">
        <v>178</v>
      </c>
    </row>
    <row r="217" spans="2:17">
      <c r="C217" s="6">
        <v>1</v>
      </c>
      <c r="D217" s="7">
        <v>14301</v>
      </c>
      <c r="E217" s="7">
        <v>26</v>
      </c>
      <c r="F217" s="7">
        <v>4</v>
      </c>
      <c r="H217" s="17">
        <f>C192</f>
        <v>3543</v>
      </c>
      <c r="I217" s="20">
        <v>7</v>
      </c>
      <c r="J217" s="9">
        <v>1</v>
      </c>
      <c r="K217" s="14" cm="1">
        <f t="array" ref="K217:L218">MINVERSE(_xlfn.ANCHORARRAY(E216))</f>
        <v>0.20000000000000065</v>
      </c>
      <c r="L217" s="7">
        <v>-1.3000000000000043</v>
      </c>
      <c r="M217" s="11" cm="1">
        <f t="array" ref="M217:M218">MMULT(_xlfn.ANCHORARRAY(K217),_xlfn.ANCHORARRAY(D216))</f>
        <v>42.5</v>
      </c>
      <c r="N217" s="9" t="s">
        <v>82</v>
      </c>
    </row>
    <row r="218" spans="2:17">
      <c r="H218" s="16">
        <f>C193</f>
        <v>3700</v>
      </c>
      <c r="I218" s="9">
        <v>8</v>
      </c>
      <c r="J218" s="18">
        <v>1</v>
      </c>
      <c r="K218" s="14">
        <v>-1.3000000000000043</v>
      </c>
      <c r="L218" s="7">
        <v>8.7000000000000277</v>
      </c>
      <c r="M218" s="11">
        <v>3299</v>
      </c>
      <c r="N218" s="9" t="s">
        <v>83</v>
      </c>
    </row>
    <row r="220" spans="2:17">
      <c r="B220" t="s">
        <v>183</v>
      </c>
    </row>
    <row r="222" spans="2:17" ht="16.5">
      <c r="C222" s="6" t="s">
        <v>173</v>
      </c>
      <c r="D222" s="6" t="s">
        <v>14</v>
      </c>
      <c r="E222" s="6" t="s">
        <v>174</v>
      </c>
      <c r="F222" s="6">
        <v>1</v>
      </c>
      <c r="H222" s="9" t="s">
        <v>14</v>
      </c>
      <c r="I222" s="9" t="s">
        <v>175</v>
      </c>
      <c r="P222" s="449" t="s">
        <v>184</v>
      </c>
      <c r="Q222" s="8" cm="1">
        <f t="array" ref="Q222">D223-MMULT(TRANSPOSE(_xlfn.ANCHORARRAY(M225)),_xlfn.ANCHORARRAY(D224))</f>
        <v>19136795.300000146</v>
      </c>
    </row>
    <row r="223" spans="2:17">
      <c r="C223" s="6" t="s">
        <v>14</v>
      </c>
      <c r="D223" s="7">
        <f>SUMSQ(C195:C198)</f>
        <v>101912970</v>
      </c>
      <c r="E223" s="7">
        <f>D224</f>
        <v>192141</v>
      </c>
      <c r="F223" s="7">
        <f>D225</f>
        <v>18095</v>
      </c>
      <c r="H223" s="62">
        <f>C194</f>
        <v>3898</v>
      </c>
      <c r="I223" s="63">
        <v>9</v>
      </c>
      <c r="J223" s="18">
        <v>1</v>
      </c>
      <c r="P223" s="56" t="s">
        <v>231</v>
      </c>
      <c r="Q223" s="57"/>
    </row>
    <row r="224" spans="2:17" ht="16.5">
      <c r="C224" s="6" t="s">
        <v>174</v>
      </c>
      <c r="D224" s="7" cm="1">
        <f t="array" ref="D224:D225">MMULT(TRANSPOSE(I223:J226),H223:H226)</f>
        <v>192141</v>
      </c>
      <c r="E224" s="7" cm="1">
        <f t="array" ref="E224:F225">MMULT(TRANSPOSE(I223:J226),I223:J226)</f>
        <v>446</v>
      </c>
      <c r="F224" s="7">
        <v>42</v>
      </c>
      <c r="H224" s="16">
        <f>C195</f>
        <v>4306</v>
      </c>
      <c r="I224" s="9">
        <v>10</v>
      </c>
      <c r="J224" s="18">
        <v>1</v>
      </c>
      <c r="K224" s="12" t="s">
        <v>177</v>
      </c>
      <c r="L224" s="13"/>
      <c r="M224" s="450" t="s">
        <v>178</v>
      </c>
    </row>
    <row r="225" spans="2:19">
      <c r="C225" s="6">
        <v>1</v>
      </c>
      <c r="D225" s="7">
        <v>18095</v>
      </c>
      <c r="E225" s="7">
        <v>42</v>
      </c>
      <c r="F225" s="7">
        <v>4</v>
      </c>
      <c r="H225" s="17">
        <f>C196</f>
        <v>4693</v>
      </c>
      <c r="I225" s="20">
        <v>11</v>
      </c>
      <c r="J225" s="15">
        <v>1</v>
      </c>
      <c r="K225" s="7" cm="1">
        <f t="array" ref="K225:L226">MINVERSE(_xlfn.ANCHORARRAY(E224))</f>
        <v>0.19999999999999943</v>
      </c>
      <c r="L225" s="7">
        <v>-2.0999999999999939</v>
      </c>
      <c r="M225" s="11" cm="1">
        <f t="array" ref="M225:M226">MMULT(_xlfn.ANCHORARRAY(K225),_xlfn.ANCHORARRAY(D224))</f>
        <v>428.69999999999709</v>
      </c>
      <c r="N225" s="9" t="s">
        <v>82</v>
      </c>
    </row>
    <row r="226" spans="2:19">
      <c r="H226" s="16">
        <f>C197</f>
        <v>5198</v>
      </c>
      <c r="I226" s="18">
        <v>12</v>
      </c>
      <c r="J226" s="9">
        <v>1</v>
      </c>
      <c r="K226" s="14">
        <v>-2.0999999999999939</v>
      </c>
      <c r="L226" s="7">
        <v>22.299999999999937</v>
      </c>
      <c r="M226" s="11">
        <v>22.400000000023283</v>
      </c>
      <c r="N226" s="9" t="s">
        <v>83</v>
      </c>
    </row>
    <row r="227" spans="2:19">
      <c r="B227" t="s">
        <v>186</v>
      </c>
    </row>
    <row r="229" spans="2:19">
      <c r="C229" s="6" t="s">
        <v>173</v>
      </c>
      <c r="D229" s="6" t="s">
        <v>14</v>
      </c>
      <c r="E229" s="6" t="s">
        <v>174</v>
      </c>
      <c r="F229" s="6">
        <v>1</v>
      </c>
      <c r="H229" s="15" t="s">
        <v>14</v>
      </c>
      <c r="I229" s="15" t="s">
        <v>175</v>
      </c>
      <c r="L229" s="449" t="s">
        <v>187</v>
      </c>
      <c r="M229" s="8">
        <f>D230-((D232^2)/12)</f>
        <v>6010098.6666666567</v>
      </c>
    </row>
    <row r="230" spans="2:19" ht="16.5">
      <c r="C230" s="6" t="s">
        <v>14</v>
      </c>
      <c r="D230" s="7">
        <f>SUMSQ(C187:C198)</f>
        <v>213843732</v>
      </c>
      <c r="E230" s="7">
        <f>D231</f>
        <v>346227</v>
      </c>
      <c r="F230" s="7">
        <f>D232</f>
        <v>49940</v>
      </c>
      <c r="H230" s="21">
        <f>C187</f>
        <v>4090</v>
      </c>
      <c r="I230" s="11">
        <f>B187</f>
        <v>1</v>
      </c>
      <c r="J230" s="7">
        <v>1</v>
      </c>
      <c r="L230" s="451" t="s">
        <v>188</v>
      </c>
      <c r="M230" s="23" cm="1">
        <f t="array" ref="M230">D230-MMULT(TRANSPOSE(_xlfn.ANCHORARRAY(E239)),_xlfn.ANCHORARRAY(D231))</f>
        <v>2742303.6386944652</v>
      </c>
    </row>
    <row r="231" spans="2:19" ht="16.5">
      <c r="C231" s="6" t="s">
        <v>174</v>
      </c>
      <c r="D231" s="7" cm="1">
        <f t="array" ref="D231:D232">_xlfn.ANCHORARRAY(E235)</f>
        <v>346227</v>
      </c>
      <c r="E231" s="7" cm="1">
        <f t="array" ref="E231:F232">_xlfn.ANCHORARRAY(C235)</f>
        <v>650</v>
      </c>
      <c r="F231" s="7">
        <v>78</v>
      </c>
      <c r="H231" s="21">
        <f t="shared" ref="H231:H241" si="15">C188</f>
        <v>3870</v>
      </c>
      <c r="I231" s="11">
        <f t="shared" ref="I231:I241" si="16">B188</f>
        <v>2</v>
      </c>
      <c r="J231" s="7">
        <v>1</v>
      </c>
      <c r="L231" s="451" t="s">
        <v>189</v>
      </c>
      <c r="M231" s="23">
        <f>SUM(Q207,Q214,Q222)</f>
        <v>21533538.300000161</v>
      </c>
      <c r="O231" s="756" t="s">
        <v>190</v>
      </c>
      <c r="P231" s="757"/>
      <c r="Q231" s="757"/>
      <c r="R231" s="757"/>
      <c r="S231" s="758"/>
    </row>
    <row r="232" spans="2:19" ht="17.5">
      <c r="C232" s="6">
        <v>1</v>
      </c>
      <c r="D232" s="7">
        <v>49940</v>
      </c>
      <c r="E232" s="7">
        <v>78</v>
      </c>
      <c r="F232" s="7">
        <v>12</v>
      </c>
      <c r="H232" s="21">
        <f t="shared" si="15"/>
        <v>3725</v>
      </c>
      <c r="I232" s="11">
        <f t="shared" si="16"/>
        <v>3</v>
      </c>
      <c r="J232" s="7">
        <v>1</v>
      </c>
      <c r="L232" s="451" t="s">
        <v>191</v>
      </c>
      <c r="M232" s="23">
        <f>1-(M231/M229)</f>
        <v>-2.5828926435817023</v>
      </c>
      <c r="O232" s="27" t="s">
        <v>29</v>
      </c>
      <c r="P232" s="28" t="s">
        <v>29</v>
      </c>
      <c r="Q232" s="28" t="s">
        <v>29</v>
      </c>
      <c r="R232" s="28" t="s">
        <v>29</v>
      </c>
      <c r="S232" s="29" t="s">
        <v>29</v>
      </c>
    </row>
    <row r="233" spans="2:19">
      <c r="H233" s="21">
        <f t="shared" si="15"/>
        <v>3580</v>
      </c>
      <c r="I233" s="11">
        <f t="shared" si="16"/>
        <v>4</v>
      </c>
      <c r="J233" s="7">
        <v>1</v>
      </c>
      <c r="L233" s="451" t="s">
        <v>192</v>
      </c>
      <c r="M233" s="23">
        <f>SQRT(M231/8)</f>
        <v>1640.6377685217478</v>
      </c>
      <c r="O233" s="27" t="s">
        <v>29</v>
      </c>
      <c r="P233" s="28"/>
      <c r="Q233" s="28"/>
      <c r="R233" s="30"/>
      <c r="S233" s="29" t="s">
        <v>29</v>
      </c>
    </row>
    <row r="234" spans="2:19" ht="16.5">
      <c r="C234" s="452" t="s">
        <v>193</v>
      </c>
      <c r="D234" s="453"/>
      <c r="E234" s="454" t="s">
        <v>194</v>
      </c>
      <c r="F234" s="22"/>
      <c r="H234" s="21">
        <f t="shared" si="15"/>
        <v>3478</v>
      </c>
      <c r="I234" s="11">
        <f t="shared" si="16"/>
        <v>5</v>
      </c>
      <c r="J234" s="7">
        <v>1</v>
      </c>
      <c r="L234" s="451" t="s">
        <v>195</v>
      </c>
      <c r="M234" s="23">
        <f>TINV(0.05,8)</f>
        <v>2.3060041352041671</v>
      </c>
      <c r="O234" s="27" t="s">
        <v>29</v>
      </c>
      <c r="P234" s="35" t="s">
        <v>232</v>
      </c>
      <c r="Q234" s="36"/>
      <c r="R234" s="30" t="s">
        <v>233</v>
      </c>
      <c r="S234" s="29" t="s">
        <v>29</v>
      </c>
    </row>
    <row r="235" spans="2:19">
      <c r="C235" s="24" cm="1">
        <f t="array" ref="C235:D236">MMULT(TRANSPOSE(I230:J241),I230:J241)</f>
        <v>650</v>
      </c>
      <c r="D235" s="25">
        <v>78</v>
      </c>
      <c r="E235" s="25" cm="1">
        <f t="array" ref="E235:E236">MMULT(TRANSPOSE(I230:J241),H230:H241)</f>
        <v>346227</v>
      </c>
      <c r="F235" s="22"/>
      <c r="H235" s="21">
        <f t="shared" si="15"/>
        <v>3543</v>
      </c>
      <c r="I235" s="11">
        <f t="shared" si="16"/>
        <v>6</v>
      </c>
      <c r="J235" s="7">
        <v>1</v>
      </c>
      <c r="L235" s="22"/>
      <c r="M235" s="22"/>
      <c r="O235" s="27" t="s">
        <v>198</v>
      </c>
      <c r="P235" s="35" t="s">
        <v>234</v>
      </c>
      <c r="Q235" s="36"/>
      <c r="R235" s="30" t="s">
        <v>235</v>
      </c>
      <c r="S235" s="29" t="s">
        <v>29</v>
      </c>
    </row>
    <row r="236" spans="2:19" ht="16.5">
      <c r="C236" s="24">
        <v>78</v>
      </c>
      <c r="D236" s="25">
        <v>12</v>
      </c>
      <c r="E236" s="25">
        <v>49940</v>
      </c>
      <c r="F236" s="22"/>
      <c r="H236" s="21">
        <f t="shared" si="15"/>
        <v>3700</v>
      </c>
      <c r="I236" s="11">
        <f t="shared" si="16"/>
        <v>7</v>
      </c>
      <c r="J236" s="7">
        <v>1</v>
      </c>
      <c r="L236" s="449" t="s">
        <v>201</v>
      </c>
      <c r="M236" s="8">
        <f>M233*SQRT(K210)</f>
        <v>733.71551537363848</v>
      </c>
      <c r="O236" s="27" t="s">
        <v>29</v>
      </c>
      <c r="P236" s="35" t="s">
        <v>236</v>
      </c>
      <c r="Q236" s="36"/>
      <c r="R236" s="30" t="s">
        <v>225</v>
      </c>
      <c r="S236" s="29" t="s">
        <v>29</v>
      </c>
    </row>
    <row r="237" spans="2:19" ht="16.5">
      <c r="C237" s="22"/>
      <c r="D237" s="22"/>
      <c r="E237" s="22"/>
      <c r="F237" s="22"/>
      <c r="H237" s="21">
        <f t="shared" si="15"/>
        <v>3898</v>
      </c>
      <c r="I237" s="11">
        <f t="shared" si="16"/>
        <v>8</v>
      </c>
      <c r="J237" s="7">
        <v>1</v>
      </c>
      <c r="L237" s="451" t="s">
        <v>204</v>
      </c>
      <c r="M237" s="23">
        <f>M210/M236</f>
        <v>-0.22829011584237949</v>
      </c>
      <c r="O237" s="27" t="s">
        <v>29</v>
      </c>
      <c r="P237" s="28"/>
      <c r="Q237" s="28"/>
      <c r="R237" s="30"/>
      <c r="S237" s="29" t="s">
        <v>29</v>
      </c>
    </row>
    <row r="238" spans="2:19">
      <c r="C238" s="58" t="s">
        <v>205</v>
      </c>
      <c r="D238" s="59"/>
      <c r="E238" s="454" t="s">
        <v>206</v>
      </c>
      <c r="F238" s="22"/>
      <c r="H238" s="21">
        <f t="shared" si="15"/>
        <v>4306</v>
      </c>
      <c r="I238" s="11">
        <f t="shared" si="16"/>
        <v>9</v>
      </c>
      <c r="J238" s="7">
        <v>1</v>
      </c>
      <c r="L238" s="22"/>
      <c r="M238" s="22"/>
      <c r="O238" s="32" t="s">
        <v>29</v>
      </c>
      <c r="P238" s="33" t="s">
        <v>29</v>
      </c>
      <c r="Q238" s="33" t="s">
        <v>29</v>
      </c>
      <c r="R238" s="33" t="s">
        <v>29</v>
      </c>
      <c r="S238" s="34" t="s">
        <v>29</v>
      </c>
    </row>
    <row r="239" spans="2:19" ht="16.5">
      <c r="C239" s="3" cm="1">
        <f t="array" ref="C239:D240">MINVERSE(_xlfn.ANCHORARRAY(C235))</f>
        <v>6.9930069930069921E-3</v>
      </c>
      <c r="D239" s="23">
        <v>-4.5454545454545449E-2</v>
      </c>
      <c r="E239" s="23" cm="1">
        <f t="array" ref="E239:E240">MMULT(_xlfn.ANCHORARRAY(C239),_xlfn.ANCHORARRAY(E235))</f>
        <v>151.16783216783233</v>
      </c>
      <c r="F239" s="454" t="s">
        <v>82</v>
      </c>
      <c r="H239" s="21">
        <f t="shared" si="15"/>
        <v>4693</v>
      </c>
      <c r="I239" s="11">
        <f t="shared" si="16"/>
        <v>10</v>
      </c>
      <c r="J239" s="7">
        <v>1</v>
      </c>
      <c r="L239" s="449" t="s">
        <v>207</v>
      </c>
      <c r="M239" s="8">
        <f>M233*SQRT(K217)</f>
        <v>733.71551537363973</v>
      </c>
    </row>
    <row r="240" spans="2:19" ht="16.5">
      <c r="C240" s="3">
        <v>-4.5454545454545442E-2</v>
      </c>
      <c r="D240" s="23">
        <v>0.37878787878787873</v>
      </c>
      <c r="E240" s="23">
        <v>3179.0757575757598</v>
      </c>
      <c r="F240" s="455" t="s">
        <v>83</v>
      </c>
      <c r="H240" s="21">
        <f t="shared" si="15"/>
        <v>5198</v>
      </c>
      <c r="I240" s="11">
        <f t="shared" si="16"/>
        <v>11</v>
      </c>
      <c r="J240" s="55">
        <v>1</v>
      </c>
      <c r="L240" s="451" t="s">
        <v>208</v>
      </c>
      <c r="M240" s="23">
        <f>M217/M239</f>
        <v>5.7924357751051724E-2</v>
      </c>
    </row>
    <row r="241" spans="8:13">
      <c r="H241" s="21">
        <f t="shared" si="15"/>
        <v>5859</v>
      </c>
      <c r="I241" s="11">
        <f t="shared" si="16"/>
        <v>12</v>
      </c>
      <c r="J241" s="7">
        <v>1</v>
      </c>
      <c r="L241" s="22"/>
      <c r="M241" s="22"/>
    </row>
    <row r="242" spans="8:13" ht="16.5">
      <c r="H242" s="1"/>
      <c r="L242" s="449" t="s">
        <v>209</v>
      </c>
      <c r="M242" s="8">
        <f>M233*SQRT(K225)</f>
        <v>733.71551537363757</v>
      </c>
    </row>
    <row r="243" spans="8:13" ht="16.5">
      <c r="L243" s="451" t="s">
        <v>210</v>
      </c>
      <c r="M243" s="23">
        <f>M225/M242</f>
        <v>0.5842864039500183</v>
      </c>
    </row>
  </sheetData>
  <mergeCells count="25">
    <mergeCell ref="O231:S231"/>
    <mergeCell ref="P208:Q208"/>
    <mergeCell ref="P215:Q215"/>
    <mergeCell ref="O173:S173"/>
    <mergeCell ref="C176:D176"/>
    <mergeCell ref="C180:D180"/>
    <mergeCell ref="K165:L165"/>
    <mergeCell ref="P164:Q164"/>
    <mergeCell ref="O51:S51"/>
    <mergeCell ref="K89:L89"/>
    <mergeCell ref="P89:Q89"/>
    <mergeCell ref="P96:Q96"/>
    <mergeCell ref="P107:Q107"/>
    <mergeCell ref="O115:S115"/>
    <mergeCell ref="P25:Q25"/>
    <mergeCell ref="P32:Q32"/>
    <mergeCell ref="K43:L43"/>
    <mergeCell ref="P43:Q43"/>
    <mergeCell ref="K157:L157"/>
    <mergeCell ref="P152:Q152"/>
    <mergeCell ref="C118:D118"/>
    <mergeCell ref="C122:D122"/>
    <mergeCell ref="C54:D54"/>
    <mergeCell ref="C58:D58"/>
    <mergeCell ref="K25:L2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75CA-FCEF-45CE-9F6E-EB8047702C15}">
  <dimension ref="A1:Z283"/>
  <sheetViews>
    <sheetView workbookViewId="0">
      <selection activeCell="J278" sqref="J278"/>
    </sheetView>
  </sheetViews>
  <sheetFormatPr defaultRowHeight="14.5"/>
  <cols>
    <col min="2" max="2" width="14.453125" customWidth="1"/>
    <col min="16" max="16" width="15.26953125" customWidth="1"/>
  </cols>
  <sheetData>
    <row r="1" spans="1:26" ht="26">
      <c r="A1" s="779" t="s">
        <v>237</v>
      </c>
      <c r="B1" s="780"/>
      <c r="C1" s="780"/>
      <c r="D1" s="780"/>
      <c r="E1" s="780"/>
      <c r="F1" s="780"/>
      <c r="G1" s="780"/>
      <c r="H1" s="780"/>
      <c r="I1" s="780"/>
      <c r="J1" s="780"/>
      <c r="K1" s="780"/>
      <c r="L1" s="780"/>
      <c r="M1" s="780"/>
      <c r="N1" s="780"/>
      <c r="O1" s="780"/>
      <c r="P1" s="780"/>
      <c r="Q1" s="780"/>
      <c r="R1" s="780"/>
      <c r="S1" s="780"/>
      <c r="T1" s="780"/>
      <c r="U1" s="780"/>
      <c r="V1" s="780"/>
      <c r="W1" s="780"/>
      <c r="X1" s="780"/>
      <c r="Y1" s="780"/>
      <c r="Z1" s="781"/>
    </row>
    <row r="2" spans="1:26" ht="26">
      <c r="A2" s="171"/>
      <c r="B2" s="130"/>
      <c r="C2" s="130"/>
      <c r="D2" s="130"/>
      <c r="E2" s="130"/>
      <c r="F2" s="130"/>
      <c r="G2" s="130"/>
      <c r="H2" s="130"/>
      <c r="I2" s="130" t="s">
        <v>8</v>
      </c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</row>
    <row r="3" spans="1:26" ht="29">
      <c r="A3" s="234" t="s">
        <v>82</v>
      </c>
      <c r="B3" s="230" t="s">
        <v>1</v>
      </c>
      <c r="C3" s="216" t="s">
        <v>2</v>
      </c>
    </row>
    <row r="4" spans="1:26">
      <c r="A4" s="218">
        <v>1</v>
      </c>
      <c r="B4" s="231">
        <v>2010</v>
      </c>
      <c r="C4" s="213">
        <v>4793</v>
      </c>
      <c r="E4" s="131" cm="1">
        <f t="array" ref="E4:F8">LINEST(C4:C8,A4:A8,TRUE,1)</f>
        <v>102.99999999999999</v>
      </c>
      <c r="F4" s="134">
        <v>4674</v>
      </c>
      <c r="G4" s="129"/>
      <c r="H4" s="131" cm="1">
        <f t="array" ref="H4:I8">LINEST(C5:C9,A5:A9,1,1)</f>
        <v>123.99999999999997</v>
      </c>
      <c r="I4" s="134">
        <v>4603</v>
      </c>
      <c r="J4" s="129"/>
      <c r="K4" s="131" cm="1">
        <f t="array" ref="K4:L8">LINEST(C6:C10,A6:A10,1,1)</f>
        <v>177.2</v>
      </c>
      <c r="L4" s="134">
        <v>4301.2</v>
      </c>
      <c r="M4" s="129"/>
      <c r="N4" s="131" cm="1">
        <f t="array" ref="N4:O8">LINEST(C7:C11,A7:A11,1,1)</f>
        <v>127.99999999999999</v>
      </c>
      <c r="O4" s="134">
        <v>4607.6000000000004</v>
      </c>
      <c r="P4" s="129"/>
    </row>
    <row r="5" spans="1:26">
      <c r="A5" s="219">
        <v>2</v>
      </c>
      <c r="B5" s="232">
        <v>2011</v>
      </c>
      <c r="C5" s="214">
        <v>5029</v>
      </c>
      <c r="E5" s="132">
        <v>58.447697416864365</v>
      </c>
      <c r="F5" s="135">
        <v>193.84908219196362</v>
      </c>
      <c r="G5" s="129"/>
      <c r="H5" s="132">
        <v>58.746347404186182</v>
      </c>
      <c r="I5" s="135">
        <v>249.23964371664468</v>
      </c>
      <c r="J5" s="129"/>
      <c r="K5" s="132">
        <v>35.185413644482473</v>
      </c>
      <c r="L5" s="135">
        <v>182.8287723527126</v>
      </c>
      <c r="M5" s="129"/>
      <c r="N5" s="132">
        <v>7.9858207676689954</v>
      </c>
      <c r="O5" s="135">
        <v>49.227905365419218</v>
      </c>
      <c r="P5" s="129"/>
    </row>
    <row r="6" spans="1:26">
      <c r="A6" s="219">
        <v>3</v>
      </c>
      <c r="B6" s="232">
        <v>2012</v>
      </c>
      <c r="C6" s="214">
        <v>4712</v>
      </c>
      <c r="E6" s="132">
        <v>0.50864441397297844</v>
      </c>
      <c r="F6" s="135">
        <v>184.82784782963128</v>
      </c>
      <c r="G6" s="129"/>
      <c r="H6" s="132">
        <v>0.59760429702985696</v>
      </c>
      <c r="I6" s="135">
        <v>185.77226201274863</v>
      </c>
      <c r="J6" s="129"/>
      <c r="K6" s="132">
        <v>0.89422872095023387</v>
      </c>
      <c r="L6" s="135">
        <v>111.26604753173062</v>
      </c>
      <c r="M6" s="129"/>
      <c r="N6" s="132">
        <v>0.98845753807467962</v>
      </c>
      <c r="O6" s="135">
        <v>25.253382611708361</v>
      </c>
      <c r="P6" s="129"/>
    </row>
    <row r="7" spans="1:26">
      <c r="A7" s="219">
        <v>4</v>
      </c>
      <c r="B7" s="232">
        <v>2013</v>
      </c>
      <c r="C7" s="214">
        <v>5117</v>
      </c>
      <c r="E7" s="132">
        <v>3.1055579407517269</v>
      </c>
      <c r="F7" s="135">
        <v>3</v>
      </c>
      <c r="G7" s="129"/>
      <c r="H7" s="132">
        <v>4.4553480016226574</v>
      </c>
      <c r="I7" s="135">
        <v>3</v>
      </c>
      <c r="J7" s="129"/>
      <c r="K7" s="132">
        <v>25.36308709653099</v>
      </c>
      <c r="L7" s="135">
        <v>3</v>
      </c>
      <c r="M7" s="129"/>
      <c r="N7" s="132">
        <v>256.90988919088397</v>
      </c>
      <c r="O7" s="135">
        <v>3</v>
      </c>
      <c r="P7" s="129"/>
    </row>
    <row r="8" spans="1:26">
      <c r="A8" s="219">
        <v>5</v>
      </c>
      <c r="B8" s="232">
        <v>2014</v>
      </c>
      <c r="C8" s="214">
        <v>5264</v>
      </c>
      <c r="E8" s="133">
        <v>106090</v>
      </c>
      <c r="F8" s="136">
        <v>102484</v>
      </c>
      <c r="G8" s="129"/>
      <c r="H8" s="133">
        <v>153760.00000000003</v>
      </c>
      <c r="I8" s="136">
        <v>103533.99999999997</v>
      </c>
      <c r="J8" s="129"/>
      <c r="K8" s="133">
        <v>313998.39999999997</v>
      </c>
      <c r="L8" s="136">
        <v>37140.400000000009</v>
      </c>
      <c r="M8" s="129"/>
      <c r="N8" s="133">
        <v>163839.99999999997</v>
      </c>
      <c r="O8" s="136">
        <v>1913.2000000000028</v>
      </c>
      <c r="P8" s="129"/>
    </row>
    <row r="9" spans="1:26">
      <c r="A9" s="219">
        <v>6</v>
      </c>
      <c r="B9" s="232">
        <v>2015</v>
      </c>
      <c r="C9" s="214">
        <v>5373</v>
      </c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</row>
    <row r="10" spans="1:26">
      <c r="A10" s="219">
        <v>7</v>
      </c>
      <c r="B10" s="232">
        <v>2016</v>
      </c>
      <c r="C10" s="214">
        <v>5470</v>
      </c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</row>
    <row r="11" spans="1:26">
      <c r="A11" s="219">
        <v>8</v>
      </c>
      <c r="B11" s="232">
        <v>2017</v>
      </c>
      <c r="C11" s="214">
        <v>5654</v>
      </c>
      <c r="E11" s="131" cm="1">
        <f t="array" ref="E11:F15">LINEST(C8:C12,A8:A12,1,1)</f>
        <v>199.69999999999996</v>
      </c>
      <c r="F11" s="134">
        <v>4178.7000000000007</v>
      </c>
      <c r="H11" s="131" cm="1">
        <f t="array" ref="H11:I15">LINEST(C9:C13,A9:A13,1,1)</f>
        <v>266.39999999999992</v>
      </c>
      <c r="I11" s="134">
        <v>3668.400000000001</v>
      </c>
      <c r="J11" s="129"/>
      <c r="K11" s="131" cm="1">
        <f t="array" ref="K11:L15">LINEST(C10:C13,A10:A13,TRUE,1)</f>
        <v>319.49999999999994</v>
      </c>
      <c r="L11" s="134">
        <v>3190.5000000000005</v>
      </c>
      <c r="M11" s="129"/>
      <c r="N11" s="131" cm="1">
        <f t="array" ref="N11:O15">LINEST(C11:C15,A11:A15,1,1)</f>
        <v>447.99999999999989</v>
      </c>
      <c r="O11" s="134">
        <v>2022.2000000000007</v>
      </c>
      <c r="P11" s="129"/>
      <c r="Q11" s="129"/>
      <c r="R11" s="129"/>
    </row>
    <row r="12" spans="1:26">
      <c r="A12" s="219">
        <v>9</v>
      </c>
      <c r="B12" s="232">
        <v>2018</v>
      </c>
      <c r="C12" s="214">
        <v>6122</v>
      </c>
      <c r="E12" s="132">
        <v>42.889897800453355</v>
      </c>
      <c r="F12" s="135">
        <v>306.29513544945502</v>
      </c>
      <c r="H12" s="132">
        <v>37.318270770941844</v>
      </c>
      <c r="I12" s="135">
        <v>303.17506493773521</v>
      </c>
      <c r="J12" s="129"/>
      <c r="K12" s="132">
        <v>36.855800086282208</v>
      </c>
      <c r="L12" s="135">
        <v>315.9726649569547</v>
      </c>
      <c r="M12" s="129"/>
      <c r="N12" s="132">
        <v>47.713310511847752</v>
      </c>
      <c r="O12" s="135">
        <v>481.88081514000959</v>
      </c>
      <c r="P12" s="129"/>
      <c r="Q12" s="129"/>
      <c r="R12" s="129"/>
    </row>
    <row r="13" spans="1:26">
      <c r="A13" s="219">
        <v>10</v>
      </c>
      <c r="B13" s="232">
        <v>2019</v>
      </c>
      <c r="C13" s="214">
        <v>6379</v>
      </c>
      <c r="E13" s="132">
        <v>0.87844084590931204</v>
      </c>
      <c r="F13" s="135">
        <v>135.62976566127853</v>
      </c>
      <c r="H13" s="132">
        <v>0.94440277791824334</v>
      </c>
      <c r="I13" s="135">
        <v>118.010733975064</v>
      </c>
      <c r="J13" s="129"/>
      <c r="K13" s="132">
        <v>0.97407653562436691</v>
      </c>
      <c r="L13" s="135">
        <v>82.412074358069631</v>
      </c>
      <c r="M13" s="129"/>
      <c r="N13" s="132">
        <v>0.96709122104903644</v>
      </c>
      <c r="O13" s="135">
        <v>150.88273592429323</v>
      </c>
      <c r="P13" s="129"/>
      <c r="Q13" s="129"/>
      <c r="R13" s="129"/>
    </row>
    <row r="14" spans="1:26">
      <c r="A14" s="219">
        <v>11</v>
      </c>
      <c r="B14" s="232">
        <v>2020</v>
      </c>
      <c r="C14" s="214">
        <v>6802</v>
      </c>
      <c r="E14" s="132">
        <v>21.679342517980015</v>
      </c>
      <c r="F14" s="135">
        <v>3</v>
      </c>
      <c r="H14" s="132">
        <v>50.959530488563828</v>
      </c>
      <c r="I14" s="135">
        <v>3</v>
      </c>
      <c r="J14" s="129"/>
      <c r="K14" s="132">
        <v>75.150182206353321</v>
      </c>
      <c r="L14" s="135">
        <v>2</v>
      </c>
      <c r="M14" s="129"/>
      <c r="N14" s="132">
        <v>88.161085146009739</v>
      </c>
      <c r="O14" s="135">
        <v>3</v>
      </c>
      <c r="P14" s="129"/>
      <c r="Q14" s="129"/>
      <c r="R14" s="129"/>
    </row>
    <row r="15" spans="1:26">
      <c r="A15" s="220">
        <v>12</v>
      </c>
      <c r="B15" s="233">
        <v>2021</v>
      </c>
      <c r="C15" s="215">
        <v>7554</v>
      </c>
      <c r="E15" s="133">
        <v>398800.90000000008</v>
      </c>
      <c r="F15" s="136">
        <v>55186.299999999996</v>
      </c>
      <c r="H15" s="133">
        <v>709689.6</v>
      </c>
      <c r="I15" s="136">
        <v>41779.599999999969</v>
      </c>
      <c r="J15" s="129"/>
      <c r="K15" s="133">
        <v>510401.25</v>
      </c>
      <c r="L15" s="136">
        <v>13583.499999999995</v>
      </c>
      <c r="M15" s="129"/>
      <c r="N15" s="133">
        <v>2007040.0000000002</v>
      </c>
      <c r="O15" s="136">
        <v>68296.800000000032</v>
      </c>
      <c r="P15" s="129"/>
      <c r="Q15" s="129"/>
      <c r="R15" s="129"/>
    </row>
    <row r="16" spans="1:26">
      <c r="A16" s="129"/>
      <c r="B16" s="211"/>
      <c r="C16" s="212"/>
    </row>
    <row r="17" spans="1:26" ht="26">
      <c r="A17" s="779" t="s">
        <v>238</v>
      </c>
      <c r="B17" s="780"/>
      <c r="C17" s="780"/>
      <c r="D17" s="780"/>
      <c r="E17" s="780"/>
      <c r="F17" s="780"/>
      <c r="G17" s="780"/>
      <c r="H17" s="780"/>
      <c r="I17" s="780"/>
      <c r="J17" s="780"/>
      <c r="K17" s="780"/>
      <c r="L17" s="780"/>
      <c r="M17" s="780"/>
      <c r="N17" s="780"/>
      <c r="O17" s="780"/>
      <c r="P17" s="780"/>
      <c r="Q17" s="780"/>
      <c r="R17" s="780"/>
      <c r="S17" s="780"/>
      <c r="T17" s="780"/>
      <c r="U17" s="780"/>
      <c r="V17" s="780"/>
      <c r="W17" s="780"/>
      <c r="X17" s="780"/>
      <c r="Y17" s="780"/>
      <c r="Z17" s="781"/>
    </row>
    <row r="19" spans="1:26">
      <c r="B19" s="152" t="s">
        <v>82</v>
      </c>
      <c r="C19" s="238" t="s">
        <v>239</v>
      </c>
      <c r="D19" s="239" t="s">
        <v>240</v>
      </c>
      <c r="E19" s="239" t="s">
        <v>241</v>
      </c>
      <c r="F19" s="239" t="s">
        <v>242</v>
      </c>
      <c r="G19" s="239" t="s">
        <v>243</v>
      </c>
      <c r="H19" s="239" t="s">
        <v>244</v>
      </c>
      <c r="I19" s="239" t="s">
        <v>245</v>
      </c>
      <c r="J19" s="240" t="s">
        <v>246</v>
      </c>
      <c r="K19" s="224"/>
      <c r="L19" s="5"/>
    </row>
    <row r="20" spans="1:26">
      <c r="B20" s="158">
        <f>A4</f>
        <v>1</v>
      </c>
      <c r="C20" s="170" cm="1">
        <f t="array" ref="C20:C24">TREND(C4:C8,A4:A8,B20:B24,1)</f>
        <v>4777</v>
      </c>
      <c r="D20" s="236"/>
      <c r="E20" s="236"/>
      <c r="F20" s="236"/>
      <c r="G20" s="236"/>
      <c r="H20" s="236"/>
      <c r="I20" s="236"/>
      <c r="J20" s="237"/>
      <c r="K20" s="225">
        <f>AVERAGE(C20:J20)</f>
        <v>4777</v>
      </c>
      <c r="L20" s="621"/>
    </row>
    <row r="21" spans="1:26">
      <c r="B21" s="159">
        <f t="shared" ref="B21:B31" si="0">A5</f>
        <v>2</v>
      </c>
      <c r="C21" s="132">
        <v>4880</v>
      </c>
      <c r="D21" s="140" cm="1">
        <f t="array" ref="D21:D25">TREND(C5:C9,A5:A9,B21:B25,1)</f>
        <v>4851</v>
      </c>
      <c r="E21" s="140"/>
      <c r="F21" s="140"/>
      <c r="G21" s="140"/>
      <c r="H21" s="140"/>
      <c r="I21" s="140"/>
      <c r="J21" s="141"/>
      <c r="K21" s="149">
        <f t="shared" ref="K21:K29" si="1">AVERAGE(C21:J21)</f>
        <v>4865.5</v>
      </c>
      <c r="L21" s="621"/>
    </row>
    <row r="22" spans="1:26">
      <c r="B22" s="159">
        <f t="shared" si="0"/>
        <v>3</v>
      </c>
      <c r="C22" s="132">
        <v>4983</v>
      </c>
      <c r="D22" s="140">
        <v>4975</v>
      </c>
      <c r="E22" s="140" cm="1">
        <f t="array" ref="E22:E26">TREND(C6:C10,A6:A10,B22:B26,FALSE)</f>
        <v>2921.155555555556</v>
      </c>
      <c r="F22" s="140"/>
      <c r="G22" s="140"/>
      <c r="H22" s="140"/>
      <c r="I22" s="140"/>
      <c r="J22" s="141"/>
      <c r="K22" s="149">
        <f t="shared" si="1"/>
        <v>4293.051851851852</v>
      </c>
      <c r="L22" s="621"/>
    </row>
    <row r="23" spans="1:26">
      <c r="B23" s="159">
        <f t="shared" si="0"/>
        <v>4</v>
      </c>
      <c r="C23" s="132">
        <v>5086</v>
      </c>
      <c r="D23" s="140">
        <v>5099</v>
      </c>
      <c r="E23" s="140">
        <v>3894.874074074075</v>
      </c>
      <c r="F23" s="140" cm="1">
        <f t="array" ref="F23:F27">TREND(C7:C11,A7:A11,B23:B27,1)</f>
        <v>5119.6000000000004</v>
      </c>
      <c r="G23" s="140"/>
      <c r="H23" s="140"/>
      <c r="I23" s="140"/>
      <c r="J23" s="141"/>
      <c r="K23" s="149">
        <f t="shared" si="1"/>
        <v>4799.8685185185186</v>
      </c>
      <c r="L23" s="621"/>
    </row>
    <row r="24" spans="1:26">
      <c r="B24" s="159">
        <f t="shared" si="0"/>
        <v>5</v>
      </c>
      <c r="C24" s="132">
        <v>5189</v>
      </c>
      <c r="D24" s="140">
        <v>5223</v>
      </c>
      <c r="E24" s="140">
        <v>4868.592592592594</v>
      </c>
      <c r="F24" s="140">
        <v>5247.6</v>
      </c>
      <c r="G24" s="140" cm="1">
        <f t="array" ref="G24:G28">TREND(C8:C12,A8:A12,B24:B28,1)</f>
        <v>5177.2000000000007</v>
      </c>
      <c r="H24" s="140"/>
      <c r="I24" s="140"/>
      <c r="J24" s="141"/>
      <c r="K24" s="149">
        <f t="shared" si="1"/>
        <v>5141.0785185185196</v>
      </c>
      <c r="L24" s="621"/>
    </row>
    <row r="25" spans="1:26">
      <c r="B25" s="159">
        <f t="shared" si="0"/>
        <v>6</v>
      </c>
      <c r="C25" s="132"/>
      <c r="D25" s="140">
        <v>5347</v>
      </c>
      <c r="E25" s="140">
        <v>5842.311111111112</v>
      </c>
      <c r="F25" s="140">
        <v>5375.6</v>
      </c>
      <c r="G25" s="140">
        <v>5376.9000000000005</v>
      </c>
      <c r="H25" s="140" cm="1">
        <f t="array" ref="H25:H29">TREND(C9:C13,A9:A13,B25:B29,1)</f>
        <v>5266.8000000000011</v>
      </c>
      <c r="I25" s="140"/>
      <c r="J25" s="141"/>
      <c r="K25" s="149">
        <f t="shared" si="1"/>
        <v>5441.7222222222235</v>
      </c>
      <c r="L25" s="621"/>
    </row>
    <row r="26" spans="1:26">
      <c r="B26" s="159">
        <f t="shared" si="0"/>
        <v>7</v>
      </c>
      <c r="C26" s="132"/>
      <c r="D26" s="140"/>
      <c r="E26" s="140">
        <v>6816.029629629631</v>
      </c>
      <c r="F26" s="140">
        <v>5503.6</v>
      </c>
      <c r="G26" s="140">
        <v>5576.6</v>
      </c>
      <c r="H26" s="140">
        <v>5533.2000000000007</v>
      </c>
      <c r="I26" s="140" cm="1">
        <f t="array" ref="I26:I30">TREND(C10:C14,A10:A14,B26:B30,1)</f>
        <v>5407.5999999999995</v>
      </c>
      <c r="J26" s="141"/>
      <c r="K26" s="149">
        <f t="shared" si="1"/>
        <v>5767.4059259259266</v>
      </c>
      <c r="L26" s="621"/>
    </row>
    <row r="27" spans="1:26">
      <c r="B27" s="159">
        <f t="shared" si="0"/>
        <v>8</v>
      </c>
      <c r="C27" s="132"/>
      <c r="D27" s="140"/>
      <c r="E27" s="140"/>
      <c r="F27" s="140">
        <v>5631.6</v>
      </c>
      <c r="G27" s="140">
        <v>5776.3</v>
      </c>
      <c r="H27" s="140">
        <v>5799.6</v>
      </c>
      <c r="I27" s="140">
        <v>5746.5</v>
      </c>
      <c r="J27" s="141" cm="1">
        <f t="array" ref="J27:J31">TREND(C11:C15,A11:A15,B27:B31,1)</f>
        <v>5606.2</v>
      </c>
      <c r="K27" s="149">
        <f t="shared" si="1"/>
        <v>5712.04</v>
      </c>
      <c r="L27" s="621"/>
    </row>
    <row r="28" spans="1:26">
      <c r="B28" s="159">
        <f t="shared" si="0"/>
        <v>9</v>
      </c>
      <c r="C28" s="132"/>
      <c r="D28" s="140"/>
      <c r="E28" s="140"/>
      <c r="F28" s="140"/>
      <c r="G28" s="140">
        <v>5976</v>
      </c>
      <c r="H28" s="140">
        <v>6066</v>
      </c>
      <c r="I28" s="140">
        <v>6085.4</v>
      </c>
      <c r="J28" s="141">
        <v>6054.2</v>
      </c>
      <c r="K28" s="149">
        <f t="shared" si="1"/>
        <v>6045.4000000000005</v>
      </c>
      <c r="L28" s="621"/>
    </row>
    <row r="29" spans="1:26">
      <c r="B29" s="159">
        <f t="shared" si="0"/>
        <v>10</v>
      </c>
      <c r="C29" s="132"/>
      <c r="D29" s="140"/>
      <c r="E29" s="140"/>
      <c r="F29" s="140"/>
      <c r="G29" s="140"/>
      <c r="H29" s="140">
        <v>6332.4</v>
      </c>
      <c r="I29" s="140">
        <v>6424.2999999999993</v>
      </c>
      <c r="J29" s="141">
        <v>6502.2</v>
      </c>
      <c r="K29" s="149">
        <f t="shared" si="1"/>
        <v>6419.6333333333323</v>
      </c>
      <c r="L29" s="621"/>
    </row>
    <row r="30" spans="1:26">
      <c r="B30" s="159">
        <f t="shared" si="0"/>
        <v>11</v>
      </c>
      <c r="C30" s="132"/>
      <c r="D30" s="140"/>
      <c r="E30" s="140"/>
      <c r="F30" s="140"/>
      <c r="G30" s="140"/>
      <c r="H30" s="140"/>
      <c r="I30" s="140">
        <v>6763.1999999999989</v>
      </c>
      <c r="J30" s="141">
        <v>6950.2</v>
      </c>
      <c r="K30" s="149">
        <f>AVERAGE(C30:J30)</f>
        <v>6856.6999999999989</v>
      </c>
      <c r="L30" s="621"/>
      <c r="M30" s="1"/>
    </row>
    <row r="31" spans="1:26">
      <c r="B31" s="160">
        <f t="shared" si="0"/>
        <v>12</v>
      </c>
      <c r="C31" s="133"/>
      <c r="D31" s="143"/>
      <c r="E31" s="143"/>
      <c r="F31" s="143"/>
      <c r="G31" s="143"/>
      <c r="H31" s="143"/>
      <c r="I31" s="143"/>
      <c r="J31" s="144">
        <v>7398.1999999999989</v>
      </c>
      <c r="K31" s="150">
        <f>AVERAGE(C31:J31)</f>
        <v>7398.1999999999989</v>
      </c>
      <c r="L31" s="621"/>
    </row>
    <row r="32" spans="1:26">
      <c r="B32" s="5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5"/>
    </row>
    <row r="33" spans="1:26" ht="26">
      <c r="A33" s="779" t="s">
        <v>247</v>
      </c>
      <c r="B33" s="780"/>
      <c r="C33" s="780"/>
      <c r="D33" s="780"/>
      <c r="E33" s="780"/>
      <c r="F33" s="780"/>
      <c r="G33" s="780"/>
      <c r="H33" s="780"/>
      <c r="I33" s="780"/>
      <c r="J33" s="780"/>
      <c r="K33" s="780"/>
      <c r="L33" s="780"/>
      <c r="M33" s="780"/>
      <c r="N33" s="780"/>
      <c r="O33" s="780"/>
      <c r="P33" s="780"/>
      <c r="Q33" s="780"/>
      <c r="R33" s="780"/>
      <c r="S33" s="780"/>
      <c r="T33" s="780"/>
      <c r="U33" s="780"/>
      <c r="V33" s="780"/>
      <c r="W33" s="780"/>
      <c r="X33" s="780"/>
      <c r="Y33" s="780"/>
      <c r="Z33" s="781"/>
    </row>
    <row r="35" spans="1:26">
      <c r="B35" s="145">
        <f>CORREL(C4:C15,K20:K31)</f>
        <v>0.97989593134994801</v>
      </c>
      <c r="E35" s="769"/>
      <c r="F35" s="770"/>
      <c r="G35" s="770"/>
      <c r="H35" s="770"/>
      <c r="I35" s="770"/>
      <c r="J35" s="770"/>
      <c r="K35" s="770"/>
      <c r="L35" s="771"/>
    </row>
    <row r="36" spans="1:26" ht="29">
      <c r="B36" s="161" t="s">
        <v>248</v>
      </c>
      <c r="E36" s="772"/>
      <c r="F36" s="773"/>
      <c r="G36" s="773"/>
      <c r="H36" s="773"/>
      <c r="I36" s="773"/>
      <c r="J36" s="773"/>
      <c r="K36" s="773"/>
      <c r="L36" s="774"/>
    </row>
    <row r="37" spans="1:26">
      <c r="E37" s="772"/>
      <c r="F37" s="773"/>
      <c r="G37" s="773"/>
      <c r="H37" s="773"/>
      <c r="I37" s="773"/>
      <c r="J37" s="773"/>
      <c r="K37" s="773"/>
      <c r="L37" s="774"/>
    </row>
    <row r="38" spans="1:26">
      <c r="E38" s="772"/>
      <c r="F38" s="773"/>
      <c r="G38" s="773"/>
      <c r="H38" s="773"/>
      <c r="I38" s="773"/>
      <c r="J38" s="773"/>
      <c r="K38" s="773"/>
      <c r="L38" s="774"/>
    </row>
    <row r="39" spans="1:26">
      <c r="E39" s="772"/>
      <c r="F39" s="773"/>
      <c r="G39" s="773"/>
      <c r="H39" s="773"/>
      <c r="I39" s="773"/>
      <c r="J39" s="773"/>
      <c r="K39" s="773"/>
      <c r="L39" s="774"/>
    </row>
    <row r="40" spans="1:26">
      <c r="E40" s="772"/>
      <c r="F40" s="773"/>
      <c r="G40" s="773"/>
      <c r="H40" s="773"/>
      <c r="I40" s="773"/>
      <c r="J40" s="773"/>
      <c r="K40" s="773"/>
      <c r="L40" s="774"/>
    </row>
    <row r="41" spans="1:26">
      <c r="E41" s="772"/>
      <c r="F41" s="773"/>
      <c r="G41" s="773"/>
      <c r="H41" s="773"/>
      <c r="I41" s="773"/>
      <c r="J41" s="773"/>
      <c r="K41" s="773"/>
      <c r="L41" s="774"/>
    </row>
    <row r="42" spans="1:26">
      <c r="E42" s="772"/>
      <c r="F42" s="773"/>
      <c r="G42" s="773"/>
      <c r="H42" s="773"/>
      <c r="I42" s="773"/>
      <c r="J42" s="773"/>
      <c r="K42" s="773"/>
      <c r="L42" s="774"/>
    </row>
    <row r="43" spans="1:26">
      <c r="E43" s="772"/>
      <c r="F43" s="773"/>
      <c r="G43" s="773"/>
      <c r="H43" s="773"/>
      <c r="I43" s="773"/>
      <c r="J43" s="773"/>
      <c r="K43" s="773"/>
      <c r="L43" s="774"/>
    </row>
    <row r="44" spans="1:26">
      <c r="E44" s="772"/>
      <c r="F44" s="773"/>
      <c r="G44" s="773"/>
      <c r="H44" s="773"/>
      <c r="I44" s="773"/>
      <c r="J44" s="773"/>
      <c r="K44" s="773"/>
      <c r="L44" s="774"/>
    </row>
    <row r="45" spans="1:26">
      <c r="E45" s="772"/>
      <c r="F45" s="773"/>
      <c r="G45" s="773"/>
      <c r="H45" s="773"/>
      <c r="I45" s="773"/>
      <c r="J45" s="773"/>
      <c r="K45" s="773"/>
      <c r="L45" s="774"/>
    </row>
    <row r="46" spans="1:26">
      <c r="E46" s="772"/>
      <c r="F46" s="773"/>
      <c r="G46" s="773"/>
      <c r="H46" s="773"/>
      <c r="I46" s="773"/>
      <c r="J46" s="773"/>
      <c r="K46" s="773"/>
      <c r="L46" s="774"/>
    </row>
    <row r="47" spans="1:26">
      <c r="E47" s="772"/>
      <c r="F47" s="773"/>
      <c r="G47" s="773"/>
      <c r="H47" s="773"/>
      <c r="I47" s="773"/>
      <c r="J47" s="773"/>
      <c r="K47" s="773"/>
      <c r="L47" s="774"/>
    </row>
    <row r="48" spans="1:26">
      <c r="E48" s="775"/>
      <c r="F48" s="776"/>
      <c r="G48" s="776"/>
      <c r="H48" s="776"/>
      <c r="I48" s="776"/>
      <c r="J48" s="776"/>
      <c r="K48" s="776"/>
      <c r="L48" s="777"/>
    </row>
    <row r="49" spans="1:26">
      <c r="E49" s="129"/>
      <c r="F49" s="129"/>
      <c r="G49" s="129"/>
      <c r="H49" s="129"/>
      <c r="I49" s="129"/>
      <c r="J49" s="129"/>
      <c r="K49" s="129"/>
      <c r="L49" s="129"/>
    </row>
    <row r="50" spans="1:26" ht="26">
      <c r="A50" s="779" t="s">
        <v>249</v>
      </c>
      <c r="B50" s="780"/>
      <c r="C50" s="780"/>
      <c r="D50" s="780"/>
      <c r="E50" s="780"/>
      <c r="F50" s="780"/>
      <c r="G50" s="780"/>
      <c r="H50" s="780"/>
      <c r="I50" s="780"/>
      <c r="J50" s="780"/>
      <c r="K50" s="780"/>
      <c r="L50" s="780"/>
      <c r="M50" s="780"/>
      <c r="N50" s="780"/>
      <c r="O50" s="780"/>
      <c r="P50" s="780"/>
      <c r="Q50" s="780"/>
      <c r="R50" s="780"/>
      <c r="S50" s="780"/>
      <c r="T50" s="780"/>
      <c r="U50" s="780"/>
      <c r="V50" s="780"/>
      <c r="W50" s="780"/>
      <c r="X50" s="780"/>
      <c r="Y50" s="780"/>
      <c r="Z50" s="781"/>
    </row>
    <row r="52" spans="1:26" ht="17">
      <c r="B52" s="152" t="s">
        <v>82</v>
      </c>
      <c r="C52" s="153"/>
      <c r="D52" s="155" t="s">
        <v>250</v>
      </c>
      <c r="E52" s="155" t="s">
        <v>251</v>
      </c>
      <c r="F52" s="156" t="s">
        <v>252</v>
      </c>
      <c r="H52" s="148" t="s">
        <v>253</v>
      </c>
    </row>
    <row r="53" spans="1:26" ht="16.5" customHeight="1">
      <c r="B53" s="158">
        <f t="shared" ref="B53:B64" si="2">B20</f>
        <v>1</v>
      </c>
      <c r="C53" s="131">
        <f t="shared" ref="C53:C64" si="3">K20</f>
        <v>4777</v>
      </c>
      <c r="D53" s="137"/>
      <c r="E53" s="137"/>
      <c r="F53" s="134"/>
      <c r="H53" s="151">
        <f>1/11</f>
        <v>9.0909090909090912E-2</v>
      </c>
      <c r="M53" s="130"/>
    </row>
    <row r="54" spans="1:26">
      <c r="B54" s="159">
        <f t="shared" si="2"/>
        <v>2</v>
      </c>
      <c r="C54" s="132">
        <f t="shared" si="3"/>
        <v>4865.5</v>
      </c>
      <c r="D54" s="140">
        <f>C54-C53</f>
        <v>88.5</v>
      </c>
      <c r="E54" s="140">
        <f>H53*1/(11)</f>
        <v>8.2644628099173556E-3</v>
      </c>
      <c r="F54" s="135">
        <f>D54*E54</f>
        <v>0.73140495867768596</v>
      </c>
    </row>
    <row r="55" spans="1:26">
      <c r="B55" s="159">
        <f t="shared" si="2"/>
        <v>3</v>
      </c>
      <c r="C55" s="132">
        <f t="shared" si="3"/>
        <v>4293.051851851852</v>
      </c>
      <c r="D55" s="140">
        <f t="shared" ref="D55:D64" si="4">C55-C54</f>
        <v>-572.44814814814799</v>
      </c>
      <c r="E55" s="140">
        <f>H53*(1/(11)+1/(10))</f>
        <v>1.7355371900826446E-2</v>
      </c>
      <c r="F55" s="135">
        <f t="shared" ref="F55:F64" si="5">D55*E55</f>
        <v>-9.9350505050505014</v>
      </c>
    </row>
    <row r="56" spans="1:26">
      <c r="B56" s="159">
        <f t="shared" si="2"/>
        <v>4</v>
      </c>
      <c r="C56" s="132">
        <f t="shared" si="3"/>
        <v>4799.8685185185186</v>
      </c>
      <c r="D56" s="140">
        <f t="shared" si="4"/>
        <v>506.81666666666661</v>
      </c>
      <c r="E56" s="140">
        <f>H53*(1/(11)+1/(10)+1/(9))</f>
        <v>2.745638200183655E-2</v>
      </c>
      <c r="F56" s="135">
        <f t="shared" si="5"/>
        <v>13.915352004897459</v>
      </c>
    </row>
    <row r="57" spans="1:26">
      <c r="B57" s="159">
        <f t="shared" si="2"/>
        <v>5</v>
      </c>
      <c r="C57" s="132">
        <f t="shared" si="3"/>
        <v>5141.0785185185196</v>
      </c>
      <c r="D57" s="140">
        <f t="shared" si="4"/>
        <v>341.21000000000095</v>
      </c>
      <c r="E57" s="140">
        <f>H53*(1/(11)+1/(10)+1/(9)+1/(8))</f>
        <v>3.8820018365472914E-2</v>
      </c>
      <c r="F57" s="135">
        <f t="shared" si="5"/>
        <v>13.245778466483049</v>
      </c>
    </row>
    <row r="58" spans="1:26">
      <c r="B58" s="159">
        <f t="shared" si="2"/>
        <v>6</v>
      </c>
      <c r="C58" s="132">
        <f t="shared" si="3"/>
        <v>5441.7222222222235</v>
      </c>
      <c r="D58" s="140">
        <f t="shared" si="4"/>
        <v>300.64370370370398</v>
      </c>
      <c r="E58" s="140">
        <f>H53*(1/(11)+1/(10)+1/(9)+1/(8)+1/(7))</f>
        <v>5.1807031352485898E-2</v>
      </c>
      <c r="F58" s="135">
        <f t="shared" si="5"/>
        <v>15.575457783705273</v>
      </c>
    </row>
    <row r="59" spans="1:26">
      <c r="B59" s="159">
        <f t="shared" si="2"/>
        <v>7</v>
      </c>
      <c r="C59" s="132">
        <f t="shared" si="3"/>
        <v>5767.4059259259266</v>
      </c>
      <c r="D59" s="140">
        <f t="shared" si="4"/>
        <v>325.68370370370303</v>
      </c>
      <c r="E59" s="140">
        <f>H53*(1/(11)+1/(10)+1/(9)+1/(8)+1/(7)+1/(6))</f>
        <v>6.6958546504001043E-2</v>
      </c>
      <c r="F59" s="135">
        <f t="shared" si="5"/>
        <v>21.807307420039695</v>
      </c>
    </row>
    <row r="60" spans="1:26">
      <c r="B60" s="159">
        <f t="shared" si="2"/>
        <v>8</v>
      </c>
      <c r="C60" s="132">
        <f t="shared" si="3"/>
        <v>5712.04</v>
      </c>
      <c r="D60" s="140">
        <f t="shared" si="4"/>
        <v>-55.365925925926604</v>
      </c>
      <c r="E60" s="140">
        <f>H53*(1/(11)+1/(10)+1/(9)+1/(8)+1/(7)+1/(6)+1/(5))</f>
        <v>8.5140364685819231E-2</v>
      </c>
      <c r="F60" s="135">
        <f t="shared" si="5"/>
        <v>-4.7138751245014445</v>
      </c>
    </row>
    <row r="61" spans="1:26">
      <c r="B61" s="159">
        <f t="shared" si="2"/>
        <v>9</v>
      </c>
      <c r="C61" s="132">
        <f t="shared" si="3"/>
        <v>6045.4000000000005</v>
      </c>
      <c r="D61" s="140">
        <f t="shared" si="4"/>
        <v>333.36000000000058</v>
      </c>
      <c r="E61" s="140">
        <f>H53*(1/(11)+1/(10)+1/(9)+1/(8)+1/(7)+1/(6)+1/(5)+1/(4))</f>
        <v>0.10786763741309197</v>
      </c>
      <c r="F61" s="135">
        <f t="shared" si="5"/>
        <v>35.958755608028397</v>
      </c>
    </row>
    <row r="62" spans="1:26">
      <c r="B62" s="159">
        <f t="shared" si="2"/>
        <v>10</v>
      </c>
      <c r="C62" s="132">
        <f t="shared" si="3"/>
        <v>6419.6333333333323</v>
      </c>
      <c r="D62" s="140">
        <f t="shared" si="4"/>
        <v>374.23333333333176</v>
      </c>
      <c r="E62" s="140">
        <f>H53*(1/(11)+1/(10)+1/(9)+1/(8)+1/(7)+1/(6)+1/(5)+1/(4)+1/(3))</f>
        <v>0.13817066771612227</v>
      </c>
      <c r="F62" s="135">
        <f t="shared" si="5"/>
        <v>51.708069548296606</v>
      </c>
    </row>
    <row r="63" spans="1:26">
      <c r="B63" s="159">
        <f t="shared" si="2"/>
        <v>11</v>
      </c>
      <c r="C63" s="132">
        <f t="shared" si="3"/>
        <v>6856.6999999999989</v>
      </c>
      <c r="D63" s="140">
        <f t="shared" si="4"/>
        <v>437.06666666666661</v>
      </c>
      <c r="E63" s="140">
        <f>H53*(1/(11)+1/(10)+1/(9)+1/(8)+1/(7)+1/(6)+1/(5)+1/(4)+1/(3)+1/(2))</f>
        <v>0.18362521317066768</v>
      </c>
      <c r="F63" s="135">
        <f t="shared" si="5"/>
        <v>80.256459836459811</v>
      </c>
    </row>
    <row r="64" spans="1:26">
      <c r="B64" s="160">
        <f t="shared" si="2"/>
        <v>12</v>
      </c>
      <c r="C64" s="133">
        <f t="shared" si="3"/>
        <v>7398.1999999999989</v>
      </c>
      <c r="D64" s="143">
        <f t="shared" si="4"/>
        <v>541.5</v>
      </c>
      <c r="E64" s="143">
        <f>H53*(1/(11)+1/(10)+1/(9)+1/(8)+1/(7)+1/(6)+1/(5)+1/(4)+1/(3)+1/(2)+1/(1))</f>
        <v>0.2745343040797586</v>
      </c>
      <c r="F64" s="136">
        <f t="shared" si="5"/>
        <v>148.66032565918928</v>
      </c>
    </row>
    <row r="65" spans="1:26" ht="17">
      <c r="B65" s="5"/>
      <c r="C65" s="129"/>
      <c r="D65" s="129"/>
      <c r="E65" s="129"/>
      <c r="F65" s="154">
        <f>SUM(F54:F64)</f>
        <v>367.20998565622529</v>
      </c>
      <c r="G65" s="165" t="s">
        <v>254</v>
      </c>
    </row>
    <row r="67" spans="1:26" ht="26">
      <c r="A67" s="779" t="s">
        <v>255</v>
      </c>
      <c r="B67" s="780"/>
      <c r="C67" s="780"/>
      <c r="D67" s="780"/>
      <c r="E67" s="780"/>
      <c r="F67" s="780"/>
      <c r="G67" s="780"/>
      <c r="H67" s="780"/>
      <c r="I67" s="780"/>
      <c r="J67" s="780"/>
      <c r="K67" s="780"/>
      <c r="L67" s="780"/>
      <c r="M67" s="780"/>
      <c r="N67" s="780"/>
      <c r="O67" s="780"/>
      <c r="P67" s="780"/>
      <c r="Q67" s="780"/>
      <c r="R67" s="780"/>
      <c r="S67" s="780"/>
      <c r="T67" s="780"/>
      <c r="U67" s="780"/>
      <c r="V67" s="780"/>
      <c r="W67" s="780"/>
      <c r="X67" s="780"/>
      <c r="Y67" s="780"/>
      <c r="Z67" s="781"/>
    </row>
    <row r="69" spans="1:26">
      <c r="A69" s="157" t="s">
        <v>85</v>
      </c>
      <c r="B69" s="164">
        <f>C64+F65</f>
        <v>7765.4099856562243</v>
      </c>
      <c r="D69" s="785" t="s">
        <v>20</v>
      </c>
      <c r="E69" s="786"/>
      <c r="F69" s="175">
        <v>8254</v>
      </c>
      <c r="H69" s="787" t="s">
        <v>256</v>
      </c>
      <c r="I69" s="788"/>
      <c r="J69" s="176">
        <f>F69-B69</f>
        <v>488.59001434377569</v>
      </c>
      <c r="L69" s="785" t="s">
        <v>257</v>
      </c>
      <c r="M69" s="786"/>
      <c r="N69" s="177">
        <f>J69/F69</f>
        <v>5.9194331759604521E-2</v>
      </c>
      <c r="P69" s="157" t="s">
        <v>258</v>
      </c>
      <c r="Q69" s="177">
        <f>J69/B69</f>
        <v>6.291876607239906E-2</v>
      </c>
    </row>
    <row r="72" spans="1:26" ht="26">
      <c r="A72" s="782" t="s">
        <v>259</v>
      </c>
      <c r="B72" s="783"/>
      <c r="C72" s="783"/>
      <c r="D72" s="783"/>
      <c r="E72" s="783"/>
      <c r="F72" s="783"/>
      <c r="G72" s="783"/>
      <c r="H72" s="783"/>
      <c r="I72" s="783"/>
      <c r="J72" s="783"/>
      <c r="K72" s="783"/>
      <c r="L72" s="783"/>
      <c r="M72" s="783"/>
      <c r="N72" s="783"/>
      <c r="O72" s="783"/>
      <c r="P72" s="783"/>
      <c r="Q72" s="783"/>
      <c r="R72" s="783"/>
      <c r="S72" s="783"/>
      <c r="T72" s="783"/>
      <c r="U72" s="783"/>
      <c r="V72" s="783"/>
      <c r="W72" s="783"/>
      <c r="X72" s="783"/>
      <c r="Y72" s="783"/>
      <c r="Z72" s="784"/>
    </row>
    <row r="73" spans="1:26" ht="26">
      <c r="A73" s="171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ht="29">
      <c r="A74" s="229" t="s">
        <v>82</v>
      </c>
      <c r="B74" s="433" t="s">
        <v>1</v>
      </c>
      <c r="C74" s="434" t="s">
        <v>2</v>
      </c>
    </row>
    <row r="75" spans="1:26">
      <c r="A75" s="172">
        <v>1</v>
      </c>
      <c r="B75" s="435">
        <v>2010</v>
      </c>
      <c r="C75" s="221">
        <v>8421</v>
      </c>
      <c r="E75" s="131" cm="1">
        <f t="array" ref="E75:F79">LINEST(C75:C79,A75:A79,TRUE,1)</f>
        <v>-229.6</v>
      </c>
      <c r="F75" s="134">
        <v>8647.6</v>
      </c>
      <c r="G75" s="129"/>
      <c r="H75" s="131" cm="1">
        <f t="array" ref="H75:I79">LINEST(C76:C80,A76:A80,1,1)</f>
        <v>-149.89999999999998</v>
      </c>
      <c r="I75" s="134">
        <v>8407</v>
      </c>
      <c r="J75" s="129"/>
      <c r="K75" s="131" cm="1">
        <f t="array" ref="K75:L79">LINEST(C77:C81,A77:A81,1,1)</f>
        <v>-23.499999999999979</v>
      </c>
      <c r="L75" s="134">
        <v>7832.5</v>
      </c>
      <c r="M75" s="129"/>
      <c r="N75" s="131" cm="1">
        <f t="array" ref="N75:O79">LINEST(C78:C82,A78:A82,1,1)</f>
        <v>165.6</v>
      </c>
      <c r="O75" s="134">
        <v>6757</v>
      </c>
      <c r="P75" s="129"/>
      <c r="Q75" s="129"/>
      <c r="R75" s="129"/>
    </row>
    <row r="76" spans="1:26">
      <c r="A76" s="139">
        <v>2</v>
      </c>
      <c r="B76" s="436">
        <v>2011</v>
      </c>
      <c r="C76" s="222">
        <v>8245</v>
      </c>
      <c r="E76" s="132">
        <v>67.470289757788947</v>
      </c>
      <c r="F76" s="135">
        <v>223.7736356231448</v>
      </c>
      <c r="G76" s="129"/>
      <c r="H76" s="132">
        <v>81.178219574793189</v>
      </c>
      <c r="I76" s="135">
        <v>344.41001727592072</v>
      </c>
      <c r="J76" s="129"/>
      <c r="K76" s="132">
        <v>78.16382368674995</v>
      </c>
      <c r="L76" s="135">
        <v>406.15114181791978</v>
      </c>
      <c r="M76" s="129"/>
      <c r="N76" s="132">
        <v>40.503333196170416</v>
      </c>
      <c r="O76" s="135">
        <v>249.67931432139108</v>
      </c>
      <c r="P76" s="129"/>
      <c r="Q76" s="129"/>
      <c r="R76" s="129"/>
    </row>
    <row r="77" spans="1:26">
      <c r="A77" s="139">
        <v>3</v>
      </c>
      <c r="B77" s="436">
        <v>2012</v>
      </c>
      <c r="C77" s="222">
        <v>8022</v>
      </c>
      <c r="E77" s="132">
        <v>0.79424246770668994</v>
      </c>
      <c r="F77" s="135">
        <v>213.35979002614337</v>
      </c>
      <c r="G77" s="129"/>
      <c r="H77" s="132">
        <v>0.53196399029160224</v>
      </c>
      <c r="I77" s="135">
        <v>256.70807025361188</v>
      </c>
      <c r="J77" s="129"/>
      <c r="K77" s="132">
        <v>2.9248980456543616E-2</v>
      </c>
      <c r="L77" s="135">
        <v>247.17571347794939</v>
      </c>
      <c r="M77" s="129"/>
      <c r="N77" s="132">
        <v>0.84784133026144448</v>
      </c>
      <c r="O77" s="135">
        <v>128.08278572860601</v>
      </c>
      <c r="P77" s="129"/>
      <c r="Q77" s="129"/>
      <c r="R77" s="129"/>
    </row>
    <row r="78" spans="1:26">
      <c r="A78" s="139">
        <v>4</v>
      </c>
      <c r="B78" s="436">
        <v>2013</v>
      </c>
      <c r="C78" s="222">
        <v>7421</v>
      </c>
      <c r="E78" s="132">
        <v>11.580268175667365</v>
      </c>
      <c r="F78" s="135">
        <v>3</v>
      </c>
      <c r="G78" s="129"/>
      <c r="H78" s="132">
        <v>3.4097632185803426</v>
      </c>
      <c r="I78" s="135">
        <v>3</v>
      </c>
      <c r="J78" s="129"/>
      <c r="K78" s="132">
        <v>9.0390779513060085E-2</v>
      </c>
      <c r="L78" s="135">
        <v>3</v>
      </c>
      <c r="M78" s="129"/>
      <c r="N78" s="132">
        <v>16.716260697827515</v>
      </c>
      <c r="O78" s="135">
        <v>3</v>
      </c>
      <c r="P78" s="129"/>
      <c r="Q78" s="129"/>
      <c r="R78" s="129"/>
    </row>
    <row r="79" spans="1:26">
      <c r="A79" s="139">
        <v>5</v>
      </c>
      <c r="B79" s="436">
        <v>2014</v>
      </c>
      <c r="C79" s="222">
        <v>7685</v>
      </c>
      <c r="E79" s="133">
        <v>527161.59999999998</v>
      </c>
      <c r="F79" s="136">
        <v>136567.19999999998</v>
      </c>
      <c r="G79" s="129"/>
      <c r="H79" s="133">
        <v>224700.09999999998</v>
      </c>
      <c r="I79" s="136">
        <v>197697.10000000003</v>
      </c>
      <c r="J79" s="129"/>
      <c r="K79" s="133">
        <v>5522.5</v>
      </c>
      <c r="L79" s="136">
        <v>183287.5</v>
      </c>
      <c r="M79" s="129"/>
      <c r="N79" s="133">
        <v>274233.59999999998</v>
      </c>
      <c r="O79" s="136">
        <v>49215.600000000006</v>
      </c>
      <c r="P79" s="129"/>
      <c r="Q79" s="129"/>
      <c r="R79" s="129"/>
    </row>
    <row r="80" spans="1:26">
      <c r="A80" s="139">
        <v>6</v>
      </c>
      <c r="B80" s="436">
        <v>2015</v>
      </c>
      <c r="C80" s="222">
        <v>7664</v>
      </c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</row>
    <row r="81" spans="1:26">
      <c r="A81" s="139">
        <v>7</v>
      </c>
      <c r="B81" s="436">
        <v>2016</v>
      </c>
      <c r="C81" s="222">
        <v>7783</v>
      </c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</row>
    <row r="82" spans="1:26">
      <c r="A82" s="139">
        <v>8</v>
      </c>
      <c r="B82" s="436">
        <v>2017</v>
      </c>
      <c r="C82" s="222">
        <v>8200</v>
      </c>
      <c r="E82" s="131" cm="1">
        <f t="array" ref="E82:F86">LINEST(C79:C83,A79:A83,1,1)</f>
        <v>270.39999999999998</v>
      </c>
      <c r="F82" s="134">
        <v>6127.4</v>
      </c>
      <c r="H82" s="131" cm="1">
        <f t="array" ref="H82:I86">LINEST(C80:C84,A80:A84,1,1)</f>
        <v>380.39999999999986</v>
      </c>
      <c r="I82" s="134">
        <v>5254.6</v>
      </c>
      <c r="J82" s="129"/>
      <c r="K82" s="131" cm="1">
        <f t="array" ref="K82:L86">LINEST(C81:C84,A81:A84,TRUE,1)</f>
        <v>443.89999999999992</v>
      </c>
      <c r="L82" s="134">
        <v>4683.1000000000004</v>
      </c>
      <c r="M82" s="129"/>
      <c r="N82" s="131" cm="1">
        <f t="array" ref="N82:O86">LINEST(C82:C86,A82:A86,1,1)</f>
        <v>688.5999999999998</v>
      </c>
      <c r="O82" s="134">
        <v>2518.0000000000018</v>
      </c>
      <c r="P82" s="129"/>
      <c r="Q82" s="129"/>
      <c r="R82" s="129"/>
    </row>
    <row r="83" spans="1:26">
      <c r="A83" s="139">
        <v>9</v>
      </c>
      <c r="B83" s="436">
        <v>2018</v>
      </c>
      <c r="C83" s="222">
        <v>8769</v>
      </c>
      <c r="E83" s="132">
        <v>72.426790623359793</v>
      </c>
      <c r="F83" s="135">
        <v>517.23074154578228</v>
      </c>
      <c r="H83" s="132">
        <v>41.716982952589746</v>
      </c>
      <c r="I83" s="135">
        <v>338.91037163238275</v>
      </c>
      <c r="J83" s="129"/>
      <c r="K83" s="132">
        <v>34.477093845044415</v>
      </c>
      <c r="L83" s="135">
        <v>295.57950707043267</v>
      </c>
      <c r="M83" s="129"/>
      <c r="N83" s="132">
        <v>94.276260709328795</v>
      </c>
      <c r="O83" s="135">
        <v>952.14356060417686</v>
      </c>
      <c r="P83" s="129"/>
      <c r="Q83" s="129"/>
      <c r="R83" s="129"/>
    </row>
    <row r="84" spans="1:26">
      <c r="A84" s="139">
        <v>10</v>
      </c>
      <c r="B84" s="436">
        <v>2019</v>
      </c>
      <c r="C84" s="222">
        <v>9073</v>
      </c>
      <c r="E84" s="132">
        <v>0.82288830055187734</v>
      </c>
      <c r="F84" s="135">
        <v>229.03362198594331</v>
      </c>
      <c r="H84" s="132">
        <v>0.96517647347595215</v>
      </c>
      <c r="I84" s="135">
        <v>131.92068324059966</v>
      </c>
      <c r="J84" s="129"/>
      <c r="K84" s="132">
        <v>0.98807900030362361</v>
      </c>
      <c r="L84" s="135">
        <v>77.09312550415892</v>
      </c>
      <c r="M84" s="129"/>
      <c r="N84" s="132">
        <v>0.94676072311384607</v>
      </c>
      <c r="O84" s="135">
        <v>298.12771312532038</v>
      </c>
      <c r="P84" s="129"/>
      <c r="Q84" s="129"/>
      <c r="R84" s="129"/>
    </row>
    <row r="85" spans="1:26">
      <c r="A85" s="139">
        <v>11</v>
      </c>
      <c r="B85" s="436">
        <v>2020</v>
      </c>
      <c r="C85" s="222">
        <v>9901</v>
      </c>
      <c r="E85" s="132">
        <v>13.938463180851153</v>
      </c>
      <c r="F85" s="135">
        <v>3</v>
      </c>
      <c r="H85" s="132">
        <v>83.148655792465846</v>
      </c>
      <c r="I85" s="135">
        <v>3</v>
      </c>
      <c r="J85" s="129"/>
      <c r="K85" s="132">
        <v>165.77116441064388</v>
      </c>
      <c r="L85" s="135">
        <v>2</v>
      </c>
      <c r="M85" s="129"/>
      <c r="N85" s="132">
        <v>53.349375413478235</v>
      </c>
      <c r="O85" s="135">
        <v>3</v>
      </c>
      <c r="P85" s="129"/>
      <c r="Q85" s="129"/>
      <c r="R85" s="129"/>
    </row>
    <row r="86" spans="1:26">
      <c r="A86" s="142">
        <v>12</v>
      </c>
      <c r="B86" s="437">
        <v>2021</v>
      </c>
      <c r="C86" s="223">
        <v>11077</v>
      </c>
      <c r="E86" s="133">
        <v>731161.60000000009</v>
      </c>
      <c r="F86" s="136">
        <v>157369.19999999992</v>
      </c>
      <c r="H86" s="133">
        <v>1447041.5999999999</v>
      </c>
      <c r="I86" s="136">
        <v>52209.199999999895</v>
      </c>
      <c r="J86" s="129"/>
      <c r="K86" s="133">
        <v>985236.05</v>
      </c>
      <c r="L86" s="136">
        <v>11886.699999999997</v>
      </c>
      <c r="M86" s="129"/>
      <c r="N86" s="133">
        <v>4741699.5999999996</v>
      </c>
      <c r="O86" s="136">
        <v>266640.39999999997</v>
      </c>
      <c r="P86" s="129"/>
      <c r="Q86" s="129"/>
      <c r="R86" s="129"/>
    </row>
    <row r="88" spans="1:26" ht="26">
      <c r="A88" s="782" t="s">
        <v>238</v>
      </c>
      <c r="B88" s="783"/>
      <c r="C88" s="783"/>
      <c r="D88" s="783"/>
      <c r="E88" s="783"/>
      <c r="F88" s="783"/>
      <c r="G88" s="783"/>
      <c r="H88" s="783"/>
      <c r="I88" s="783"/>
      <c r="J88" s="783"/>
      <c r="K88" s="783"/>
      <c r="L88" s="783"/>
      <c r="M88" s="783"/>
      <c r="N88" s="783"/>
      <c r="O88" s="783"/>
      <c r="P88" s="783"/>
      <c r="Q88" s="783"/>
      <c r="R88" s="783"/>
      <c r="S88" s="783"/>
      <c r="T88" s="783"/>
      <c r="U88" s="783"/>
      <c r="V88" s="783"/>
      <c r="W88" s="783"/>
      <c r="X88" s="783"/>
      <c r="Y88" s="783"/>
      <c r="Z88" s="784"/>
    </row>
    <row r="90" spans="1:26">
      <c r="B90" s="145" t="s">
        <v>82</v>
      </c>
      <c r="C90" s="146" t="s">
        <v>239</v>
      </c>
      <c r="D90" s="147" t="s">
        <v>240</v>
      </c>
      <c r="E90" s="147" t="s">
        <v>241</v>
      </c>
      <c r="F90" s="147" t="s">
        <v>242</v>
      </c>
      <c r="G90" s="147" t="s">
        <v>243</v>
      </c>
      <c r="H90" s="147" t="s">
        <v>244</v>
      </c>
      <c r="I90" s="147" t="s">
        <v>245</v>
      </c>
      <c r="J90" s="217" t="s">
        <v>246</v>
      </c>
      <c r="K90" s="226"/>
      <c r="L90" s="5"/>
      <c r="M90" s="5"/>
    </row>
    <row r="91" spans="1:26">
      <c r="B91" s="158">
        <f>A75</f>
        <v>1</v>
      </c>
      <c r="C91" s="131" cm="1">
        <f t="array" ref="C91:C95">TREND(C75:C79,A75:A79,B91:B95,1)</f>
        <v>8418</v>
      </c>
      <c r="D91" s="137"/>
      <c r="E91" s="137"/>
      <c r="F91" s="137"/>
      <c r="G91" s="137"/>
      <c r="H91" s="137"/>
      <c r="I91" s="137"/>
      <c r="J91" s="138"/>
      <c r="K91" s="148">
        <f>AVERAGE(C91:J91)</f>
        <v>8418</v>
      </c>
      <c r="L91" s="621"/>
    </row>
    <row r="92" spans="1:26">
      <c r="B92" s="159">
        <f t="shared" ref="B92:B102" si="6">A76</f>
        <v>2</v>
      </c>
      <c r="C92" s="132">
        <v>8188.4000000000005</v>
      </c>
      <c r="D92" s="140" cm="1">
        <f t="array" ref="D92:D96">TREND(C76:C80,A76:A80,B92:B96,1)</f>
        <v>8107.2</v>
      </c>
      <c r="E92" s="140"/>
      <c r="F92" s="140"/>
      <c r="G92" s="140"/>
      <c r="H92" s="140"/>
      <c r="I92" s="140"/>
      <c r="J92" s="141"/>
      <c r="K92" s="149">
        <f t="shared" ref="K92:K100" si="7">AVERAGE(C92:J92)</f>
        <v>8147.8</v>
      </c>
      <c r="L92" s="621"/>
    </row>
    <row r="93" spans="1:26">
      <c r="B93" s="159">
        <f t="shared" si="6"/>
        <v>3</v>
      </c>
      <c r="C93" s="132">
        <v>7958.8</v>
      </c>
      <c r="D93" s="140">
        <v>7957.3</v>
      </c>
      <c r="E93" s="140" cm="1">
        <f t="array" ref="E93:E97">TREND(C77:C81,A77:A81,B93:B97,FALSE)</f>
        <v>4280.8888888888887</v>
      </c>
      <c r="F93" s="140"/>
      <c r="G93" s="140"/>
      <c r="H93" s="140"/>
      <c r="I93" s="140"/>
      <c r="J93" s="141"/>
      <c r="K93" s="149">
        <f t="shared" si="7"/>
        <v>6732.3296296296294</v>
      </c>
      <c r="L93" s="621"/>
    </row>
    <row r="94" spans="1:26">
      <c r="B94" s="159">
        <f t="shared" si="6"/>
        <v>4</v>
      </c>
      <c r="C94" s="132">
        <v>7729.2000000000007</v>
      </c>
      <c r="D94" s="140">
        <v>7807.4</v>
      </c>
      <c r="E94" s="140">
        <v>5707.8518518518513</v>
      </c>
      <c r="F94" s="140" cm="1">
        <f t="array" ref="F94:F98">TREND(C78:C82,A78:A82,B94:B98,1)</f>
        <v>7419.4</v>
      </c>
      <c r="G94" s="140"/>
      <c r="H94" s="140"/>
      <c r="I94" s="140"/>
      <c r="J94" s="141"/>
      <c r="K94" s="149">
        <f t="shared" si="7"/>
        <v>7165.9629629629635</v>
      </c>
      <c r="L94" s="621"/>
    </row>
    <row r="95" spans="1:26">
      <c r="B95" s="159">
        <f t="shared" si="6"/>
        <v>5</v>
      </c>
      <c r="C95" s="132">
        <v>7499.6</v>
      </c>
      <c r="D95" s="140">
        <v>7657.5</v>
      </c>
      <c r="E95" s="140">
        <v>7134.8148148148139</v>
      </c>
      <c r="F95" s="140">
        <v>7585</v>
      </c>
      <c r="G95" s="140" cm="1">
        <f t="array" ref="G95:G99">TREND(C79:C83,A79:A83,B95:B99,1)</f>
        <v>7479.4</v>
      </c>
      <c r="H95" s="140"/>
      <c r="I95" s="140"/>
      <c r="J95" s="141"/>
      <c r="K95" s="149">
        <f t="shared" si="7"/>
        <v>7471.2629629629637</v>
      </c>
      <c r="L95" s="621"/>
    </row>
    <row r="96" spans="1:26">
      <c r="B96" s="159">
        <f t="shared" si="6"/>
        <v>6</v>
      </c>
      <c r="C96" s="132"/>
      <c r="D96" s="140">
        <v>7507.6</v>
      </c>
      <c r="E96" s="140">
        <v>8561.7777777777774</v>
      </c>
      <c r="F96" s="140">
        <v>7750.6</v>
      </c>
      <c r="G96" s="140">
        <v>7749.7999999999993</v>
      </c>
      <c r="H96" s="140" cm="1">
        <f t="array" ref="H96:H100">TREND(C80:C84,A80:A84,B96:B100,1)</f>
        <v>7537</v>
      </c>
      <c r="I96" s="140"/>
      <c r="J96" s="141"/>
      <c r="K96" s="149">
        <f t="shared" si="7"/>
        <v>7821.3555555555558</v>
      </c>
      <c r="L96" s="621"/>
    </row>
    <row r="97" spans="1:26">
      <c r="B97" s="159">
        <f t="shared" si="6"/>
        <v>7</v>
      </c>
      <c r="C97" s="132"/>
      <c r="D97" s="140"/>
      <c r="E97" s="140">
        <v>9988.7407407407391</v>
      </c>
      <c r="F97" s="140">
        <v>7916.2</v>
      </c>
      <c r="G97" s="140">
        <v>8020.1999999999989</v>
      </c>
      <c r="H97" s="140">
        <v>7917.4</v>
      </c>
      <c r="I97" s="140" cm="1">
        <f t="array" ref="I97:I101">TREND(C81:C85,A81:A85,B97:B101,1)</f>
        <v>7723.4000000000015</v>
      </c>
      <c r="J97" s="141"/>
      <c r="K97" s="149">
        <f t="shared" si="7"/>
        <v>8313.1881481481487</v>
      </c>
      <c r="L97" s="621"/>
    </row>
    <row r="98" spans="1:26">
      <c r="B98" s="159">
        <f t="shared" si="6"/>
        <v>8</v>
      </c>
      <c r="C98" s="132"/>
      <c r="D98" s="140"/>
      <c r="E98" s="140"/>
      <c r="F98" s="140">
        <v>8081.8</v>
      </c>
      <c r="G98" s="140">
        <v>8290.5999999999985</v>
      </c>
      <c r="H98" s="140">
        <v>8297.7999999999993</v>
      </c>
      <c r="I98" s="140">
        <v>8234.3000000000011</v>
      </c>
      <c r="J98" s="141" cm="1">
        <f t="array" ref="J98:J102">TREND(C82:C86,A82:A86,B98:B102,1)</f>
        <v>8026.8</v>
      </c>
      <c r="K98" s="149">
        <f t="shared" si="7"/>
        <v>8186.26</v>
      </c>
      <c r="L98" s="621"/>
    </row>
    <row r="99" spans="1:26">
      <c r="B99" s="159">
        <f t="shared" si="6"/>
        <v>9</v>
      </c>
      <c r="C99" s="132"/>
      <c r="D99" s="140"/>
      <c r="E99" s="140"/>
      <c r="F99" s="140"/>
      <c r="G99" s="140">
        <v>8561</v>
      </c>
      <c r="H99" s="140">
        <v>8678.1999999999989</v>
      </c>
      <c r="I99" s="140">
        <v>8745.2000000000007</v>
      </c>
      <c r="J99" s="141">
        <v>8715.4</v>
      </c>
      <c r="K99" s="149">
        <f t="shared" si="7"/>
        <v>8674.9499999999989</v>
      </c>
      <c r="L99" s="621"/>
    </row>
    <row r="100" spans="1:26">
      <c r="B100" s="159">
        <f t="shared" si="6"/>
        <v>10</v>
      </c>
      <c r="C100" s="132"/>
      <c r="D100" s="140"/>
      <c r="E100" s="140"/>
      <c r="F100" s="140"/>
      <c r="G100" s="140"/>
      <c r="H100" s="140">
        <v>9058.5999999999985</v>
      </c>
      <c r="I100" s="140">
        <v>9256.1000000000022</v>
      </c>
      <c r="J100" s="141">
        <v>9404</v>
      </c>
      <c r="K100" s="149">
        <f t="shared" si="7"/>
        <v>9239.5666666666675</v>
      </c>
      <c r="L100" s="621"/>
    </row>
    <row r="101" spans="1:26">
      <c r="B101" s="159">
        <f t="shared" si="6"/>
        <v>11</v>
      </c>
      <c r="C101" s="132"/>
      <c r="D101" s="140"/>
      <c r="E101" s="140"/>
      <c r="F101" s="140"/>
      <c r="G101" s="140"/>
      <c r="H101" s="140"/>
      <c r="I101" s="140">
        <v>9767.0000000000018</v>
      </c>
      <c r="J101" s="141">
        <v>10092.599999999999</v>
      </c>
      <c r="K101" s="149">
        <f>AVERAGE(C101:J101)</f>
        <v>9929.7999999999993</v>
      </c>
      <c r="L101" s="621"/>
      <c r="M101" s="1"/>
    </row>
    <row r="102" spans="1:26">
      <c r="B102" s="160">
        <f t="shared" si="6"/>
        <v>12</v>
      </c>
      <c r="C102" s="133"/>
      <c r="D102" s="143"/>
      <c r="E102" s="143"/>
      <c r="F102" s="143"/>
      <c r="G102" s="143"/>
      <c r="H102" s="143"/>
      <c r="I102" s="143"/>
      <c r="J102" s="144">
        <v>10781.199999999999</v>
      </c>
      <c r="K102" s="150">
        <f>AVERAGE(C102:J102)</f>
        <v>10781.199999999999</v>
      </c>
      <c r="L102" s="621"/>
    </row>
    <row r="103" spans="1:26">
      <c r="B103" s="5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5"/>
    </row>
    <row r="104" spans="1:26" ht="26">
      <c r="A104" s="782" t="s">
        <v>247</v>
      </c>
      <c r="B104" s="783"/>
      <c r="C104" s="783"/>
      <c r="D104" s="783"/>
      <c r="E104" s="783"/>
      <c r="F104" s="783"/>
      <c r="G104" s="783"/>
      <c r="H104" s="783"/>
      <c r="I104" s="783"/>
      <c r="J104" s="783"/>
      <c r="K104" s="783"/>
      <c r="L104" s="783"/>
      <c r="M104" s="783"/>
      <c r="N104" s="783"/>
      <c r="O104" s="783"/>
      <c r="P104" s="783"/>
      <c r="Q104" s="783"/>
      <c r="R104" s="783"/>
      <c r="S104" s="783"/>
      <c r="T104" s="783"/>
      <c r="U104" s="783"/>
      <c r="V104" s="783"/>
      <c r="W104" s="783"/>
      <c r="X104" s="783"/>
      <c r="Y104" s="783"/>
      <c r="Z104" s="784"/>
    </row>
    <row r="106" spans="1:26">
      <c r="B106" s="145">
        <f>CORREL(C75:C86,K91:K102)</f>
        <v>0.92592004152633245</v>
      </c>
      <c r="E106" s="769"/>
      <c r="F106" s="770"/>
      <c r="G106" s="770"/>
      <c r="H106" s="770"/>
      <c r="I106" s="770"/>
      <c r="J106" s="770"/>
      <c r="K106" s="770"/>
      <c r="L106" s="771"/>
    </row>
    <row r="107" spans="1:26" ht="29">
      <c r="B107" s="161" t="s">
        <v>248</v>
      </c>
      <c r="E107" s="772"/>
      <c r="F107" s="773"/>
      <c r="G107" s="773"/>
      <c r="H107" s="773"/>
      <c r="I107" s="773"/>
      <c r="J107" s="773"/>
      <c r="K107" s="773"/>
      <c r="L107" s="774"/>
    </row>
    <row r="108" spans="1:26">
      <c r="E108" s="772"/>
      <c r="F108" s="773"/>
      <c r="G108" s="773"/>
      <c r="H108" s="773"/>
      <c r="I108" s="773"/>
      <c r="J108" s="773"/>
      <c r="K108" s="773"/>
      <c r="L108" s="774"/>
    </row>
    <row r="109" spans="1:26">
      <c r="E109" s="772"/>
      <c r="F109" s="773"/>
      <c r="G109" s="773"/>
      <c r="H109" s="773"/>
      <c r="I109" s="773"/>
      <c r="J109" s="773"/>
      <c r="K109" s="773"/>
      <c r="L109" s="774"/>
    </row>
    <row r="110" spans="1:26">
      <c r="E110" s="772"/>
      <c r="F110" s="773"/>
      <c r="G110" s="773"/>
      <c r="H110" s="773"/>
      <c r="I110" s="773"/>
      <c r="J110" s="773"/>
      <c r="K110" s="773"/>
      <c r="L110" s="774"/>
    </row>
    <row r="111" spans="1:26">
      <c r="E111" s="772"/>
      <c r="F111" s="773"/>
      <c r="G111" s="773"/>
      <c r="H111" s="773"/>
      <c r="I111" s="773"/>
      <c r="J111" s="773"/>
      <c r="K111" s="773"/>
      <c r="L111" s="774"/>
    </row>
    <row r="112" spans="1:26">
      <c r="E112" s="772"/>
      <c r="F112" s="773"/>
      <c r="G112" s="773"/>
      <c r="H112" s="773"/>
      <c r="I112" s="773"/>
      <c r="J112" s="773"/>
      <c r="K112" s="773"/>
      <c r="L112" s="774"/>
    </row>
    <row r="113" spans="1:26">
      <c r="E113" s="772"/>
      <c r="F113" s="773"/>
      <c r="G113" s="773"/>
      <c r="H113" s="773"/>
      <c r="I113" s="773"/>
      <c r="J113" s="773"/>
      <c r="K113" s="773"/>
      <c r="L113" s="774"/>
    </row>
    <row r="114" spans="1:26">
      <c r="E114" s="772"/>
      <c r="F114" s="773"/>
      <c r="G114" s="773"/>
      <c r="H114" s="773"/>
      <c r="I114" s="773"/>
      <c r="J114" s="773"/>
      <c r="K114" s="773"/>
      <c r="L114" s="774"/>
    </row>
    <row r="115" spans="1:26">
      <c r="E115" s="772"/>
      <c r="F115" s="773"/>
      <c r="G115" s="773"/>
      <c r="H115" s="773"/>
      <c r="I115" s="773"/>
      <c r="J115" s="773"/>
      <c r="K115" s="773"/>
      <c r="L115" s="774"/>
    </row>
    <row r="116" spans="1:26">
      <c r="E116" s="772"/>
      <c r="F116" s="773"/>
      <c r="G116" s="773"/>
      <c r="H116" s="773"/>
      <c r="I116" s="773"/>
      <c r="J116" s="773"/>
      <c r="K116" s="773"/>
      <c r="L116" s="774"/>
    </row>
    <row r="117" spans="1:26">
      <c r="E117" s="772"/>
      <c r="F117" s="773"/>
      <c r="G117" s="773"/>
      <c r="H117" s="773"/>
      <c r="I117" s="773"/>
      <c r="J117" s="773"/>
      <c r="K117" s="773"/>
      <c r="L117" s="774"/>
    </row>
    <row r="118" spans="1:26">
      <c r="E118" s="772"/>
      <c r="F118" s="773"/>
      <c r="G118" s="773"/>
      <c r="H118" s="773"/>
      <c r="I118" s="773"/>
      <c r="J118" s="773"/>
      <c r="K118" s="773"/>
      <c r="L118" s="774"/>
    </row>
    <row r="119" spans="1:26">
      <c r="E119" s="775"/>
      <c r="F119" s="776"/>
      <c r="G119" s="776"/>
      <c r="H119" s="776"/>
      <c r="I119" s="776"/>
      <c r="J119" s="776"/>
      <c r="K119" s="776"/>
      <c r="L119" s="777"/>
    </row>
    <row r="120" spans="1:26">
      <c r="E120" s="129"/>
      <c r="F120" s="129"/>
      <c r="G120" s="129"/>
      <c r="H120" s="129"/>
      <c r="I120" s="129"/>
      <c r="J120" s="129"/>
      <c r="K120" s="129"/>
      <c r="L120" s="129"/>
    </row>
    <row r="121" spans="1:26" ht="26">
      <c r="A121" s="782" t="s">
        <v>249</v>
      </c>
      <c r="B121" s="783"/>
      <c r="C121" s="783"/>
      <c r="D121" s="783"/>
      <c r="E121" s="783"/>
      <c r="F121" s="783"/>
      <c r="G121" s="783"/>
      <c r="H121" s="783"/>
      <c r="I121" s="783"/>
      <c r="J121" s="783"/>
      <c r="K121" s="783"/>
      <c r="L121" s="783"/>
      <c r="M121" s="783"/>
      <c r="N121" s="783"/>
      <c r="O121" s="783"/>
      <c r="P121" s="783"/>
      <c r="Q121" s="783"/>
      <c r="R121" s="783"/>
      <c r="S121" s="783"/>
      <c r="T121" s="783"/>
      <c r="U121" s="783"/>
      <c r="V121" s="783"/>
      <c r="W121" s="783"/>
      <c r="X121" s="783"/>
      <c r="Y121" s="783"/>
      <c r="Z121" s="784"/>
    </row>
    <row r="123" spans="1:26" ht="17">
      <c r="B123" s="152" t="s">
        <v>82</v>
      </c>
      <c r="C123" s="153"/>
      <c r="D123" s="155" t="s">
        <v>250</v>
      </c>
      <c r="E123" s="155" t="s">
        <v>251</v>
      </c>
      <c r="F123" s="156" t="s">
        <v>252</v>
      </c>
      <c r="H123" s="148" t="s">
        <v>253</v>
      </c>
    </row>
    <row r="124" spans="1:26">
      <c r="B124" s="158">
        <f>B91</f>
        <v>1</v>
      </c>
      <c r="C124" s="131">
        <f>K91</f>
        <v>8418</v>
      </c>
      <c r="D124" s="137"/>
      <c r="E124" s="137"/>
      <c r="F124" s="134"/>
      <c r="H124" s="151">
        <f>1/11</f>
        <v>9.0909090909090912E-2</v>
      </c>
    </row>
    <row r="125" spans="1:26">
      <c r="B125" s="159">
        <f t="shared" ref="B125:B135" si="8">B92</f>
        <v>2</v>
      </c>
      <c r="C125" s="132">
        <f t="shared" ref="C125:C135" si="9">K92</f>
        <v>8147.8</v>
      </c>
      <c r="D125" s="140">
        <f>C125-C124</f>
        <v>-270.19999999999982</v>
      </c>
      <c r="E125" s="140">
        <f>H124*1/(11)</f>
        <v>8.2644628099173556E-3</v>
      </c>
      <c r="F125" s="135">
        <f>D125*E125</f>
        <v>-2.2330578512396682</v>
      </c>
    </row>
    <row r="126" spans="1:26">
      <c r="B126" s="159">
        <f t="shared" si="8"/>
        <v>3</v>
      </c>
      <c r="C126" s="132">
        <f t="shared" si="9"/>
        <v>6732.3296296296294</v>
      </c>
      <c r="D126" s="140">
        <f t="shared" ref="D126:D135" si="10">C126-C125</f>
        <v>-1415.4703703703708</v>
      </c>
      <c r="E126" s="140">
        <f>H124*(1/(11)+1/(10))</f>
        <v>1.7355371900826446E-2</v>
      </c>
      <c r="F126" s="135">
        <f t="shared" ref="F126:F135" si="11">D126*E126</f>
        <v>-24.566014692378335</v>
      </c>
    </row>
    <row r="127" spans="1:26">
      <c r="B127" s="159">
        <f t="shared" si="8"/>
        <v>4</v>
      </c>
      <c r="C127" s="132">
        <f t="shared" si="9"/>
        <v>7165.9629629629635</v>
      </c>
      <c r="D127" s="140">
        <f t="shared" si="10"/>
        <v>433.63333333333412</v>
      </c>
      <c r="E127" s="140">
        <f>H124*(1/(11)+1/(10)+1/(9))</f>
        <v>2.745638200183655E-2</v>
      </c>
      <c r="F127" s="135">
        <f t="shared" si="11"/>
        <v>11.906002448729744</v>
      </c>
    </row>
    <row r="128" spans="1:26">
      <c r="B128" s="159">
        <f t="shared" si="8"/>
        <v>5</v>
      </c>
      <c r="C128" s="132">
        <f t="shared" si="9"/>
        <v>7471.2629629629637</v>
      </c>
      <c r="D128" s="140">
        <f t="shared" si="10"/>
        <v>305.30000000000018</v>
      </c>
      <c r="E128" s="140">
        <f>H124*(1/(11)+1/(10)+1/(9)+1/(8))</f>
        <v>3.8820018365472914E-2</v>
      </c>
      <c r="F128" s="135">
        <f t="shared" si="11"/>
        <v>11.851751606978887</v>
      </c>
    </row>
    <row r="129" spans="1:26">
      <c r="B129" s="159">
        <f t="shared" si="8"/>
        <v>6</v>
      </c>
      <c r="C129" s="132">
        <f t="shared" si="9"/>
        <v>7821.3555555555558</v>
      </c>
      <c r="D129" s="140">
        <f t="shared" si="10"/>
        <v>350.09259259259215</v>
      </c>
      <c r="E129" s="140">
        <f>H124*(1/(11)+1/(10)+1/(9)+1/(8)+1/(7))</f>
        <v>5.1807031352485898E-2</v>
      </c>
      <c r="F129" s="135">
        <f t="shared" si="11"/>
        <v>18.137257920717495</v>
      </c>
    </row>
    <row r="130" spans="1:26">
      <c r="B130" s="159">
        <f t="shared" si="8"/>
        <v>7</v>
      </c>
      <c r="C130" s="132">
        <f t="shared" si="9"/>
        <v>8313.1881481481487</v>
      </c>
      <c r="D130" s="140">
        <f t="shared" si="10"/>
        <v>491.83259259259285</v>
      </c>
      <c r="E130" s="140">
        <f>H124*(1/(11)+1/(10)+1/(9)+1/(8)+1/(7)+1/(6))</f>
        <v>6.6958546504001043E-2</v>
      </c>
      <c r="F130" s="135">
        <f t="shared" si="11"/>
        <v>32.932395523294524</v>
      </c>
    </row>
    <row r="131" spans="1:26">
      <c r="B131" s="159">
        <f t="shared" si="8"/>
        <v>8</v>
      </c>
      <c r="C131" s="132">
        <f t="shared" si="9"/>
        <v>8186.26</v>
      </c>
      <c r="D131" s="140">
        <f t="shared" si="10"/>
        <v>-126.92814814814847</v>
      </c>
      <c r="E131" s="140">
        <f>H124*(1/(11)+1/(10)+1/(9)+1/(8)+1/(7)+1/(6)+1/(5))</f>
        <v>8.5140364685819231E-2</v>
      </c>
      <c r="F131" s="135">
        <f t="shared" si="11"/>
        <v>-10.806708822229051</v>
      </c>
    </row>
    <row r="132" spans="1:26">
      <c r="B132" s="159">
        <f t="shared" si="8"/>
        <v>9</v>
      </c>
      <c r="C132" s="132">
        <f t="shared" si="9"/>
        <v>8674.9499999999989</v>
      </c>
      <c r="D132" s="140">
        <f t="shared" si="10"/>
        <v>488.68999999999869</v>
      </c>
      <c r="E132" s="140">
        <f>H124*(1/(11)+1/(10)+1/(9)+1/(8)+1/(7)+1/(6)+1/(5)+1/(4))</f>
        <v>0.10786763741309197</v>
      </c>
      <c r="F132" s="135">
        <f t="shared" si="11"/>
        <v>52.713835727403769</v>
      </c>
    </row>
    <row r="133" spans="1:26">
      <c r="B133" s="159">
        <f t="shared" si="8"/>
        <v>10</v>
      </c>
      <c r="C133" s="132">
        <f t="shared" si="9"/>
        <v>9239.5666666666675</v>
      </c>
      <c r="D133" s="140">
        <f t="shared" si="10"/>
        <v>564.61666666666861</v>
      </c>
      <c r="E133" s="140">
        <f>H124*(1/(11)+1/(10)+1/(9)+1/(8)+1/(7)+1/(6)+1/(5)+1/(4)+1/(3))</f>
        <v>0.13817066771612227</v>
      </c>
      <c r="F133" s="135">
        <f t="shared" si="11"/>
        <v>78.013461836984831</v>
      </c>
    </row>
    <row r="134" spans="1:26">
      <c r="B134" s="159">
        <f t="shared" si="8"/>
        <v>11</v>
      </c>
      <c r="C134" s="132">
        <f t="shared" si="9"/>
        <v>9929.7999999999993</v>
      </c>
      <c r="D134" s="140">
        <f t="shared" si="10"/>
        <v>690.23333333333176</v>
      </c>
      <c r="E134" s="140">
        <f>H124*(1/(11)+1/(10)+1/(9)+1/(8)+1/(7)+1/(6)+1/(5)+1/(4)+1/(3)+1/(2))</f>
        <v>0.18362521317066768</v>
      </c>
      <c r="F134" s="135">
        <f t="shared" si="11"/>
        <v>126.74424297083357</v>
      </c>
    </row>
    <row r="135" spans="1:26">
      <c r="B135" s="160">
        <f t="shared" si="8"/>
        <v>12</v>
      </c>
      <c r="C135" s="133">
        <f t="shared" si="9"/>
        <v>10781.199999999999</v>
      </c>
      <c r="D135" s="143">
        <f t="shared" si="10"/>
        <v>851.39999999999964</v>
      </c>
      <c r="E135" s="143">
        <f>H124*(1/(11)+1/(10)+1/(9)+1/(8)+1/(7)+1/(6)+1/(5)+1/(4)+1/(3)+1/(2)+1/(1))</f>
        <v>0.2745343040797586</v>
      </c>
      <c r="F135" s="136">
        <f t="shared" si="11"/>
        <v>233.73850649350638</v>
      </c>
    </row>
    <row r="136" spans="1:26" ht="17">
      <c r="B136" s="5"/>
      <c r="C136" s="129"/>
      <c r="D136" s="129"/>
      <c r="E136" s="129"/>
      <c r="F136" s="154">
        <f>SUM(F125:F135)</f>
        <v>528.43167316260212</v>
      </c>
      <c r="G136" s="165" t="s">
        <v>254</v>
      </c>
    </row>
    <row r="138" spans="1:26" ht="26">
      <c r="A138" s="782" t="s">
        <v>255</v>
      </c>
      <c r="B138" s="783"/>
      <c r="C138" s="783"/>
      <c r="D138" s="783"/>
      <c r="E138" s="783"/>
      <c r="F138" s="783"/>
      <c r="G138" s="783"/>
      <c r="H138" s="783"/>
      <c r="I138" s="783"/>
      <c r="J138" s="783"/>
      <c r="K138" s="783"/>
      <c r="L138" s="783"/>
      <c r="M138" s="783"/>
      <c r="N138" s="783"/>
      <c r="O138" s="783"/>
      <c r="P138" s="783"/>
      <c r="Q138" s="783"/>
      <c r="R138" s="783"/>
      <c r="S138" s="783"/>
      <c r="T138" s="783"/>
      <c r="U138" s="783"/>
      <c r="V138" s="783"/>
      <c r="W138" s="783"/>
      <c r="X138" s="783"/>
      <c r="Y138" s="783"/>
      <c r="Z138" s="784"/>
    </row>
    <row r="140" spans="1:26">
      <c r="A140" s="162" t="s">
        <v>85</v>
      </c>
      <c r="B140" s="163">
        <f>C135+F136</f>
        <v>11309.631673162601</v>
      </c>
      <c r="D140" s="789" t="s">
        <v>20</v>
      </c>
      <c r="E140" s="790"/>
      <c r="F140" s="180">
        <v>12323</v>
      </c>
      <c r="H140" s="791" t="s">
        <v>260</v>
      </c>
      <c r="I140" s="792"/>
      <c r="J140" s="178">
        <f>F140-B140</f>
        <v>1013.3683268373989</v>
      </c>
      <c r="L140" s="789" t="s">
        <v>257</v>
      </c>
      <c r="M140" s="790"/>
      <c r="N140" s="179">
        <f>J140/F140</f>
        <v>8.2233898144721165E-2</v>
      </c>
      <c r="P140" s="162" t="s">
        <v>258</v>
      </c>
      <c r="Q140" s="179">
        <f>J140/B140</f>
        <v>8.9602239588588012E-2</v>
      </c>
    </row>
    <row r="143" spans="1:26" ht="26">
      <c r="A143" s="764" t="s">
        <v>261</v>
      </c>
      <c r="B143" s="765"/>
      <c r="C143" s="765"/>
      <c r="D143" s="765"/>
      <c r="E143" s="765"/>
      <c r="F143" s="765"/>
      <c r="G143" s="765"/>
      <c r="H143" s="765"/>
      <c r="I143" s="765"/>
      <c r="J143" s="765"/>
      <c r="K143" s="765"/>
      <c r="L143" s="765"/>
      <c r="M143" s="765"/>
      <c r="N143" s="765"/>
      <c r="O143" s="765"/>
      <c r="P143" s="765"/>
      <c r="Q143" s="765"/>
      <c r="R143" s="765"/>
      <c r="S143" s="765"/>
      <c r="T143" s="765"/>
      <c r="U143" s="765"/>
      <c r="V143" s="765"/>
      <c r="W143" s="765"/>
      <c r="X143" s="765"/>
      <c r="Y143" s="765"/>
      <c r="Z143" s="766"/>
    </row>
    <row r="144" spans="1:26" ht="26">
      <c r="A144" s="171"/>
      <c r="B144" s="130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 spans="1:26" ht="29">
      <c r="A145" s="228" t="s">
        <v>82</v>
      </c>
      <c r="B145" s="438" t="s">
        <v>1</v>
      </c>
      <c r="C145" s="439" t="s">
        <v>2</v>
      </c>
    </row>
    <row r="146" spans="1:26">
      <c r="A146" s="172">
        <v>1</v>
      </c>
      <c r="B146" s="440">
        <v>2010</v>
      </c>
      <c r="C146" s="227">
        <v>4461</v>
      </c>
      <c r="E146" s="131" cm="1">
        <f t="array" ref="E146:F150">LINEST(C146:C150,A146:A150,TRUE,1)</f>
        <v>207.00000000000003</v>
      </c>
      <c r="F146" s="134">
        <v>4443.3999999999996</v>
      </c>
      <c r="G146" s="129"/>
      <c r="H146" s="131" cm="1">
        <f t="array" ref="H146:I150">LINEST(C147:C151,A147:A151,1,1)</f>
        <v>93.7</v>
      </c>
      <c r="I146" s="134">
        <v>4878</v>
      </c>
      <c r="J146" s="129"/>
      <c r="K146" s="131" cm="1">
        <f t="array" ref="K146:L150">LINEST(C148:C152,A148:A152,1,1)</f>
        <v>104.2</v>
      </c>
      <c r="L146" s="134">
        <v>4880.2</v>
      </c>
      <c r="M146" s="129"/>
      <c r="N146" s="131" cm="1">
        <f t="array" ref="N146:O150">LINEST(C149:C153,A149:A153,1,1)</f>
        <v>277.5</v>
      </c>
      <c r="O146" s="134">
        <v>3979.6000000000004</v>
      </c>
      <c r="P146" s="129"/>
      <c r="Q146" s="129"/>
      <c r="R146" s="129"/>
    </row>
    <row r="147" spans="1:26">
      <c r="A147" s="139">
        <v>2</v>
      </c>
      <c r="B147" s="436">
        <v>2011</v>
      </c>
      <c r="C147" s="222">
        <v>4977</v>
      </c>
      <c r="E147" s="132">
        <v>59.550874608746653</v>
      </c>
      <c r="F147" s="135">
        <v>197.50790701471504</v>
      </c>
      <c r="G147" s="129"/>
      <c r="H147" s="132">
        <v>25.928041448079597</v>
      </c>
      <c r="I147" s="135">
        <v>110.00336358493772</v>
      </c>
      <c r="J147" s="129"/>
      <c r="K147" s="132">
        <v>31.912588947519339</v>
      </c>
      <c r="L147" s="135">
        <v>165.82267637449348</v>
      </c>
      <c r="M147" s="129"/>
      <c r="N147" s="132">
        <v>84.200296911590527</v>
      </c>
      <c r="O147" s="135">
        <v>519.04548933595413</v>
      </c>
      <c r="P147" s="129"/>
      <c r="Q147" s="129"/>
      <c r="R147" s="129"/>
    </row>
    <row r="148" spans="1:26">
      <c r="A148" s="139">
        <v>3</v>
      </c>
      <c r="B148" s="436">
        <v>2012</v>
      </c>
      <c r="C148" s="222">
        <v>5261</v>
      </c>
      <c r="E148" s="132">
        <v>0.80109677100922971</v>
      </c>
      <c r="F148" s="135">
        <v>188.31640041872794</v>
      </c>
      <c r="G148" s="129"/>
      <c r="H148" s="132">
        <v>0.81319930199472412</v>
      </c>
      <c r="I148" s="135">
        <v>81.991666243181911</v>
      </c>
      <c r="J148" s="129"/>
      <c r="K148" s="132">
        <v>0.78040204472402552</v>
      </c>
      <c r="L148" s="135">
        <v>100.91646710687674</v>
      </c>
      <c r="M148" s="129"/>
      <c r="N148" s="132">
        <v>0.7835766904651138</v>
      </c>
      <c r="O148" s="135">
        <v>266.26471790306732</v>
      </c>
      <c r="P148" s="129"/>
      <c r="Q148" s="129"/>
      <c r="R148" s="129"/>
    </row>
    <row r="149" spans="1:26">
      <c r="A149" s="139">
        <v>4</v>
      </c>
      <c r="B149" s="436">
        <v>2013</v>
      </c>
      <c r="C149" s="222">
        <v>5277</v>
      </c>
      <c r="E149" s="132">
        <v>12.082711403037147</v>
      </c>
      <c r="F149" s="135">
        <v>3</v>
      </c>
      <c r="G149" s="129"/>
      <c r="H149" s="132">
        <v>13.059897163313973</v>
      </c>
      <c r="I149" s="135">
        <v>3</v>
      </c>
      <c r="J149" s="129"/>
      <c r="K149" s="132">
        <v>10.661329388198636</v>
      </c>
      <c r="L149" s="135">
        <v>3</v>
      </c>
      <c r="M149" s="129"/>
      <c r="N149" s="132">
        <v>10.861723150095418</v>
      </c>
      <c r="O149" s="135">
        <v>3</v>
      </c>
      <c r="P149" s="129"/>
      <c r="Q149" s="129"/>
      <c r="R149" s="129"/>
    </row>
    <row r="150" spans="1:26">
      <c r="A150" s="139">
        <v>5</v>
      </c>
      <c r="B150" s="436">
        <v>2014</v>
      </c>
      <c r="C150" s="222">
        <v>5346</v>
      </c>
      <c r="E150" s="133">
        <v>428489.99999999994</v>
      </c>
      <c r="F150" s="136">
        <v>106389.20000000001</v>
      </c>
      <c r="G150" s="129"/>
      <c r="H150" s="133">
        <v>87796.89999999998</v>
      </c>
      <c r="I150" s="136">
        <v>20167.900000000005</v>
      </c>
      <c r="J150" s="129"/>
      <c r="K150" s="133">
        <v>108576.4</v>
      </c>
      <c r="L150" s="136">
        <v>30552.400000000001</v>
      </c>
      <c r="M150" s="129"/>
      <c r="N150" s="133">
        <v>770062.5</v>
      </c>
      <c r="O150" s="136">
        <v>212690.7</v>
      </c>
      <c r="P150" s="129"/>
      <c r="Q150" s="129"/>
      <c r="R150" s="129"/>
    </row>
    <row r="151" spans="1:26">
      <c r="A151" s="139">
        <v>6</v>
      </c>
      <c r="B151" s="436">
        <v>2015</v>
      </c>
      <c r="C151" s="222">
        <v>5403</v>
      </c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</row>
    <row r="152" spans="1:26">
      <c r="A152" s="139">
        <v>7</v>
      </c>
      <c r="B152" s="436">
        <v>2016</v>
      </c>
      <c r="C152" s="222">
        <v>5719</v>
      </c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</row>
    <row r="153" spans="1:26">
      <c r="A153" s="139">
        <v>8</v>
      </c>
      <c r="B153" s="436">
        <v>2017</v>
      </c>
      <c r="C153" s="222">
        <v>6478</v>
      </c>
      <c r="E153" s="131" cm="1">
        <f t="array" ref="E153:F157">LINEST(C150:C154,A150:A154,1,1)</f>
        <v>397.29999999999995</v>
      </c>
      <c r="F153" s="134">
        <v>3167.1000000000004</v>
      </c>
      <c r="H153" s="131" cm="1">
        <f t="array" ref="H153:I157">LINEST(C151:C155,A151:A155,1,1)</f>
        <v>530.79999999999984</v>
      </c>
      <c r="I153" s="134">
        <v>2136.4000000000015</v>
      </c>
      <c r="J153" s="129"/>
      <c r="K153" s="131" cm="1">
        <f t="array" ref="K153:L157">LINEST(C152:C155,A152:A155,TRUE,1)</f>
        <v>571.70000000000005</v>
      </c>
      <c r="L153" s="134">
        <v>1768.2999999999993</v>
      </c>
      <c r="M153" s="129"/>
      <c r="N153" s="131" cm="1">
        <f t="array" ref="N153:O157">LINEST(C153:C157,A153:A157,1,1)</f>
        <v>734.19999999999993</v>
      </c>
      <c r="O153" s="134">
        <v>365.80000000000109</v>
      </c>
      <c r="P153" s="129"/>
      <c r="Q153" s="129"/>
      <c r="R153" s="129"/>
    </row>
    <row r="154" spans="1:26">
      <c r="A154" s="139">
        <v>9</v>
      </c>
      <c r="B154" s="436">
        <v>2018</v>
      </c>
      <c r="C154" s="222">
        <v>6795</v>
      </c>
      <c r="E154" s="132">
        <v>66.258559195523304</v>
      </c>
      <c r="F154" s="135">
        <v>473.18075827319933</v>
      </c>
      <c r="H154" s="132">
        <v>42.061225215947601</v>
      </c>
      <c r="I154" s="135">
        <v>341.70700900040077</v>
      </c>
      <c r="J154" s="129"/>
      <c r="K154" s="132">
        <v>60.287892648524384</v>
      </c>
      <c r="L154" s="135">
        <v>516.86101129800841</v>
      </c>
      <c r="M154" s="129"/>
      <c r="N154" s="132">
        <v>71.876375349159972</v>
      </c>
      <c r="O154" s="135">
        <v>725.91580779040748</v>
      </c>
      <c r="P154" s="129"/>
      <c r="Q154" s="129"/>
      <c r="R154" s="129"/>
    </row>
    <row r="155" spans="1:26">
      <c r="A155" s="139">
        <v>10</v>
      </c>
      <c r="B155" s="436">
        <v>2019</v>
      </c>
      <c r="C155" s="222">
        <v>7519</v>
      </c>
      <c r="E155" s="132">
        <v>0.92298705842921225</v>
      </c>
      <c r="F155" s="135">
        <v>209.52796153894747</v>
      </c>
      <c r="H155" s="132">
        <v>0.9815107905047683</v>
      </c>
      <c r="I155" s="135">
        <v>133.00927285970201</v>
      </c>
      <c r="J155" s="129"/>
      <c r="K155" s="132">
        <v>0.97824292377828093</v>
      </c>
      <c r="L155" s="135">
        <v>134.80782618231038</v>
      </c>
      <c r="M155" s="129"/>
      <c r="N155" s="132">
        <v>0.97205177518538144</v>
      </c>
      <c r="O155" s="135">
        <v>227.2930560605258</v>
      </c>
      <c r="P155" s="129"/>
      <c r="Q155" s="129"/>
      <c r="R155" s="129"/>
    </row>
    <row r="156" spans="1:26">
      <c r="A156" s="139">
        <v>11</v>
      </c>
      <c r="B156" s="436">
        <v>2020</v>
      </c>
      <c r="C156" s="222">
        <v>8401</v>
      </c>
      <c r="E156" s="132">
        <v>35.954491788143152</v>
      </c>
      <c r="F156" s="135">
        <v>3</v>
      </c>
      <c r="H156" s="132">
        <v>159.25680177260602</v>
      </c>
      <c r="I156" s="135">
        <v>3</v>
      </c>
      <c r="J156" s="129"/>
      <c r="K156" s="132">
        <v>89.924116072337455</v>
      </c>
      <c r="L156" s="135">
        <v>2</v>
      </c>
      <c r="M156" s="129"/>
      <c r="N156" s="132">
        <v>104.34134349852633</v>
      </c>
      <c r="O156" s="135">
        <v>3</v>
      </c>
      <c r="P156" s="129"/>
      <c r="Q156" s="129"/>
      <c r="R156" s="129"/>
    </row>
    <row r="157" spans="1:26">
      <c r="A157" s="142">
        <v>12</v>
      </c>
      <c r="B157" s="437">
        <v>2021</v>
      </c>
      <c r="C157" s="223">
        <v>9346</v>
      </c>
      <c r="E157" s="133">
        <v>1578472.9000000004</v>
      </c>
      <c r="F157" s="136">
        <v>131705.89999999994</v>
      </c>
      <c r="H157" s="133">
        <v>2817486.4</v>
      </c>
      <c r="I157" s="136">
        <v>53074.399999999987</v>
      </c>
      <c r="J157" s="129"/>
      <c r="K157" s="133">
        <v>1634204.45</v>
      </c>
      <c r="L157" s="136">
        <v>36346.30000000001</v>
      </c>
      <c r="M157" s="129"/>
      <c r="N157" s="133">
        <v>5390496.3999999994</v>
      </c>
      <c r="O157" s="136">
        <v>154986.39999999997</v>
      </c>
      <c r="P157" s="129"/>
      <c r="Q157" s="129"/>
      <c r="R157" s="129"/>
    </row>
    <row r="159" spans="1:26" ht="26">
      <c r="A159" s="764" t="s">
        <v>238</v>
      </c>
      <c r="B159" s="765"/>
      <c r="C159" s="765"/>
      <c r="D159" s="765"/>
      <c r="E159" s="765"/>
      <c r="F159" s="765"/>
      <c r="G159" s="765"/>
      <c r="H159" s="765"/>
      <c r="I159" s="765"/>
      <c r="J159" s="765"/>
      <c r="K159" s="765"/>
      <c r="L159" s="765"/>
      <c r="M159" s="765"/>
      <c r="N159" s="765"/>
      <c r="O159" s="765"/>
      <c r="P159" s="765"/>
      <c r="Q159" s="765"/>
      <c r="R159" s="765"/>
      <c r="S159" s="765"/>
      <c r="T159" s="765"/>
      <c r="U159" s="765"/>
      <c r="V159" s="765"/>
      <c r="W159" s="765"/>
      <c r="X159" s="765"/>
      <c r="Y159" s="765"/>
      <c r="Z159" s="766"/>
    </row>
    <row r="161" spans="1:26">
      <c r="B161" s="145" t="s">
        <v>82</v>
      </c>
      <c r="C161" s="146" t="s">
        <v>239</v>
      </c>
      <c r="D161" s="147" t="s">
        <v>240</v>
      </c>
      <c r="E161" s="147" t="s">
        <v>241</v>
      </c>
      <c r="F161" s="147" t="s">
        <v>242</v>
      </c>
      <c r="G161" s="147" t="s">
        <v>243</v>
      </c>
      <c r="H161" s="147" t="s">
        <v>244</v>
      </c>
      <c r="I161" s="147" t="s">
        <v>245</v>
      </c>
      <c r="J161" s="217" t="s">
        <v>246</v>
      </c>
      <c r="K161" s="226"/>
      <c r="L161" s="5"/>
      <c r="M161" s="5"/>
    </row>
    <row r="162" spans="1:26">
      <c r="B162" s="158">
        <f>A146</f>
        <v>1</v>
      </c>
      <c r="C162" s="131" cm="1">
        <f t="array" ref="C162:C166">TREND(C146:C150,A146:A150,B162:B166,1)</f>
        <v>4650.3999999999996</v>
      </c>
      <c r="D162" s="137"/>
      <c r="E162" s="137"/>
      <c r="F162" s="137"/>
      <c r="G162" s="137"/>
      <c r="H162" s="137"/>
      <c r="I162" s="137"/>
      <c r="J162" s="138"/>
      <c r="K162" s="148">
        <f>AVERAGE(C162:J162)</f>
        <v>4650.3999999999996</v>
      </c>
      <c r="L162" s="621"/>
    </row>
    <row r="163" spans="1:26">
      <c r="B163" s="159">
        <f t="shared" ref="B163:B173" si="12">A147</f>
        <v>2</v>
      </c>
      <c r="C163" s="132">
        <v>4857.3999999999996</v>
      </c>
      <c r="D163" s="140" cm="1">
        <f t="array" ref="D163:D167">TREND(C147:C151,A147:A151,B163:B167,1)</f>
        <v>5065.3999999999996</v>
      </c>
      <c r="E163" s="140"/>
      <c r="F163" s="140"/>
      <c r="G163" s="140"/>
      <c r="H163" s="140"/>
      <c r="I163" s="140"/>
      <c r="J163" s="141"/>
      <c r="K163" s="149">
        <f t="shared" ref="K163:K171" si="13">AVERAGE(C163:J163)</f>
        <v>4961.3999999999996</v>
      </c>
      <c r="L163" s="621"/>
    </row>
    <row r="164" spans="1:26">
      <c r="B164" s="159">
        <f t="shared" si="12"/>
        <v>3</v>
      </c>
      <c r="C164" s="132">
        <v>5064.3999999999996</v>
      </c>
      <c r="D164" s="140">
        <v>5159.1000000000004</v>
      </c>
      <c r="E164" s="140" cm="1">
        <f t="array" ref="E164:E168">TREND(C148:C152,A148:A152,B164:B168,FALSE)</f>
        <v>3023.822222222223</v>
      </c>
      <c r="F164" s="140"/>
      <c r="G164" s="140"/>
      <c r="H164" s="140"/>
      <c r="I164" s="140"/>
      <c r="J164" s="141"/>
      <c r="K164" s="149">
        <f t="shared" si="13"/>
        <v>4415.7740740740746</v>
      </c>
      <c r="L164" s="621"/>
    </row>
    <row r="165" spans="1:26">
      <c r="B165" s="159">
        <f t="shared" si="12"/>
        <v>4</v>
      </c>
      <c r="C165" s="132">
        <v>5271.4</v>
      </c>
      <c r="D165" s="140">
        <v>5252.8</v>
      </c>
      <c r="E165" s="140">
        <v>4031.7629629629637</v>
      </c>
      <c r="F165" s="140" cm="1">
        <f t="array" ref="F165:F169">TREND(C149:C153,A149:A153,B165:B169,1)</f>
        <v>5089.6000000000004</v>
      </c>
      <c r="G165" s="140"/>
      <c r="H165" s="140"/>
      <c r="I165" s="140"/>
      <c r="J165" s="141"/>
      <c r="K165" s="149">
        <f t="shared" si="13"/>
        <v>4911.3907407407405</v>
      </c>
      <c r="L165" s="621"/>
    </row>
    <row r="166" spans="1:26">
      <c r="B166" s="159">
        <f t="shared" si="12"/>
        <v>5</v>
      </c>
      <c r="C166" s="132">
        <v>5478.4</v>
      </c>
      <c r="D166" s="140">
        <v>5346.5</v>
      </c>
      <c r="E166" s="140">
        <v>5039.7037037037044</v>
      </c>
      <c r="F166" s="140">
        <v>5367.1</v>
      </c>
      <c r="G166" s="140" cm="1">
        <f t="array" ref="G166:G170">TREND(C150:C154,A150:A154,B166:B170,1)</f>
        <v>5153.6000000000004</v>
      </c>
      <c r="H166" s="140"/>
      <c r="I166" s="140"/>
      <c r="J166" s="141"/>
      <c r="K166" s="149">
        <f t="shared" si="13"/>
        <v>5277.0607407407415</v>
      </c>
      <c r="L166" s="621"/>
    </row>
    <row r="167" spans="1:26">
      <c r="B167" s="159">
        <f t="shared" si="12"/>
        <v>6</v>
      </c>
      <c r="C167" s="132"/>
      <c r="D167" s="140">
        <v>5440.2</v>
      </c>
      <c r="E167" s="140">
        <v>6047.644444444446</v>
      </c>
      <c r="F167" s="140">
        <v>5644.6</v>
      </c>
      <c r="G167" s="140">
        <v>5550.9</v>
      </c>
      <c r="H167" s="140" cm="1">
        <f t="array" ref="H167:H171">TREND(C151:C155,A151:A155,B167:B171,1)</f>
        <v>5321.2000000000007</v>
      </c>
      <c r="I167" s="140"/>
      <c r="J167" s="141"/>
      <c r="K167" s="149">
        <f t="shared" si="13"/>
        <v>5600.9088888888891</v>
      </c>
      <c r="L167" s="621"/>
    </row>
    <row r="168" spans="1:26">
      <c r="B168" s="159">
        <f t="shared" si="12"/>
        <v>7</v>
      </c>
      <c r="C168" s="132"/>
      <c r="D168" s="140"/>
      <c r="E168" s="140">
        <v>7055.5851851851867</v>
      </c>
      <c r="F168" s="140">
        <v>5922.1</v>
      </c>
      <c r="G168" s="140">
        <v>5948.2</v>
      </c>
      <c r="H168" s="140">
        <v>5852</v>
      </c>
      <c r="I168" s="140" cm="1">
        <f t="array" ref="I168:I172">TREND(C152:C156,A152:A156,B168:B172,1)</f>
        <v>5701.4</v>
      </c>
      <c r="J168" s="141"/>
      <c r="K168" s="149">
        <f t="shared" si="13"/>
        <v>6095.857037037038</v>
      </c>
      <c r="L168" s="621"/>
    </row>
    <row r="169" spans="1:26">
      <c r="B169" s="159">
        <f t="shared" si="12"/>
        <v>8</v>
      </c>
      <c r="C169" s="132"/>
      <c r="D169" s="140"/>
      <c r="E169" s="140"/>
      <c r="F169" s="140">
        <v>6199.6</v>
      </c>
      <c r="G169" s="140">
        <v>6345.5</v>
      </c>
      <c r="H169" s="140">
        <v>6382.8</v>
      </c>
      <c r="I169" s="140">
        <v>6341.9</v>
      </c>
      <c r="J169" s="141" cm="1">
        <f t="array" ref="J169:J173">TREND(C153:C157,A153:A157,B169:B173,1)</f>
        <v>6239.4000000000005</v>
      </c>
      <c r="K169" s="149">
        <f t="shared" si="13"/>
        <v>6301.8400000000011</v>
      </c>
      <c r="L169" s="621"/>
    </row>
    <row r="170" spans="1:26">
      <c r="B170" s="159">
        <f t="shared" si="12"/>
        <v>9</v>
      </c>
      <c r="C170" s="132"/>
      <c r="D170" s="140"/>
      <c r="E170" s="140"/>
      <c r="F170" s="140"/>
      <c r="G170" s="140">
        <v>6742.8</v>
      </c>
      <c r="H170" s="140">
        <v>6913.6</v>
      </c>
      <c r="I170" s="140">
        <v>6982.4</v>
      </c>
      <c r="J170" s="141">
        <v>6973.6</v>
      </c>
      <c r="K170" s="149">
        <f t="shared" si="13"/>
        <v>6903.1</v>
      </c>
      <c r="L170" s="621"/>
    </row>
    <row r="171" spans="1:26">
      <c r="B171" s="159">
        <f t="shared" si="12"/>
        <v>10</v>
      </c>
      <c r="C171" s="132"/>
      <c r="D171" s="140"/>
      <c r="E171" s="140"/>
      <c r="F171" s="140"/>
      <c r="G171" s="140"/>
      <c r="H171" s="140">
        <v>7444.4</v>
      </c>
      <c r="I171" s="140">
        <v>7622.9</v>
      </c>
      <c r="J171" s="141">
        <v>7707.8</v>
      </c>
      <c r="K171" s="149">
        <f t="shared" si="13"/>
        <v>7591.7</v>
      </c>
      <c r="L171" s="621"/>
    </row>
    <row r="172" spans="1:26">
      <c r="B172" s="159">
        <f t="shared" si="12"/>
        <v>11</v>
      </c>
      <c r="C172" s="132"/>
      <c r="D172" s="140"/>
      <c r="E172" s="140"/>
      <c r="F172" s="140"/>
      <c r="G172" s="140"/>
      <c r="H172" s="140"/>
      <c r="I172" s="140">
        <v>8263.4</v>
      </c>
      <c r="J172" s="141">
        <v>8442</v>
      </c>
      <c r="K172" s="149">
        <f>AVERAGE(C172:J172)</f>
        <v>8352.7000000000007</v>
      </c>
      <c r="L172" s="621"/>
      <c r="M172" s="1"/>
    </row>
    <row r="173" spans="1:26">
      <c r="B173" s="160">
        <f t="shared" si="12"/>
        <v>12</v>
      </c>
      <c r="C173" s="133"/>
      <c r="D173" s="143"/>
      <c r="E173" s="143"/>
      <c r="F173" s="143"/>
      <c r="G173" s="143"/>
      <c r="H173" s="143"/>
      <c r="I173" s="143"/>
      <c r="J173" s="144">
        <v>9176.2000000000007</v>
      </c>
      <c r="K173" s="150">
        <f>AVERAGE(C173:J173)</f>
        <v>9176.2000000000007</v>
      </c>
      <c r="L173" s="621"/>
    </row>
    <row r="174" spans="1:26">
      <c r="L174" s="129"/>
      <c r="M174" s="5"/>
    </row>
    <row r="175" spans="1:26" ht="26">
      <c r="A175" s="764" t="s">
        <v>247</v>
      </c>
      <c r="B175" s="765"/>
      <c r="C175" s="765"/>
      <c r="D175" s="765"/>
      <c r="E175" s="765"/>
      <c r="F175" s="765"/>
      <c r="G175" s="765"/>
      <c r="H175" s="765"/>
      <c r="I175" s="765"/>
      <c r="J175" s="765"/>
      <c r="K175" s="765"/>
      <c r="L175" s="765"/>
      <c r="M175" s="765"/>
      <c r="N175" s="765"/>
      <c r="O175" s="765"/>
      <c r="P175" s="765"/>
      <c r="Q175" s="765"/>
      <c r="R175" s="765"/>
      <c r="S175" s="765"/>
      <c r="T175" s="765"/>
      <c r="U175" s="765"/>
      <c r="V175" s="765"/>
      <c r="W175" s="765"/>
      <c r="X175" s="765"/>
      <c r="Y175" s="765"/>
      <c r="Z175" s="766"/>
    </row>
    <row r="176" spans="1:26" ht="26">
      <c r="A176" s="130"/>
      <c r="B176" s="130"/>
      <c r="C176" s="130"/>
      <c r="D176" s="130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</row>
    <row r="177" spans="1:26">
      <c r="E177" s="769"/>
      <c r="F177" s="770"/>
      <c r="G177" s="770"/>
      <c r="H177" s="770"/>
      <c r="I177" s="770"/>
      <c r="J177" s="770"/>
      <c r="K177" s="770"/>
      <c r="L177" s="771"/>
    </row>
    <row r="178" spans="1:26">
      <c r="B178" s="145">
        <f>CORREL(C146:C157,K162:K173)</f>
        <v>0.97850191488175675</v>
      </c>
      <c r="E178" s="772"/>
      <c r="F178" s="773"/>
      <c r="G178" s="773"/>
      <c r="H178" s="773"/>
      <c r="I178" s="773"/>
      <c r="J178" s="773"/>
      <c r="K178" s="773"/>
      <c r="L178" s="774"/>
    </row>
    <row r="179" spans="1:26" ht="29">
      <c r="B179" s="161" t="s">
        <v>248</v>
      </c>
      <c r="E179" s="772"/>
      <c r="F179" s="773"/>
      <c r="G179" s="773"/>
      <c r="H179" s="773"/>
      <c r="I179" s="773"/>
      <c r="J179" s="773"/>
      <c r="K179" s="773"/>
      <c r="L179" s="774"/>
    </row>
    <row r="180" spans="1:26">
      <c r="E180" s="772"/>
      <c r="F180" s="773"/>
      <c r="G180" s="773"/>
      <c r="H180" s="773"/>
      <c r="I180" s="773"/>
      <c r="J180" s="773"/>
      <c r="K180" s="773"/>
      <c r="L180" s="774"/>
    </row>
    <row r="181" spans="1:26">
      <c r="E181" s="772"/>
      <c r="F181" s="773"/>
      <c r="G181" s="773"/>
      <c r="H181" s="773"/>
      <c r="I181" s="773"/>
      <c r="J181" s="773"/>
      <c r="K181" s="773"/>
      <c r="L181" s="774"/>
    </row>
    <row r="182" spans="1:26">
      <c r="E182" s="772"/>
      <c r="F182" s="773"/>
      <c r="G182" s="773"/>
      <c r="H182" s="773"/>
      <c r="I182" s="773"/>
      <c r="J182" s="773"/>
      <c r="K182" s="773"/>
      <c r="L182" s="774"/>
    </row>
    <row r="183" spans="1:26">
      <c r="E183" s="772"/>
      <c r="F183" s="773"/>
      <c r="G183" s="773"/>
      <c r="H183" s="773"/>
      <c r="I183" s="773"/>
      <c r="J183" s="773"/>
      <c r="K183" s="773"/>
      <c r="L183" s="774"/>
    </row>
    <row r="184" spans="1:26">
      <c r="E184" s="772"/>
      <c r="F184" s="773"/>
      <c r="G184" s="773"/>
      <c r="H184" s="773"/>
      <c r="I184" s="773"/>
      <c r="J184" s="773"/>
      <c r="K184" s="773"/>
      <c r="L184" s="774"/>
    </row>
    <row r="185" spans="1:26">
      <c r="E185" s="772"/>
      <c r="F185" s="773"/>
      <c r="G185" s="773"/>
      <c r="H185" s="773"/>
      <c r="I185" s="773"/>
      <c r="J185" s="773"/>
      <c r="K185" s="773"/>
      <c r="L185" s="774"/>
    </row>
    <row r="186" spans="1:26">
      <c r="E186" s="772"/>
      <c r="F186" s="773"/>
      <c r="G186" s="773"/>
      <c r="H186" s="773"/>
      <c r="I186" s="773"/>
      <c r="J186" s="773"/>
      <c r="K186" s="773"/>
      <c r="L186" s="774"/>
    </row>
    <row r="187" spans="1:26">
      <c r="E187" s="772"/>
      <c r="F187" s="773"/>
      <c r="G187" s="773"/>
      <c r="H187" s="773"/>
      <c r="I187" s="773"/>
      <c r="J187" s="773"/>
      <c r="K187" s="773"/>
      <c r="L187" s="774"/>
    </row>
    <row r="188" spans="1:26">
      <c r="E188" s="772"/>
      <c r="F188" s="773"/>
      <c r="G188" s="773"/>
      <c r="H188" s="773"/>
      <c r="I188" s="773"/>
      <c r="J188" s="773"/>
      <c r="K188" s="773"/>
      <c r="L188" s="774"/>
    </row>
    <row r="189" spans="1:26">
      <c r="E189" s="772"/>
      <c r="F189" s="773"/>
      <c r="G189" s="773"/>
      <c r="H189" s="773"/>
      <c r="I189" s="773"/>
      <c r="J189" s="773"/>
      <c r="K189" s="773"/>
      <c r="L189" s="774"/>
    </row>
    <row r="190" spans="1:26">
      <c r="E190" s="775"/>
      <c r="F190" s="776"/>
      <c r="G190" s="776"/>
      <c r="H190" s="776"/>
      <c r="I190" s="776"/>
      <c r="J190" s="776"/>
      <c r="K190" s="776"/>
      <c r="L190" s="777"/>
    </row>
    <row r="192" spans="1:26" ht="26">
      <c r="A192" s="764" t="s">
        <v>249</v>
      </c>
      <c r="B192" s="765"/>
      <c r="C192" s="765"/>
      <c r="D192" s="765"/>
      <c r="E192" s="765"/>
      <c r="F192" s="765"/>
      <c r="G192" s="765"/>
      <c r="H192" s="765"/>
      <c r="I192" s="765"/>
      <c r="J192" s="765"/>
      <c r="K192" s="765"/>
      <c r="L192" s="765"/>
      <c r="M192" s="765"/>
      <c r="N192" s="765"/>
      <c r="O192" s="765"/>
      <c r="P192" s="765"/>
      <c r="Q192" s="765"/>
      <c r="R192" s="765"/>
      <c r="S192" s="765"/>
      <c r="T192" s="765"/>
      <c r="U192" s="765"/>
      <c r="V192" s="765"/>
      <c r="W192" s="765"/>
      <c r="X192" s="765"/>
      <c r="Y192" s="765"/>
      <c r="Z192" s="766"/>
    </row>
    <row r="194" spans="2:8" ht="17">
      <c r="B194" s="152" t="s">
        <v>82</v>
      </c>
      <c r="C194" s="153"/>
      <c r="D194" s="155" t="s">
        <v>250</v>
      </c>
      <c r="E194" s="155" t="s">
        <v>251</v>
      </c>
      <c r="F194" s="156" t="s">
        <v>252</v>
      </c>
      <c r="H194" s="148" t="s">
        <v>253</v>
      </c>
    </row>
    <row r="195" spans="2:8">
      <c r="B195" s="158">
        <f>B162</f>
        <v>1</v>
      </c>
      <c r="C195" s="131">
        <f>K162</f>
        <v>4650.3999999999996</v>
      </c>
      <c r="D195" s="137"/>
      <c r="E195" s="137"/>
      <c r="F195" s="134"/>
      <c r="H195" s="151">
        <f>1/11</f>
        <v>9.0909090909090912E-2</v>
      </c>
    </row>
    <row r="196" spans="2:8">
      <c r="B196" s="159">
        <f t="shared" ref="B196:B206" si="14">B163</f>
        <v>2</v>
      </c>
      <c r="C196" s="132">
        <f t="shared" ref="C196:C206" si="15">K163</f>
        <v>4961.3999999999996</v>
      </c>
      <c r="D196" s="140">
        <f>C196-C195</f>
        <v>311</v>
      </c>
      <c r="E196" s="140">
        <f>H195*1/(11)</f>
        <v>8.2644628099173556E-3</v>
      </c>
      <c r="F196" s="135">
        <f>D196*E196</f>
        <v>2.5702479338842976</v>
      </c>
    </row>
    <row r="197" spans="2:8">
      <c r="B197" s="159">
        <f t="shared" si="14"/>
        <v>3</v>
      </c>
      <c r="C197" s="132">
        <f t="shared" si="15"/>
        <v>4415.7740740740746</v>
      </c>
      <c r="D197" s="140">
        <f t="shared" ref="D197:D206" si="16">C197-C196</f>
        <v>-545.625925925925</v>
      </c>
      <c r="E197" s="140">
        <f>H195*(1/(11)+1/(10))</f>
        <v>1.7355371900826446E-2</v>
      </c>
      <c r="F197" s="135">
        <f t="shared" ref="F197:F206" si="17">D197*E197</f>
        <v>-9.46954086317721</v>
      </c>
    </row>
    <row r="198" spans="2:8">
      <c r="B198" s="159">
        <f t="shared" si="14"/>
        <v>4</v>
      </c>
      <c r="C198" s="132">
        <f t="shared" si="15"/>
        <v>4911.3907407407405</v>
      </c>
      <c r="D198" s="140">
        <f t="shared" si="16"/>
        <v>495.61666666666588</v>
      </c>
      <c r="E198" s="140">
        <f>H195*(1/(11)+1/(10)+1/(9))</f>
        <v>2.745638200183655E-2</v>
      </c>
      <c r="F198" s="135">
        <f t="shared" si="17"/>
        <v>13.60784052647687</v>
      </c>
    </row>
    <row r="199" spans="2:8">
      <c r="B199" s="159">
        <f t="shared" si="14"/>
        <v>5</v>
      </c>
      <c r="C199" s="132">
        <f t="shared" si="15"/>
        <v>5277.0607407407415</v>
      </c>
      <c r="D199" s="140">
        <f t="shared" si="16"/>
        <v>365.67000000000098</v>
      </c>
      <c r="E199" s="140">
        <f>H195*(1/(11)+1/(10)+1/(9)+1/(8))</f>
        <v>3.8820018365472914E-2</v>
      </c>
      <c r="F199" s="135">
        <f t="shared" si="17"/>
        <v>14.195316115702518</v>
      </c>
    </row>
    <row r="200" spans="2:8">
      <c r="B200" s="159">
        <f t="shared" si="14"/>
        <v>6</v>
      </c>
      <c r="C200" s="132">
        <f t="shared" si="15"/>
        <v>5600.9088888888891</v>
      </c>
      <c r="D200" s="140">
        <f t="shared" si="16"/>
        <v>323.84814814814763</v>
      </c>
      <c r="E200" s="140">
        <f>H195*(1/(11)+1/(10)+1/(9)+1/(8)+1/(7))</f>
        <v>5.1807031352485898E-2</v>
      </c>
      <c r="F200" s="135">
        <f t="shared" si="17"/>
        <v>16.777611164555584</v>
      </c>
    </row>
    <row r="201" spans="2:8">
      <c r="B201" s="159">
        <f t="shared" si="14"/>
        <v>7</v>
      </c>
      <c r="C201" s="132">
        <f t="shared" si="15"/>
        <v>6095.857037037038</v>
      </c>
      <c r="D201" s="140">
        <f t="shared" si="16"/>
        <v>494.9481481481489</v>
      </c>
      <c r="E201" s="140">
        <f>H195*(1/(11)+1/(10)+1/(9)+1/(8)+1/(7)+1/(6))</f>
        <v>6.6958546504001043E-2</v>
      </c>
      <c r="F201" s="135">
        <f t="shared" si="17"/>
        <v>33.141008594847023</v>
      </c>
    </row>
    <row r="202" spans="2:8">
      <c r="B202" s="159">
        <f t="shared" si="14"/>
        <v>8</v>
      </c>
      <c r="C202" s="132">
        <f t="shared" si="15"/>
        <v>6301.8400000000011</v>
      </c>
      <c r="D202" s="140">
        <f t="shared" si="16"/>
        <v>205.98296296296303</v>
      </c>
      <c r="E202" s="140">
        <f>H195*(1/(11)+1/(10)+1/(9)+1/(8)+1/(7)+1/(6)+1/(5))</f>
        <v>8.5140364685819231E-2</v>
      </c>
      <c r="F202" s="135">
        <f t="shared" si="17"/>
        <v>17.53746458573227</v>
      </c>
    </row>
    <row r="203" spans="2:8">
      <c r="B203" s="159">
        <f t="shared" si="14"/>
        <v>9</v>
      </c>
      <c r="C203" s="132">
        <f t="shared" si="15"/>
        <v>6903.1</v>
      </c>
      <c r="D203" s="140">
        <f t="shared" si="16"/>
        <v>601.25999999999931</v>
      </c>
      <c r="E203" s="140">
        <f>H195*(1/(11)+1/(10)+1/(9)+1/(8)+1/(7)+1/(6)+1/(5)+1/(4))</f>
        <v>0.10786763741309197</v>
      </c>
      <c r="F203" s="135">
        <f t="shared" si="17"/>
        <v>64.856495670995599</v>
      </c>
    </row>
    <row r="204" spans="2:8">
      <c r="B204" s="159">
        <f t="shared" si="14"/>
        <v>10</v>
      </c>
      <c r="C204" s="132">
        <f t="shared" si="15"/>
        <v>7591.7</v>
      </c>
      <c r="D204" s="140">
        <f t="shared" si="16"/>
        <v>688.59999999999945</v>
      </c>
      <c r="E204" s="140">
        <f>H195*(1/(11)+1/(10)+1/(9)+1/(8)+1/(7)+1/(6)+1/(5)+1/(4)+1/(3))</f>
        <v>0.13817066771612227</v>
      </c>
      <c r="F204" s="135">
        <f t="shared" si="17"/>
        <v>95.144321789321722</v>
      </c>
    </row>
    <row r="205" spans="2:8">
      <c r="B205" s="159">
        <f t="shared" si="14"/>
        <v>11</v>
      </c>
      <c r="C205" s="132">
        <f t="shared" si="15"/>
        <v>8352.7000000000007</v>
      </c>
      <c r="D205" s="140">
        <f t="shared" si="16"/>
        <v>761.00000000000091</v>
      </c>
      <c r="E205" s="140">
        <f>H195*(1/(11)+1/(10)+1/(9)+1/(8)+1/(7)+1/(6)+1/(5)+1/(4)+1/(3)+1/(2))</f>
        <v>0.18362521317066768</v>
      </c>
      <c r="F205" s="135">
        <f t="shared" si="17"/>
        <v>139.73878722287827</v>
      </c>
    </row>
    <row r="206" spans="2:8">
      <c r="B206" s="160">
        <f t="shared" si="14"/>
        <v>12</v>
      </c>
      <c r="C206" s="133">
        <f t="shared" si="15"/>
        <v>9176.2000000000007</v>
      </c>
      <c r="D206" s="143">
        <f t="shared" si="16"/>
        <v>823.5</v>
      </c>
      <c r="E206" s="143">
        <f>H195*(1/(11)+1/(10)+1/(9)+1/(8)+1/(7)+1/(6)+1/(5)+1/(4)+1/(3)+1/(2)+1/(1))</f>
        <v>0.2745343040797586</v>
      </c>
      <c r="F206" s="136">
        <f t="shared" si="17"/>
        <v>226.07899940968122</v>
      </c>
    </row>
    <row r="207" spans="2:8" ht="17">
      <c r="B207" s="5"/>
      <c r="C207" s="129"/>
      <c r="D207" s="129"/>
      <c r="E207" s="129"/>
      <c r="F207" s="154">
        <f>SUM(F196:F206)</f>
        <v>614.17855215089821</v>
      </c>
      <c r="G207" s="165" t="s">
        <v>254</v>
      </c>
    </row>
    <row r="209" spans="1:26" ht="26">
      <c r="A209" s="764" t="s">
        <v>255</v>
      </c>
      <c r="B209" s="765"/>
      <c r="C209" s="765"/>
      <c r="D209" s="765"/>
      <c r="E209" s="765"/>
      <c r="F209" s="765"/>
      <c r="G209" s="765"/>
      <c r="H209" s="765"/>
      <c r="I209" s="765"/>
      <c r="J209" s="765"/>
      <c r="K209" s="765"/>
      <c r="L209" s="765"/>
      <c r="M209" s="765"/>
      <c r="N209" s="765"/>
      <c r="O209" s="765"/>
      <c r="P209" s="765"/>
      <c r="Q209" s="765"/>
      <c r="R209" s="765"/>
      <c r="S209" s="765"/>
      <c r="T209" s="765"/>
      <c r="U209" s="765"/>
      <c r="V209" s="765"/>
      <c r="W209" s="765"/>
      <c r="X209" s="765"/>
      <c r="Y209" s="765"/>
      <c r="Z209" s="766"/>
    </row>
    <row r="211" spans="1:26">
      <c r="A211" s="166" t="s">
        <v>85</v>
      </c>
      <c r="B211" s="167">
        <f>C206+F207</f>
        <v>9790.378552150898</v>
      </c>
      <c r="D211" s="767" t="s">
        <v>20</v>
      </c>
      <c r="E211" s="768"/>
      <c r="F211" s="181">
        <v>9929</v>
      </c>
      <c r="H211" s="767" t="s">
        <v>260</v>
      </c>
      <c r="I211" s="768"/>
      <c r="J211" s="441">
        <f>F211-B211</f>
        <v>138.62144784910197</v>
      </c>
      <c r="L211" s="767" t="s">
        <v>257</v>
      </c>
      <c r="M211" s="768"/>
      <c r="N211" s="442">
        <f>J211/F211</f>
        <v>1.3961269800493703E-2</v>
      </c>
      <c r="P211" s="166" t="s">
        <v>258</v>
      </c>
      <c r="Q211" s="622">
        <f>J211/B211</f>
        <v>1.4158946675115797E-2</v>
      </c>
    </row>
    <row r="214" spans="1:26" ht="26">
      <c r="A214" s="761" t="s">
        <v>262</v>
      </c>
      <c r="B214" s="762"/>
      <c r="C214" s="762"/>
      <c r="D214" s="762"/>
      <c r="E214" s="762"/>
      <c r="F214" s="762"/>
      <c r="G214" s="762"/>
      <c r="H214" s="762"/>
      <c r="I214" s="762"/>
      <c r="J214" s="762"/>
      <c r="K214" s="762"/>
      <c r="L214" s="762"/>
      <c r="M214" s="762"/>
      <c r="N214" s="762"/>
      <c r="O214" s="762"/>
      <c r="P214" s="762"/>
      <c r="Q214" s="762"/>
      <c r="R214" s="762"/>
      <c r="S214" s="762"/>
      <c r="T214" s="762"/>
      <c r="U214" s="762"/>
      <c r="V214" s="762"/>
      <c r="W214" s="762"/>
      <c r="X214" s="762"/>
      <c r="Y214" s="762"/>
      <c r="Z214" s="763"/>
    </row>
    <row r="215" spans="1:26" ht="26">
      <c r="A215" s="171"/>
      <c r="B215" s="130"/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spans="1:26" ht="29">
      <c r="A216" s="235" t="s">
        <v>82</v>
      </c>
      <c r="B216" s="443" t="s">
        <v>1</v>
      </c>
      <c r="C216" s="444" t="s">
        <v>2</v>
      </c>
    </row>
    <row r="217" spans="1:26">
      <c r="A217" s="172">
        <v>1</v>
      </c>
      <c r="B217" s="440">
        <v>2010</v>
      </c>
      <c r="C217" s="227">
        <v>4090</v>
      </c>
      <c r="E217" s="131" cm="1">
        <f t="array" ref="E217:F221">LINEST(C217:C221,A217:A221,TRUE,1)</f>
        <v>-151.39999999999998</v>
      </c>
      <c r="F217" s="134">
        <v>4202.8</v>
      </c>
      <c r="G217" s="129"/>
      <c r="H217" s="131" cm="1">
        <f t="array" ref="H217:I221">LINEST(C218:C222,A218:A222,1,1)</f>
        <v>-90.100000000000009</v>
      </c>
      <c r="I217" s="134">
        <v>3999.6</v>
      </c>
      <c r="J217" s="129"/>
      <c r="K217" s="131" cm="1">
        <f t="array" ref="K217:L221">LINEST(C219:C223,A219:A223,1,1)</f>
        <v>-8.7000000000000011</v>
      </c>
      <c r="L217" s="134">
        <v>3648.7</v>
      </c>
      <c r="M217" s="129"/>
      <c r="N217" s="131" cm="1">
        <f t="array" ref="N217:O221">LINEST(C220:C224,A220:A224,1,1)</f>
        <v>85.799999999999983</v>
      </c>
      <c r="O217" s="134">
        <v>3125</v>
      </c>
      <c r="P217" s="129"/>
      <c r="Q217" s="129"/>
      <c r="R217" s="129"/>
    </row>
    <row r="218" spans="1:26">
      <c r="A218" s="139">
        <v>2</v>
      </c>
      <c r="B218" s="436">
        <v>2011</v>
      </c>
      <c r="C218" s="222">
        <v>3870</v>
      </c>
      <c r="E218" s="132">
        <v>11.943757086165713</v>
      </c>
      <c r="F218" s="135">
        <v>39.612960841960174</v>
      </c>
      <c r="G218" s="129"/>
      <c r="H218" s="132">
        <v>24.627017683836591</v>
      </c>
      <c r="I218" s="135">
        <v>104.48358722785125</v>
      </c>
      <c r="J218" s="129"/>
      <c r="K218" s="132">
        <v>37.976264517019928</v>
      </c>
      <c r="L218" s="135">
        <v>197.33045887546101</v>
      </c>
      <c r="M218" s="129"/>
      <c r="N218" s="132">
        <v>34.544850074456349</v>
      </c>
      <c r="O218" s="135">
        <v>212.94875752944256</v>
      </c>
      <c r="P218" s="129"/>
      <c r="Q218" s="129"/>
      <c r="R218" s="129"/>
    </row>
    <row r="219" spans="1:26">
      <c r="A219" s="139">
        <v>3</v>
      </c>
      <c r="B219" s="436">
        <v>2012</v>
      </c>
      <c r="C219" s="222">
        <v>3725</v>
      </c>
      <c r="E219" s="132">
        <v>0.98167188581374154</v>
      </c>
      <c r="F219" s="135">
        <v>37.769476212059608</v>
      </c>
      <c r="G219" s="129"/>
      <c r="H219" s="132">
        <v>0.81690831075886439</v>
      </c>
      <c r="I219" s="135">
        <v>77.877467858168075</v>
      </c>
      <c r="J219" s="129"/>
      <c r="K219" s="132">
        <v>1.7193363438945307E-2</v>
      </c>
      <c r="L219" s="135">
        <v>120.09149289881722</v>
      </c>
      <c r="M219" s="129"/>
      <c r="N219" s="132">
        <v>0.67280710092051688</v>
      </c>
      <c r="O219" s="135">
        <v>109.24040766431928</v>
      </c>
      <c r="P219" s="129"/>
      <c r="Q219" s="129"/>
      <c r="R219" s="129"/>
    </row>
    <row r="220" spans="1:26">
      <c r="A220" s="139">
        <v>4</v>
      </c>
      <c r="B220" s="436">
        <v>2013</v>
      </c>
      <c r="C220" s="222">
        <v>3580</v>
      </c>
      <c r="E220" s="132">
        <v>160.68296102439442</v>
      </c>
      <c r="F220" s="135">
        <v>3</v>
      </c>
      <c r="G220" s="129"/>
      <c r="H220" s="132">
        <v>13.385233062375304</v>
      </c>
      <c r="I220" s="135">
        <v>3</v>
      </c>
      <c r="J220" s="129"/>
      <c r="K220" s="132">
        <v>5.2482439981602236E-2</v>
      </c>
      <c r="L220" s="135">
        <v>3</v>
      </c>
      <c r="M220" s="129"/>
      <c r="N220" s="132">
        <v>6.1689031407470321</v>
      </c>
      <c r="O220" s="135">
        <v>3</v>
      </c>
      <c r="P220" s="129"/>
      <c r="Q220" s="129"/>
      <c r="R220" s="129"/>
    </row>
    <row r="221" spans="1:26">
      <c r="A221" s="139">
        <v>5</v>
      </c>
      <c r="B221" s="436">
        <v>2014</v>
      </c>
      <c r="C221" s="222">
        <v>3478</v>
      </c>
      <c r="E221" s="133">
        <v>229219.6</v>
      </c>
      <c r="F221" s="136">
        <v>4279.6000000000104</v>
      </c>
      <c r="G221" s="129"/>
      <c r="H221" s="133">
        <v>81180.099999999991</v>
      </c>
      <c r="I221" s="136">
        <v>18194.7</v>
      </c>
      <c r="J221" s="129"/>
      <c r="K221" s="133">
        <v>756.90000000000146</v>
      </c>
      <c r="L221" s="136">
        <v>43265.9</v>
      </c>
      <c r="M221" s="129"/>
      <c r="N221" s="133">
        <v>73616.400000000009</v>
      </c>
      <c r="O221" s="136">
        <v>35800.399999999994</v>
      </c>
      <c r="P221" s="129"/>
      <c r="Q221" s="129"/>
      <c r="R221" s="129"/>
    </row>
    <row r="222" spans="1:26">
      <c r="A222" s="139">
        <v>6</v>
      </c>
      <c r="B222" s="436">
        <v>2015</v>
      </c>
      <c r="C222" s="222">
        <v>3543</v>
      </c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  <c r="Q222" s="129"/>
      <c r="R222" s="129"/>
    </row>
    <row r="223" spans="1:26">
      <c r="A223" s="139">
        <v>7</v>
      </c>
      <c r="B223" s="436">
        <v>2016</v>
      </c>
      <c r="C223" s="222">
        <v>3700</v>
      </c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29"/>
      <c r="Q223" s="129"/>
      <c r="R223" s="129"/>
    </row>
    <row r="224" spans="1:26">
      <c r="A224" s="139">
        <v>8</v>
      </c>
      <c r="B224" s="436">
        <v>2017</v>
      </c>
      <c r="C224" s="222">
        <v>3898</v>
      </c>
      <c r="E224" s="131" cm="1">
        <f t="array" ref="E224:F228">LINEST(C221:C225,A221:A225,1,1)</f>
        <v>201.09999999999997</v>
      </c>
      <c r="F224" s="134">
        <v>2377.3000000000002</v>
      </c>
      <c r="H224" s="131" cm="1">
        <f t="array" ref="H224:I228">LINEST(C222:C226,A222:A226,1,1)</f>
        <v>290.59999999999997</v>
      </c>
      <c r="I224" s="134">
        <v>1703.2000000000003</v>
      </c>
      <c r="J224" s="129"/>
      <c r="K224" s="131" cm="1">
        <f t="array" ref="K224:L228">LINEST(C223:C226,A223:A226,TRUE,1)</f>
        <v>338.69999999999993</v>
      </c>
      <c r="L224" s="134">
        <v>1270.3000000000006</v>
      </c>
      <c r="M224" s="129"/>
      <c r="N224" s="131" cm="1">
        <f t="array" ref="N224:O228">LINEST(C224:C228,A224:A228,1,1)</f>
        <v>481.39999999999992</v>
      </c>
      <c r="O224" s="134">
        <v>-23.199999999998909</v>
      </c>
      <c r="P224" s="129"/>
      <c r="Q224" s="129"/>
      <c r="R224" s="129"/>
    </row>
    <row r="225" spans="1:26">
      <c r="A225" s="139">
        <v>9</v>
      </c>
      <c r="B225" s="436">
        <v>2018</v>
      </c>
      <c r="C225" s="222">
        <v>4306</v>
      </c>
      <c r="E225" s="132">
        <v>36.439859128889807</v>
      </c>
      <c r="F225" s="135">
        <v>260.23264591515033</v>
      </c>
      <c r="H225" s="132">
        <v>34.026656217344268</v>
      </c>
      <c r="I225" s="135">
        <v>276.43386189104979</v>
      </c>
      <c r="J225" s="129"/>
      <c r="K225" s="132">
        <v>34.056276954476374</v>
      </c>
      <c r="L225" s="135">
        <v>291.97175377080549</v>
      </c>
      <c r="M225" s="129"/>
      <c r="N225" s="132">
        <v>32.192752807632544</v>
      </c>
      <c r="O225" s="135">
        <v>325.13086596015455</v>
      </c>
      <c r="P225" s="129"/>
      <c r="Q225" s="129"/>
      <c r="R225" s="129"/>
    </row>
    <row r="226" spans="1:26">
      <c r="A226" s="139">
        <v>10</v>
      </c>
      <c r="B226" s="436">
        <v>2019</v>
      </c>
      <c r="C226" s="222">
        <v>4693</v>
      </c>
      <c r="E226" s="132">
        <v>0.91032959067908015</v>
      </c>
      <c r="F226" s="135">
        <v>115.23295246297101</v>
      </c>
      <c r="H226" s="132">
        <v>0.96049398442707035</v>
      </c>
      <c r="I226" s="135">
        <v>107.60173480633726</v>
      </c>
      <c r="J226" s="129"/>
      <c r="K226" s="132">
        <v>0.98018017325238493</v>
      </c>
      <c r="L226" s="135">
        <v>76.152150330768677</v>
      </c>
      <c r="M226" s="129"/>
      <c r="N226" s="132">
        <v>0.98676153822178336</v>
      </c>
      <c r="O226" s="135">
        <v>101.80242302289928</v>
      </c>
      <c r="P226" s="129"/>
      <c r="Q226" s="129"/>
      <c r="R226" s="129"/>
    </row>
    <row r="227" spans="1:26">
      <c r="A227" s="139">
        <v>11</v>
      </c>
      <c r="B227" s="436">
        <v>2020</v>
      </c>
      <c r="C227" s="222">
        <v>5198</v>
      </c>
      <c r="E227" s="132">
        <v>30.455852635436869</v>
      </c>
      <c r="F227" s="135">
        <v>3</v>
      </c>
      <c r="H227" s="132">
        <v>72.937802293979459</v>
      </c>
      <c r="I227" s="135">
        <v>3</v>
      </c>
      <c r="J227" s="129"/>
      <c r="K227" s="132">
        <v>98.909055637464249</v>
      </c>
      <c r="L227" s="135">
        <v>2</v>
      </c>
      <c r="M227" s="129"/>
      <c r="N227" s="132">
        <v>223.61243052696582</v>
      </c>
      <c r="O227" s="135">
        <v>3</v>
      </c>
      <c r="P227" s="129"/>
      <c r="Q227" s="129"/>
      <c r="R227" s="129"/>
    </row>
    <row r="228" spans="1:26">
      <c r="A228" s="142">
        <v>12</v>
      </c>
      <c r="B228" s="437">
        <v>2021</v>
      </c>
      <c r="C228" s="223">
        <v>5859</v>
      </c>
      <c r="E228" s="133">
        <v>404412.1</v>
      </c>
      <c r="F228" s="136">
        <v>39835.900000000009</v>
      </c>
      <c r="H228" s="133">
        <v>844483.6</v>
      </c>
      <c r="I228" s="136">
        <v>34734.399999999994</v>
      </c>
      <c r="J228" s="129"/>
      <c r="K228" s="133">
        <v>573588.45000000007</v>
      </c>
      <c r="L228" s="136">
        <v>11598.299999999985</v>
      </c>
      <c r="M228" s="129"/>
      <c r="N228" s="133">
        <v>2317459.5999999996</v>
      </c>
      <c r="O228" s="136">
        <v>31091.199999999997</v>
      </c>
      <c r="P228" s="129"/>
      <c r="Q228" s="129"/>
      <c r="R228" s="129"/>
    </row>
    <row r="230" spans="1:26" ht="26">
      <c r="A230" s="761" t="s">
        <v>238</v>
      </c>
      <c r="B230" s="762"/>
      <c r="C230" s="762"/>
      <c r="D230" s="762"/>
      <c r="E230" s="762"/>
      <c r="F230" s="762"/>
      <c r="G230" s="762"/>
      <c r="H230" s="762"/>
      <c r="I230" s="762"/>
      <c r="J230" s="762"/>
      <c r="K230" s="762"/>
      <c r="L230" s="762"/>
      <c r="M230" s="762"/>
      <c r="N230" s="762"/>
      <c r="O230" s="762"/>
      <c r="P230" s="762"/>
      <c r="Q230" s="762"/>
      <c r="R230" s="762"/>
      <c r="S230" s="762"/>
      <c r="T230" s="762"/>
      <c r="U230" s="762"/>
      <c r="V230" s="762"/>
      <c r="W230" s="762"/>
      <c r="X230" s="762"/>
      <c r="Y230" s="762"/>
      <c r="Z230" s="763"/>
    </row>
    <row r="232" spans="1:26">
      <c r="B232" s="145" t="s">
        <v>82</v>
      </c>
      <c r="C232" s="146" t="s">
        <v>239</v>
      </c>
      <c r="D232" s="147" t="s">
        <v>240</v>
      </c>
      <c r="E232" s="147" t="s">
        <v>241</v>
      </c>
      <c r="F232" s="147" t="s">
        <v>242</v>
      </c>
      <c r="G232" s="147" t="s">
        <v>243</v>
      </c>
      <c r="H232" s="147" t="s">
        <v>244</v>
      </c>
      <c r="I232" s="147" t="s">
        <v>245</v>
      </c>
      <c r="J232" s="217" t="s">
        <v>246</v>
      </c>
      <c r="K232" s="226"/>
      <c r="L232" s="5"/>
      <c r="M232" s="5"/>
    </row>
    <row r="233" spans="1:26">
      <c r="B233" s="158">
        <f>A217</f>
        <v>1</v>
      </c>
      <c r="C233" s="131" cm="1">
        <f t="array" ref="C233:C237">TREND(C217:C221,A217:A221,B233:B237,1)</f>
        <v>4051.4</v>
      </c>
      <c r="D233" s="137"/>
      <c r="E233" s="137"/>
      <c r="F233" s="137"/>
      <c r="G233" s="137"/>
      <c r="H233" s="137"/>
      <c r="I233" s="137"/>
      <c r="J233" s="138"/>
      <c r="K233" s="148">
        <f>AVERAGE(C233:J233)</f>
        <v>4051.4</v>
      </c>
      <c r="L233" s="621"/>
    </row>
    <row r="234" spans="1:26">
      <c r="B234" s="159">
        <f t="shared" ref="B234:B244" si="18">A218</f>
        <v>2</v>
      </c>
      <c r="C234" s="132">
        <v>3900</v>
      </c>
      <c r="D234" s="140" cm="1">
        <f t="array" ref="D234:D238">TREND(C218:C222,A218:A222,B234:B238,1)</f>
        <v>3819.4</v>
      </c>
      <c r="E234" s="140"/>
      <c r="F234" s="140"/>
      <c r="G234" s="140"/>
      <c r="H234" s="140"/>
      <c r="I234" s="140"/>
      <c r="J234" s="141"/>
      <c r="K234" s="149">
        <f t="shared" ref="K234:K242" si="19">AVERAGE(C234:J234)</f>
        <v>3859.7</v>
      </c>
      <c r="L234" s="621"/>
    </row>
    <row r="235" spans="1:26">
      <c r="B235" s="159">
        <f t="shared" si="18"/>
        <v>3</v>
      </c>
      <c r="C235" s="132">
        <v>3748.6000000000004</v>
      </c>
      <c r="D235" s="140">
        <v>3729.2999999999997</v>
      </c>
      <c r="E235" s="140" cm="1">
        <f t="array" ref="E235:E239">TREND(C219:C223,A219:A223,B235:B239,FALSE)</f>
        <v>2000.9555555555557</v>
      </c>
      <c r="F235" s="140"/>
      <c r="G235" s="140"/>
      <c r="H235" s="140"/>
      <c r="I235" s="140"/>
      <c r="J235" s="141"/>
      <c r="K235" s="149">
        <f t="shared" si="19"/>
        <v>3159.6185185185186</v>
      </c>
      <c r="L235" s="621"/>
    </row>
    <row r="236" spans="1:26">
      <c r="B236" s="159">
        <f t="shared" si="18"/>
        <v>4</v>
      </c>
      <c r="C236" s="132">
        <v>3597.2000000000003</v>
      </c>
      <c r="D236" s="140">
        <v>3639.2</v>
      </c>
      <c r="E236" s="140">
        <v>2667.9407407407411</v>
      </c>
      <c r="F236" s="140" cm="1">
        <f t="array" ref="F236:F240">TREND(C220:C224,A220:A224,B236:B240,1)</f>
        <v>3468.2</v>
      </c>
      <c r="G236" s="140"/>
      <c r="H236" s="140"/>
      <c r="I236" s="140"/>
      <c r="J236" s="141"/>
      <c r="K236" s="149">
        <f t="shared" si="19"/>
        <v>3343.135185185185</v>
      </c>
      <c r="L236" s="621"/>
    </row>
    <row r="237" spans="1:26">
      <c r="B237" s="159">
        <f t="shared" si="18"/>
        <v>5</v>
      </c>
      <c r="C237" s="132">
        <v>3445.8</v>
      </c>
      <c r="D237" s="140">
        <v>3549.1</v>
      </c>
      <c r="E237" s="140">
        <v>3334.9259259259265</v>
      </c>
      <c r="F237" s="140">
        <v>3554</v>
      </c>
      <c r="G237" s="140" cm="1">
        <f t="array" ref="G237:G241">TREND(C221:C225,A221:A225,B237:B241,1)</f>
        <v>3382.8</v>
      </c>
      <c r="H237" s="140"/>
      <c r="I237" s="140"/>
      <c r="J237" s="141"/>
      <c r="K237" s="149">
        <f t="shared" si="19"/>
        <v>3453.3251851851855</v>
      </c>
      <c r="L237" s="621"/>
    </row>
    <row r="238" spans="1:26">
      <c r="B238" s="159">
        <f t="shared" si="18"/>
        <v>6</v>
      </c>
      <c r="C238" s="132"/>
      <c r="D238" s="140">
        <v>3459</v>
      </c>
      <c r="E238" s="140">
        <v>4001.9111111111115</v>
      </c>
      <c r="F238" s="140">
        <v>3639.8</v>
      </c>
      <c r="G238" s="140">
        <v>3583.9</v>
      </c>
      <c r="H238" s="140" cm="1">
        <f t="array" ref="H238:H242">TREND(C222:C226,A222:A226,B238:B242,1)</f>
        <v>3446.8</v>
      </c>
      <c r="I238" s="140"/>
      <c r="J238" s="141"/>
      <c r="K238" s="149">
        <f t="shared" si="19"/>
        <v>3626.2822222222226</v>
      </c>
      <c r="L238" s="621"/>
    </row>
    <row r="239" spans="1:26">
      <c r="B239" s="159">
        <f t="shared" si="18"/>
        <v>7</v>
      </c>
      <c r="C239" s="132"/>
      <c r="D239" s="140"/>
      <c r="E239" s="140">
        <v>4668.8962962962969</v>
      </c>
      <c r="F239" s="140">
        <v>3725.6</v>
      </c>
      <c r="G239" s="140">
        <v>3785</v>
      </c>
      <c r="H239" s="140">
        <v>3737.4</v>
      </c>
      <c r="I239" s="140" cm="1">
        <f t="array" ref="I239:I243">TREND(C223:C227,A223:A227,B239:B243,1)</f>
        <v>3600.8</v>
      </c>
      <c r="J239" s="141"/>
      <c r="K239" s="149">
        <f t="shared" si="19"/>
        <v>3903.5392592592593</v>
      </c>
      <c r="L239" s="621"/>
    </row>
    <row r="240" spans="1:26">
      <c r="B240" s="159">
        <f t="shared" si="18"/>
        <v>8</v>
      </c>
      <c r="C240" s="132"/>
      <c r="D240" s="140"/>
      <c r="E240" s="140"/>
      <c r="F240" s="140">
        <v>3811.3999999999996</v>
      </c>
      <c r="G240" s="140">
        <v>3986.1</v>
      </c>
      <c r="H240" s="140">
        <v>4028</v>
      </c>
      <c r="I240" s="140">
        <v>3979.9</v>
      </c>
      <c r="J240" s="141" cm="1">
        <f t="array" ref="J240:J244">TREND(C224:C228,A224:A228,B240:B244,1)</f>
        <v>3828.0000000000005</v>
      </c>
      <c r="K240" s="149">
        <f t="shared" si="19"/>
        <v>3926.6800000000003</v>
      </c>
      <c r="L240" s="621"/>
    </row>
    <row r="241" spans="1:26">
      <c r="B241" s="159">
        <f t="shared" si="18"/>
        <v>9</v>
      </c>
      <c r="C241" s="132"/>
      <c r="D241" s="140"/>
      <c r="E241" s="140"/>
      <c r="F241" s="140"/>
      <c r="G241" s="140">
        <v>4187.2</v>
      </c>
      <c r="H241" s="140">
        <v>4318.6000000000004</v>
      </c>
      <c r="I241" s="140">
        <v>4359</v>
      </c>
      <c r="J241" s="141">
        <v>4309.4000000000005</v>
      </c>
      <c r="K241" s="149">
        <f t="shared" si="19"/>
        <v>4293.55</v>
      </c>
      <c r="L241" s="621"/>
    </row>
    <row r="242" spans="1:26">
      <c r="B242" s="159">
        <f t="shared" si="18"/>
        <v>10</v>
      </c>
      <c r="C242" s="132"/>
      <c r="D242" s="140"/>
      <c r="E242" s="140"/>
      <c r="F242" s="140"/>
      <c r="G242" s="140"/>
      <c r="H242" s="140">
        <v>4609.2</v>
      </c>
      <c r="I242" s="140">
        <v>4738.1000000000004</v>
      </c>
      <c r="J242" s="141">
        <v>4790.8</v>
      </c>
      <c r="K242" s="149">
        <f t="shared" si="19"/>
        <v>4712.7</v>
      </c>
      <c r="L242" s="621"/>
    </row>
    <row r="243" spans="1:26">
      <c r="B243" s="159">
        <f t="shared" si="18"/>
        <v>11</v>
      </c>
      <c r="C243" s="132"/>
      <c r="D243" s="140"/>
      <c r="E243" s="140"/>
      <c r="F243" s="140"/>
      <c r="G243" s="140"/>
      <c r="H243" s="140"/>
      <c r="I243" s="140">
        <v>5117.2</v>
      </c>
      <c r="J243" s="141">
        <v>5272.2</v>
      </c>
      <c r="K243" s="149">
        <f>AVERAGE(C243:J243)</f>
        <v>5194.7</v>
      </c>
      <c r="L243" s="621"/>
      <c r="M243" s="1"/>
    </row>
    <row r="244" spans="1:26">
      <c r="B244" s="160">
        <f t="shared" si="18"/>
        <v>12</v>
      </c>
      <c r="C244" s="133"/>
      <c r="D244" s="143"/>
      <c r="E244" s="143"/>
      <c r="F244" s="143"/>
      <c r="G244" s="143"/>
      <c r="H244" s="143"/>
      <c r="I244" s="143"/>
      <c r="J244" s="144">
        <v>5753.6</v>
      </c>
      <c r="K244" s="150">
        <f>AVERAGE(C244:J244)</f>
        <v>5753.6</v>
      </c>
      <c r="L244" s="621"/>
    </row>
    <row r="245" spans="1:26">
      <c r="L245" s="129"/>
      <c r="M245" s="5"/>
    </row>
    <row r="246" spans="1:26" ht="26">
      <c r="A246" s="761" t="s">
        <v>247</v>
      </c>
      <c r="B246" s="762"/>
      <c r="C246" s="762"/>
      <c r="D246" s="762"/>
      <c r="E246" s="778"/>
      <c r="F246" s="778"/>
      <c r="G246" s="778"/>
      <c r="H246" s="778"/>
      <c r="I246" s="778"/>
      <c r="J246" s="778"/>
      <c r="K246" s="778"/>
      <c r="L246" s="778"/>
      <c r="M246" s="762"/>
      <c r="N246" s="762"/>
      <c r="O246" s="762"/>
      <c r="P246" s="762"/>
      <c r="Q246" s="762"/>
      <c r="R246" s="762"/>
      <c r="S246" s="762"/>
      <c r="T246" s="762"/>
      <c r="U246" s="762"/>
      <c r="V246" s="762"/>
      <c r="W246" s="762"/>
      <c r="X246" s="762"/>
      <c r="Y246" s="762"/>
      <c r="Z246" s="763"/>
    </row>
    <row r="247" spans="1:26" ht="26">
      <c r="A247" s="130"/>
      <c r="B247" s="130"/>
      <c r="C247" s="130"/>
      <c r="D247" s="130"/>
      <c r="E247" s="173"/>
      <c r="F247" s="173"/>
      <c r="G247" s="173"/>
      <c r="H247" s="173"/>
      <c r="I247" s="173"/>
      <c r="J247" s="173"/>
      <c r="K247" s="173"/>
      <c r="L247" s="173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spans="1:26">
      <c r="E248" s="769"/>
      <c r="F248" s="770"/>
      <c r="G248" s="770"/>
      <c r="H248" s="770"/>
      <c r="I248" s="770"/>
      <c r="J248" s="770"/>
      <c r="K248" s="770"/>
      <c r="L248" s="771"/>
    </row>
    <row r="249" spans="1:26">
      <c r="B249" s="145">
        <f>CORREL(C217:C228,K233:K244)</f>
        <v>0.96900053090498806</v>
      </c>
      <c r="E249" s="772"/>
      <c r="F249" s="773"/>
      <c r="G249" s="773"/>
      <c r="H249" s="773"/>
      <c r="I249" s="773"/>
      <c r="J249" s="773"/>
      <c r="K249" s="773"/>
      <c r="L249" s="774"/>
    </row>
    <row r="250" spans="1:26" ht="29">
      <c r="B250" s="161" t="s">
        <v>248</v>
      </c>
      <c r="E250" s="772"/>
      <c r="F250" s="773"/>
      <c r="G250" s="773"/>
      <c r="H250" s="773"/>
      <c r="I250" s="773"/>
      <c r="J250" s="773"/>
      <c r="K250" s="773"/>
      <c r="L250" s="774"/>
    </row>
    <row r="251" spans="1:26">
      <c r="E251" s="772"/>
      <c r="F251" s="773"/>
      <c r="G251" s="773"/>
      <c r="H251" s="773"/>
      <c r="I251" s="773"/>
      <c r="J251" s="773"/>
      <c r="K251" s="773"/>
      <c r="L251" s="774"/>
    </row>
    <row r="252" spans="1:26">
      <c r="E252" s="772"/>
      <c r="F252" s="773"/>
      <c r="G252" s="773"/>
      <c r="H252" s="773"/>
      <c r="I252" s="773"/>
      <c r="J252" s="773"/>
      <c r="K252" s="773"/>
      <c r="L252" s="774"/>
    </row>
    <row r="253" spans="1:26">
      <c r="E253" s="772"/>
      <c r="F253" s="773"/>
      <c r="G253" s="773"/>
      <c r="H253" s="773"/>
      <c r="I253" s="773"/>
      <c r="J253" s="773"/>
      <c r="K253" s="773"/>
      <c r="L253" s="774"/>
    </row>
    <row r="254" spans="1:26">
      <c r="E254" s="772"/>
      <c r="F254" s="773"/>
      <c r="G254" s="773"/>
      <c r="H254" s="773"/>
      <c r="I254" s="773"/>
      <c r="J254" s="773"/>
      <c r="K254" s="773"/>
      <c r="L254" s="774"/>
    </row>
    <row r="255" spans="1:26">
      <c r="E255" s="772"/>
      <c r="F255" s="773"/>
      <c r="G255" s="773"/>
      <c r="H255" s="773"/>
      <c r="I255" s="773"/>
      <c r="J255" s="773"/>
      <c r="K255" s="773"/>
      <c r="L255" s="774"/>
    </row>
    <row r="256" spans="1:26">
      <c r="E256" s="772"/>
      <c r="F256" s="773"/>
      <c r="G256" s="773"/>
      <c r="H256" s="773"/>
      <c r="I256" s="773"/>
      <c r="J256" s="773"/>
      <c r="K256" s="773"/>
      <c r="L256" s="774"/>
    </row>
    <row r="257" spans="1:26">
      <c r="E257" s="772"/>
      <c r="F257" s="773"/>
      <c r="G257" s="773"/>
      <c r="H257" s="773"/>
      <c r="I257" s="773"/>
      <c r="J257" s="773"/>
      <c r="K257" s="773"/>
      <c r="L257" s="774"/>
    </row>
    <row r="258" spans="1:26">
      <c r="E258" s="772"/>
      <c r="F258" s="773"/>
      <c r="G258" s="773"/>
      <c r="H258" s="773"/>
      <c r="I258" s="773"/>
      <c r="J258" s="773"/>
      <c r="K258" s="773"/>
      <c r="L258" s="774"/>
    </row>
    <row r="259" spans="1:26">
      <c r="E259" s="772"/>
      <c r="F259" s="773"/>
      <c r="G259" s="773"/>
      <c r="H259" s="773"/>
      <c r="I259" s="773"/>
      <c r="J259" s="773"/>
      <c r="K259" s="773"/>
      <c r="L259" s="774"/>
    </row>
    <row r="260" spans="1:26">
      <c r="E260" s="772"/>
      <c r="F260" s="773"/>
      <c r="G260" s="773"/>
      <c r="H260" s="773"/>
      <c r="I260" s="773"/>
      <c r="J260" s="773"/>
      <c r="K260" s="773"/>
      <c r="L260" s="774"/>
    </row>
    <row r="261" spans="1:26">
      <c r="E261" s="772"/>
      <c r="F261" s="773"/>
      <c r="G261" s="773"/>
      <c r="H261" s="773"/>
      <c r="I261" s="773"/>
      <c r="J261" s="773"/>
      <c r="K261" s="773"/>
      <c r="L261" s="774"/>
    </row>
    <row r="262" spans="1:26">
      <c r="E262" s="775"/>
      <c r="F262" s="776"/>
      <c r="G262" s="776"/>
      <c r="H262" s="776"/>
      <c r="I262" s="776"/>
      <c r="J262" s="776"/>
      <c r="K262" s="776"/>
      <c r="L262" s="777"/>
    </row>
    <row r="263" spans="1:26">
      <c r="E263" s="129"/>
      <c r="F263" s="129"/>
      <c r="G263" s="129"/>
      <c r="H263" s="129"/>
      <c r="I263" s="129"/>
      <c r="J263" s="129"/>
      <c r="K263" s="129"/>
      <c r="L263" s="129"/>
    </row>
    <row r="264" spans="1:26" ht="26">
      <c r="A264" s="761" t="s">
        <v>249</v>
      </c>
      <c r="B264" s="762"/>
      <c r="C264" s="762"/>
      <c r="D264" s="762"/>
      <c r="E264" s="762"/>
      <c r="F264" s="762"/>
      <c r="G264" s="762"/>
      <c r="H264" s="762"/>
      <c r="I264" s="762"/>
      <c r="J264" s="762"/>
      <c r="K264" s="762"/>
      <c r="L264" s="762"/>
      <c r="M264" s="762"/>
      <c r="N264" s="762"/>
      <c r="O264" s="762"/>
      <c r="P264" s="762"/>
      <c r="Q264" s="762"/>
      <c r="R264" s="762"/>
      <c r="S264" s="762"/>
      <c r="T264" s="762"/>
      <c r="U264" s="762"/>
      <c r="V264" s="762"/>
      <c r="W264" s="762"/>
      <c r="X264" s="762"/>
      <c r="Y264" s="762"/>
      <c r="Z264" s="763"/>
    </row>
    <row r="266" spans="1:26" ht="17">
      <c r="B266" s="152" t="s">
        <v>82</v>
      </c>
      <c r="C266" s="153"/>
      <c r="D266" s="155" t="s">
        <v>250</v>
      </c>
      <c r="E266" s="155" t="s">
        <v>251</v>
      </c>
      <c r="F266" s="156" t="s">
        <v>252</v>
      </c>
      <c r="H266" s="148" t="s">
        <v>253</v>
      </c>
    </row>
    <row r="267" spans="1:26">
      <c r="B267" s="158">
        <f>B233</f>
        <v>1</v>
      </c>
      <c r="C267" s="131">
        <f>K233</f>
        <v>4051.4</v>
      </c>
      <c r="D267" s="137"/>
      <c r="E267" s="137"/>
      <c r="F267" s="134"/>
      <c r="H267" s="151">
        <f>1/11</f>
        <v>9.0909090909090912E-2</v>
      </c>
    </row>
    <row r="268" spans="1:26">
      <c r="B268" s="159">
        <f t="shared" ref="B268:B278" si="20">B234</f>
        <v>2</v>
      </c>
      <c r="C268" s="132">
        <f t="shared" ref="C268:C278" si="21">K234</f>
        <v>3859.7</v>
      </c>
      <c r="D268" s="140">
        <f>C268-C267</f>
        <v>-191.70000000000027</v>
      </c>
      <c r="E268" s="140">
        <f>H267*1/(11)</f>
        <v>8.2644628099173556E-3</v>
      </c>
      <c r="F268" s="135">
        <f>D268*E268</f>
        <v>-1.5842975206611594</v>
      </c>
    </row>
    <row r="269" spans="1:26">
      <c r="B269" s="159">
        <f t="shared" si="20"/>
        <v>3</v>
      </c>
      <c r="C269" s="132">
        <f t="shared" si="21"/>
        <v>3159.6185185185186</v>
      </c>
      <c r="D269" s="140">
        <f t="shared" ref="D269:D278" si="22">C269-C268</f>
        <v>-700.08148148148121</v>
      </c>
      <c r="E269" s="140">
        <f>H267*(1/(11)+1/(10))</f>
        <v>1.7355371900826446E-2</v>
      </c>
      <c r="F269" s="135">
        <f t="shared" ref="F269:F278" si="23">D269*E269</f>
        <v>-12.150174471992649</v>
      </c>
    </row>
    <row r="270" spans="1:26">
      <c r="B270" s="159">
        <f t="shared" si="20"/>
        <v>4</v>
      </c>
      <c r="C270" s="132">
        <f t="shared" si="21"/>
        <v>3343.135185185185</v>
      </c>
      <c r="D270" s="140">
        <f t="shared" si="22"/>
        <v>183.51666666666642</v>
      </c>
      <c r="E270" s="140">
        <f>H267*(1/(11)+1/(10)+1/(9))</f>
        <v>2.745638200183655E-2</v>
      </c>
      <c r="F270" s="135">
        <f t="shared" si="23"/>
        <v>5.0387037037036979</v>
      </c>
    </row>
    <row r="271" spans="1:26">
      <c r="B271" s="159">
        <f t="shared" si="20"/>
        <v>5</v>
      </c>
      <c r="C271" s="132">
        <f t="shared" si="21"/>
        <v>3453.3251851851855</v>
      </c>
      <c r="D271" s="140">
        <f t="shared" si="22"/>
        <v>110.19000000000051</v>
      </c>
      <c r="E271" s="140">
        <f>H267*(1/(11)+1/(10)+1/(9)+1/(8))</f>
        <v>3.8820018365472914E-2</v>
      </c>
      <c r="F271" s="135">
        <f t="shared" si="23"/>
        <v>4.2775778236914803</v>
      </c>
    </row>
    <row r="272" spans="1:26">
      <c r="B272" s="159">
        <f t="shared" si="20"/>
        <v>6</v>
      </c>
      <c r="C272" s="132">
        <f t="shared" si="21"/>
        <v>3626.2822222222226</v>
      </c>
      <c r="D272" s="140">
        <f t="shared" si="22"/>
        <v>172.95703703703703</v>
      </c>
      <c r="E272" s="140">
        <f>H267*(1/(11)+1/(10)+1/(9)+1/(8)+1/(7))</f>
        <v>5.1807031352485898E-2</v>
      </c>
      <c r="F272" s="135">
        <f t="shared" si="23"/>
        <v>8.9603906404108411</v>
      </c>
    </row>
    <row r="273" spans="1:26">
      <c r="B273" s="159">
        <f t="shared" si="20"/>
        <v>7</v>
      </c>
      <c r="C273" s="132">
        <f t="shared" si="21"/>
        <v>3903.5392592592593</v>
      </c>
      <c r="D273" s="140">
        <f t="shared" si="22"/>
        <v>277.25703703703675</v>
      </c>
      <c r="E273" s="140">
        <f>H267*(1/(11)+1/(10)+1/(9)+1/(8)+1/(7)+1/(6))</f>
        <v>6.6958546504001043E-2</v>
      </c>
      <c r="F273" s="135">
        <f t="shared" si="23"/>
        <v>18.564728208005963</v>
      </c>
    </row>
    <row r="274" spans="1:26">
      <c r="B274" s="159">
        <f t="shared" si="20"/>
        <v>8</v>
      </c>
      <c r="C274" s="132">
        <f t="shared" si="21"/>
        <v>3926.6800000000003</v>
      </c>
      <c r="D274" s="140">
        <f t="shared" si="22"/>
        <v>23.140740740740966</v>
      </c>
      <c r="E274" s="140">
        <f>H267*(1/(11)+1/(10)+1/(9)+1/(8)+1/(7)+1/(6)+1/(5))</f>
        <v>8.5140364685819231E-2</v>
      </c>
      <c r="F274" s="135">
        <f t="shared" si="23"/>
        <v>1.9702111057666805</v>
      </c>
    </row>
    <row r="275" spans="1:26">
      <c r="B275" s="159">
        <f t="shared" si="20"/>
        <v>9</v>
      </c>
      <c r="C275" s="132">
        <f t="shared" si="21"/>
        <v>4293.55</v>
      </c>
      <c r="D275" s="140">
        <f t="shared" si="22"/>
        <v>366.86999999999989</v>
      </c>
      <c r="E275" s="140">
        <f>H267*(1/(11)+1/(10)+1/(9)+1/(8)+1/(7)+1/(6)+1/(5)+1/(4))</f>
        <v>0.10786763741309197</v>
      </c>
      <c r="F275" s="135">
        <f t="shared" si="23"/>
        <v>39.573400137741039</v>
      </c>
    </row>
    <row r="276" spans="1:26">
      <c r="B276" s="159">
        <f t="shared" si="20"/>
        <v>10</v>
      </c>
      <c r="C276" s="132">
        <f t="shared" si="21"/>
        <v>4712.7</v>
      </c>
      <c r="D276" s="140">
        <f t="shared" si="22"/>
        <v>419.14999999999964</v>
      </c>
      <c r="E276" s="140">
        <f>H267*(1/(11)+1/(10)+1/(9)+1/(8)+1/(7)+1/(6)+1/(5)+1/(4)+1/(3))</f>
        <v>0.13817066771612227</v>
      </c>
      <c r="F276" s="135">
        <f t="shared" si="23"/>
        <v>57.914235373212598</v>
      </c>
    </row>
    <row r="277" spans="1:26">
      <c r="B277" s="159">
        <f t="shared" si="20"/>
        <v>11</v>
      </c>
      <c r="C277" s="132">
        <f t="shared" si="21"/>
        <v>5194.7</v>
      </c>
      <c r="D277" s="140">
        <f t="shared" si="22"/>
        <v>482</v>
      </c>
      <c r="E277" s="140">
        <f>H267*(1/(11)+1/(10)+1/(9)+1/(8)+1/(7)+1/(6)+1/(5)+1/(4)+1/(3)+1/(2))</f>
        <v>0.18362521317066768</v>
      </c>
      <c r="F277" s="135">
        <f t="shared" si="23"/>
        <v>88.507352748261823</v>
      </c>
    </row>
    <row r="278" spans="1:26">
      <c r="B278" s="160">
        <f t="shared" si="20"/>
        <v>12</v>
      </c>
      <c r="C278" s="133">
        <f t="shared" si="21"/>
        <v>5753.6</v>
      </c>
      <c r="D278" s="143">
        <f t="shared" si="22"/>
        <v>558.90000000000055</v>
      </c>
      <c r="E278" s="143">
        <f>H267*(1/(11)+1/(10)+1/(9)+1/(8)+1/(7)+1/(6)+1/(5)+1/(4)+1/(3)+1/(2)+1/(1))</f>
        <v>0.2745343040797586</v>
      </c>
      <c r="F278" s="136">
        <f t="shared" si="23"/>
        <v>153.43722255017724</v>
      </c>
    </row>
    <row r="279" spans="1:26" ht="17">
      <c r="B279" s="5"/>
      <c r="C279" s="129"/>
      <c r="D279" s="129"/>
      <c r="E279" s="129"/>
      <c r="F279" s="154">
        <f>SUM(F268:F278)</f>
        <v>364.50935029831754</v>
      </c>
      <c r="G279" s="165" t="s">
        <v>254</v>
      </c>
    </row>
    <row r="281" spans="1:26" ht="26">
      <c r="A281" s="761" t="s">
        <v>255</v>
      </c>
      <c r="B281" s="762"/>
      <c r="C281" s="762"/>
      <c r="D281" s="762"/>
      <c r="E281" s="762"/>
      <c r="F281" s="762"/>
      <c r="G281" s="762"/>
      <c r="H281" s="762"/>
      <c r="I281" s="762"/>
      <c r="J281" s="762"/>
      <c r="K281" s="762"/>
      <c r="L281" s="762"/>
      <c r="M281" s="762"/>
      <c r="N281" s="762"/>
      <c r="O281" s="762"/>
      <c r="P281" s="762"/>
      <c r="Q281" s="762"/>
      <c r="R281" s="762"/>
      <c r="S281" s="762"/>
      <c r="T281" s="762"/>
      <c r="U281" s="762"/>
      <c r="V281" s="762"/>
      <c r="W281" s="762"/>
      <c r="X281" s="762"/>
      <c r="Y281" s="762"/>
      <c r="Z281" s="763"/>
    </row>
    <row r="283" spans="1:26">
      <c r="A283" s="168" t="s">
        <v>85</v>
      </c>
      <c r="B283" s="169">
        <f>C278+F279</f>
        <v>6118.1093502983176</v>
      </c>
      <c r="D283" s="759" t="s">
        <v>20</v>
      </c>
      <c r="E283" s="760"/>
      <c r="F283" s="182">
        <v>6741</v>
      </c>
      <c r="H283" s="759" t="s">
        <v>260</v>
      </c>
      <c r="I283" s="760"/>
      <c r="J283" s="445">
        <f>F283-B283</f>
        <v>622.89064970168238</v>
      </c>
      <c r="L283" s="759" t="s">
        <v>257</v>
      </c>
      <c r="M283" s="760"/>
      <c r="N283" s="446">
        <f>J283/F283</f>
        <v>9.2403300652971726E-2</v>
      </c>
      <c r="P283" s="168" t="s">
        <v>258</v>
      </c>
      <c r="Q283" s="623">
        <f>J283/B283</f>
        <v>0.10181097035660377</v>
      </c>
    </row>
  </sheetData>
  <mergeCells count="36">
    <mergeCell ref="A72:Z72"/>
    <mergeCell ref="D69:E69"/>
    <mergeCell ref="H69:I69"/>
    <mergeCell ref="L69:M69"/>
    <mergeCell ref="D140:E140"/>
    <mergeCell ref="H140:I140"/>
    <mergeCell ref="L140:M140"/>
    <mergeCell ref="E106:L119"/>
    <mergeCell ref="A88:Z88"/>
    <mergeCell ref="A104:Z104"/>
    <mergeCell ref="A121:Z121"/>
    <mergeCell ref="A138:Z138"/>
    <mergeCell ref="A1:Z1"/>
    <mergeCell ref="A17:Z17"/>
    <mergeCell ref="A33:Z33"/>
    <mergeCell ref="A50:Z50"/>
    <mergeCell ref="A67:Z67"/>
    <mergeCell ref="E35:L48"/>
    <mergeCell ref="E248:L262"/>
    <mergeCell ref="A175:Z175"/>
    <mergeCell ref="A192:Z192"/>
    <mergeCell ref="A209:Z209"/>
    <mergeCell ref="A214:Z214"/>
    <mergeCell ref="A230:Z230"/>
    <mergeCell ref="A246:Z246"/>
    <mergeCell ref="A143:Z143"/>
    <mergeCell ref="A159:Z159"/>
    <mergeCell ref="D211:E211"/>
    <mergeCell ref="H211:I211"/>
    <mergeCell ref="L211:M211"/>
    <mergeCell ref="E177:L190"/>
    <mergeCell ref="D283:E283"/>
    <mergeCell ref="H283:I283"/>
    <mergeCell ref="L283:M283"/>
    <mergeCell ref="A264:Z264"/>
    <mergeCell ref="A281:Z28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CC93-4CCF-4EFA-9FB0-EF505B69ED32}">
  <dimension ref="B2:J43"/>
  <sheetViews>
    <sheetView workbookViewId="0">
      <selection activeCell="G28" sqref="G28"/>
    </sheetView>
  </sheetViews>
  <sheetFormatPr defaultRowHeight="14.5"/>
  <cols>
    <col min="2" max="2" width="25.1796875" bestFit="1" customWidth="1"/>
    <col min="3" max="3" width="12.54296875" bestFit="1" customWidth="1"/>
    <col min="4" max="5" width="11.54296875" bestFit="1" customWidth="1"/>
    <col min="6" max="6" width="10.54296875" bestFit="1" customWidth="1"/>
    <col min="9" max="9" width="26" bestFit="1" customWidth="1"/>
    <col min="10" max="10" width="11.54296875" customWidth="1"/>
  </cols>
  <sheetData>
    <row r="2" spans="2:10">
      <c r="B2" s="86"/>
      <c r="C2" s="86"/>
      <c r="D2" s="86"/>
      <c r="E2" s="86"/>
      <c r="F2" s="86"/>
    </row>
    <row r="3" spans="2:10">
      <c r="B3" s="510"/>
      <c r="C3" s="514" t="s">
        <v>131</v>
      </c>
      <c r="D3" s="514" t="s">
        <v>139</v>
      </c>
      <c r="E3" s="514" t="s">
        <v>140</v>
      </c>
      <c r="F3" s="514" t="s">
        <v>141</v>
      </c>
    </row>
    <row r="4" spans="2:10">
      <c r="B4" s="515" t="s">
        <v>20</v>
      </c>
      <c r="C4" s="518">
        <v>8254</v>
      </c>
      <c r="D4" s="519">
        <v>12323</v>
      </c>
      <c r="E4" s="519">
        <v>9929</v>
      </c>
      <c r="F4" s="519">
        <v>6741</v>
      </c>
      <c r="I4" s="522" t="s">
        <v>263</v>
      </c>
      <c r="J4" s="522" t="s">
        <v>131</v>
      </c>
    </row>
    <row r="5" spans="2:10">
      <c r="B5" s="515" t="s">
        <v>264</v>
      </c>
      <c r="C5" s="520">
        <v>8306</v>
      </c>
      <c r="D5" s="520">
        <v>12253</v>
      </c>
      <c r="E5" s="520">
        <v>10291</v>
      </c>
      <c r="F5" s="521">
        <v>6520</v>
      </c>
      <c r="I5" s="525" t="s">
        <v>264</v>
      </c>
      <c r="J5" s="523">
        <v>52</v>
      </c>
    </row>
    <row r="6" spans="2:10">
      <c r="B6" s="517" t="s">
        <v>265</v>
      </c>
      <c r="C6" s="513">
        <f>ABS(C4-C5)</f>
        <v>52</v>
      </c>
      <c r="D6" s="513">
        <f t="shared" ref="D6:F6" si="0">ABS(D4-D5)</f>
        <v>70</v>
      </c>
      <c r="E6" s="513">
        <f t="shared" si="0"/>
        <v>362</v>
      </c>
      <c r="F6" s="513">
        <f t="shared" si="0"/>
        <v>221</v>
      </c>
      <c r="G6" s="619"/>
      <c r="I6" s="525" t="s">
        <v>266</v>
      </c>
      <c r="J6" s="523">
        <v>135.13790061746477</v>
      </c>
    </row>
    <row r="7" spans="2:10">
      <c r="B7" s="515" t="s">
        <v>266</v>
      </c>
      <c r="C7" s="520">
        <v>8389.1379006174648</v>
      </c>
      <c r="D7" s="520">
        <v>12392.680436319564</v>
      </c>
      <c r="E7" s="520">
        <v>10397.299845256517</v>
      </c>
      <c r="F7" s="521">
        <v>6604.0555983070408</v>
      </c>
      <c r="G7" s="619"/>
      <c r="I7" s="525" t="s">
        <v>267</v>
      </c>
      <c r="J7" s="523">
        <v>183</v>
      </c>
    </row>
    <row r="8" spans="2:10">
      <c r="B8" s="517" t="s">
        <v>265</v>
      </c>
      <c r="C8" s="512">
        <f>ABS(C4-C7)</f>
        <v>135.13790061746477</v>
      </c>
      <c r="D8" s="512">
        <f t="shared" ref="D8:F8" si="1">ABS(D4-D7)</f>
        <v>69.680436319564251</v>
      </c>
      <c r="E8" s="512">
        <f t="shared" si="1"/>
        <v>468.29984525651707</v>
      </c>
      <c r="F8" s="512">
        <f t="shared" si="1"/>
        <v>136.94440169295922</v>
      </c>
      <c r="G8" s="619"/>
      <c r="I8" s="525" t="s">
        <v>268</v>
      </c>
      <c r="J8" s="523">
        <v>471.73311895555617</v>
      </c>
    </row>
    <row r="9" spans="2:10">
      <c r="B9" s="515" t="s">
        <v>268</v>
      </c>
      <c r="C9" s="520">
        <v>7782.2668810444438</v>
      </c>
      <c r="D9" s="520">
        <v>11298.332514134014</v>
      </c>
      <c r="E9" s="520">
        <v>10429.809871159168</v>
      </c>
      <c r="F9" s="521">
        <v>5499.3009918697844</v>
      </c>
      <c r="G9" s="619"/>
      <c r="I9" s="526" t="s">
        <v>269</v>
      </c>
      <c r="J9" s="523">
        <v>488.59001434377569</v>
      </c>
    </row>
    <row r="10" spans="2:10">
      <c r="B10" s="517" t="s">
        <v>265</v>
      </c>
      <c r="C10" s="512">
        <f>ABS(C4-C9)</f>
        <v>471.73311895555617</v>
      </c>
      <c r="D10" s="512">
        <f t="shared" ref="D10:F10" si="2">ABS(D4-D9)</f>
        <v>1024.6674858659862</v>
      </c>
      <c r="E10" s="512">
        <f t="shared" si="2"/>
        <v>500.80987115916832</v>
      </c>
      <c r="F10" s="512">
        <f t="shared" si="2"/>
        <v>1241.6990081302156</v>
      </c>
      <c r="G10" s="619"/>
    </row>
    <row r="11" spans="2:10">
      <c r="B11" s="515" t="s">
        <v>267</v>
      </c>
      <c r="C11" s="520">
        <v>8437</v>
      </c>
      <c r="D11" s="520">
        <v>11981</v>
      </c>
      <c r="E11" s="520">
        <v>9862</v>
      </c>
      <c r="F11" s="521">
        <v>6520</v>
      </c>
      <c r="G11" s="619"/>
      <c r="I11" s="524" t="s">
        <v>263</v>
      </c>
      <c r="J11" s="524" t="s">
        <v>139</v>
      </c>
    </row>
    <row r="12" spans="2:10">
      <c r="B12" s="517" t="s">
        <v>265</v>
      </c>
      <c r="C12" s="512">
        <f>ABS(C4-C11)</f>
        <v>183</v>
      </c>
      <c r="D12" s="512">
        <f t="shared" ref="D12:F12" si="3">ABS(D4-D11)</f>
        <v>342</v>
      </c>
      <c r="E12" s="512">
        <f t="shared" si="3"/>
        <v>67</v>
      </c>
      <c r="F12" s="512">
        <f t="shared" si="3"/>
        <v>221</v>
      </c>
      <c r="G12" s="619"/>
      <c r="I12" s="525" t="s">
        <v>266</v>
      </c>
      <c r="J12" s="523">
        <v>69.680436319564251</v>
      </c>
    </row>
    <row r="13" spans="2:10">
      <c r="B13" s="516" t="s">
        <v>269</v>
      </c>
      <c r="C13" s="520">
        <v>7765.4099856562198</v>
      </c>
      <c r="D13" s="520">
        <v>11309.631673162601</v>
      </c>
      <c r="E13" s="520">
        <v>9790.378552150898</v>
      </c>
      <c r="F13" s="521">
        <v>6118.1093502983204</v>
      </c>
      <c r="G13" s="619"/>
      <c r="I13" s="525" t="s">
        <v>264</v>
      </c>
      <c r="J13" s="523">
        <v>70</v>
      </c>
    </row>
    <row r="14" spans="2:10">
      <c r="B14" s="517" t="s">
        <v>265</v>
      </c>
      <c r="C14" s="512">
        <f>ABS(C4-C13)</f>
        <v>488.59001434378024</v>
      </c>
      <c r="D14" s="512">
        <f t="shared" ref="D14:F14" si="4">ABS(D4-D13)</f>
        <v>1013.3683268373989</v>
      </c>
      <c r="E14" s="512">
        <f t="shared" si="4"/>
        <v>138.62144784910197</v>
      </c>
      <c r="F14" s="512">
        <f t="shared" si="4"/>
        <v>622.89064970167965</v>
      </c>
      <c r="G14" s="619"/>
      <c r="I14" s="525" t="s">
        <v>267</v>
      </c>
      <c r="J14" s="523">
        <v>342</v>
      </c>
    </row>
    <row r="15" spans="2:10">
      <c r="G15" s="620"/>
      <c r="I15" s="526" t="s">
        <v>269</v>
      </c>
      <c r="J15" s="523">
        <v>1013.3683268373989</v>
      </c>
    </row>
    <row r="16" spans="2:10">
      <c r="I16" s="525" t="s">
        <v>268</v>
      </c>
      <c r="J16" s="523">
        <v>1024.6674858659862</v>
      </c>
    </row>
    <row r="17" spans="2:10">
      <c r="B17" s="531"/>
    </row>
    <row r="18" spans="2:10">
      <c r="B18" s="510"/>
      <c r="C18" s="531"/>
      <c r="I18" s="527" t="s">
        <v>263</v>
      </c>
      <c r="J18" s="527" t="s">
        <v>140</v>
      </c>
    </row>
    <row r="19" spans="2:10">
      <c r="B19" s="510"/>
      <c r="C19" s="513"/>
      <c r="I19" s="525" t="s">
        <v>267</v>
      </c>
      <c r="J19" s="523">
        <v>67</v>
      </c>
    </row>
    <row r="20" spans="2:10">
      <c r="B20" s="510"/>
      <c r="C20" s="513"/>
      <c r="I20" s="526" t="s">
        <v>269</v>
      </c>
      <c r="J20" s="523">
        <v>138.62144784910197</v>
      </c>
    </row>
    <row r="21" spans="2:10">
      <c r="B21" s="510"/>
      <c r="C21" s="513"/>
      <c r="I21" s="525" t="s">
        <v>264</v>
      </c>
      <c r="J21" s="523">
        <v>362</v>
      </c>
    </row>
    <row r="22" spans="2:10">
      <c r="B22" s="511"/>
      <c r="C22" s="513"/>
      <c r="I22" s="525" t="s">
        <v>266</v>
      </c>
      <c r="J22" s="523">
        <v>468.29984525651707</v>
      </c>
    </row>
    <row r="23" spans="2:10">
      <c r="I23" s="525" t="s">
        <v>268</v>
      </c>
      <c r="J23" s="523">
        <v>500.80987115916832</v>
      </c>
    </row>
    <row r="24" spans="2:10">
      <c r="B24" s="531"/>
      <c r="C24" s="531"/>
    </row>
    <row r="25" spans="2:10">
      <c r="B25" s="515"/>
      <c r="C25" s="513"/>
      <c r="I25" s="528" t="s">
        <v>263</v>
      </c>
      <c r="J25" s="528" t="s">
        <v>141</v>
      </c>
    </row>
    <row r="26" spans="2:10">
      <c r="B26" s="515"/>
      <c r="C26" s="513"/>
      <c r="I26" s="525" t="s">
        <v>266</v>
      </c>
      <c r="J26" s="523">
        <v>136.94440169295922</v>
      </c>
    </row>
    <row r="27" spans="2:10">
      <c r="B27" s="515"/>
      <c r="C27" s="513"/>
      <c r="I27" s="529" t="s">
        <v>267</v>
      </c>
      <c r="J27" s="530">
        <v>221</v>
      </c>
    </row>
    <row r="28" spans="2:10">
      <c r="B28" s="516"/>
      <c r="C28" s="513"/>
      <c r="I28" s="529" t="s">
        <v>264</v>
      </c>
      <c r="J28" s="530">
        <v>221</v>
      </c>
    </row>
    <row r="29" spans="2:10">
      <c r="B29" s="515"/>
      <c r="C29" s="513"/>
      <c r="I29" s="526" t="s">
        <v>269</v>
      </c>
      <c r="J29" s="523">
        <v>622.89064970168238</v>
      </c>
    </row>
    <row r="30" spans="2:10">
      <c r="I30" s="525" t="s">
        <v>268</v>
      </c>
      <c r="J30" s="523">
        <v>1241.6990081302156</v>
      </c>
    </row>
    <row r="31" spans="2:10">
      <c r="B31" s="531"/>
      <c r="C31" s="531"/>
    </row>
    <row r="32" spans="2:10">
      <c r="B32" s="515"/>
      <c r="C32" s="513"/>
    </row>
    <row r="33" spans="2:3">
      <c r="B33" s="516"/>
      <c r="C33" s="513"/>
    </row>
    <row r="34" spans="2:3">
      <c r="B34" s="515"/>
      <c r="C34" s="513"/>
    </row>
    <row r="35" spans="2:3">
      <c r="B35" s="515"/>
      <c r="C35" s="513"/>
    </row>
    <row r="36" spans="2:3">
      <c r="B36" s="515"/>
      <c r="C36" s="513"/>
    </row>
    <row r="38" spans="2:3">
      <c r="B38" s="531"/>
      <c r="C38" s="531"/>
    </row>
    <row r="39" spans="2:3">
      <c r="B39" s="515"/>
      <c r="C39" s="513"/>
    </row>
    <row r="40" spans="2:3">
      <c r="B40" s="515"/>
      <c r="C40" s="513"/>
    </row>
    <row r="41" spans="2:3">
      <c r="B41" s="515"/>
      <c r="C41" s="513"/>
    </row>
    <row r="42" spans="2:3">
      <c r="B42" s="516"/>
      <c r="C42" s="513"/>
    </row>
    <row r="43" spans="2:3">
      <c r="B43" s="515"/>
      <c r="C43" s="5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8cbae93-e218-4227-991c-6014539a338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937DDE44F9C5A4B9D09552230D06E0B" ma:contentTypeVersion="13" ma:contentTypeDescription="Utwórz nowy dokument." ma:contentTypeScope="" ma:versionID="f5184e1449824969eb6694c3b7088ba0">
  <xsd:schema xmlns:xsd="http://www.w3.org/2001/XMLSchema" xmlns:xs="http://www.w3.org/2001/XMLSchema" xmlns:p="http://schemas.microsoft.com/office/2006/metadata/properties" xmlns:ns3="18cbae93-e218-4227-991c-6014539a3381" xmlns:ns4="f6d171fc-bd29-471f-956e-4401d4f98590" targetNamespace="http://schemas.microsoft.com/office/2006/metadata/properties" ma:root="true" ma:fieldsID="1b79880729abbff2ed6b8db344357043" ns3:_="" ns4:_="">
    <xsd:import namespace="18cbae93-e218-4227-991c-6014539a3381"/>
    <xsd:import namespace="f6d171fc-bd29-471f-956e-4401d4f985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bae93-e218-4227-991c-6014539a33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171fc-bd29-471f-956e-4401d4f9859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C2F7F2-449C-4402-925B-3F142D6ED26F}">
  <ds:schemaRefs>
    <ds:schemaRef ds:uri="http://schemas.microsoft.com/office/2006/metadata/properties"/>
    <ds:schemaRef ds:uri="http://schemas.microsoft.com/office/infopath/2007/PartnerControls"/>
    <ds:schemaRef ds:uri="18cbae93-e218-4227-991c-6014539a3381"/>
  </ds:schemaRefs>
</ds:datastoreItem>
</file>

<file path=customXml/itemProps2.xml><?xml version="1.0" encoding="utf-8"?>
<ds:datastoreItem xmlns:ds="http://schemas.openxmlformats.org/officeDocument/2006/customXml" ds:itemID="{48D7005E-82D2-4173-9926-C8502C3BA4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cbae93-e218-4227-991c-6014539a3381"/>
    <ds:schemaRef ds:uri="f6d171fc-bd29-471f-956e-4401d4f985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CCFCFF-36BA-427F-9B7E-2DDDE1CE6E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Dane</vt:lpstr>
      <vt:lpstr>Model ekonometryczny</vt:lpstr>
      <vt:lpstr>Metoda naiwna</vt:lpstr>
      <vt:lpstr>Wygładzanie wykładnicze</vt:lpstr>
      <vt:lpstr>Test Chow'a - do wyjebania</vt:lpstr>
      <vt:lpstr>Modele Segmentowe - do wyjebani</vt:lpstr>
      <vt:lpstr>Trend pełzający</vt:lpstr>
      <vt:lpstr>Podsumowanie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Miłosz Lauda</dc:creator>
  <cp:keywords/>
  <dc:description/>
  <cp:lastModifiedBy>Miłosz Lauda</cp:lastModifiedBy>
  <cp:revision/>
  <dcterms:created xsi:type="dcterms:W3CDTF">2023-11-09T16:08:41Z</dcterms:created>
  <dcterms:modified xsi:type="dcterms:W3CDTF">2025-03-18T20:05:58Z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0x0101000937DDE44F9C5A4B9D09552230D06E0B</vt:lpwstr>
  </property>
</Properties>
</file>