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mi/Documents/"/>
    </mc:Choice>
  </mc:AlternateContent>
  <xr:revisionPtr revIDLastSave="0" documentId="13_ncr:1_{50E9E064-7A88-C64C-A1E1-F4DE25411B0E}" xr6:coauthVersionLast="47" xr6:coauthVersionMax="47" xr10:uidLastSave="{00000000-0000-0000-0000-000000000000}"/>
  <bookViews>
    <workbookView xWindow="0" yWindow="500" windowWidth="28800" windowHeight="15800" xr2:uid="{DFECEEE9-6FB9-AF45-BDC1-AA4AF5987B01}"/>
  </bookViews>
  <sheets>
    <sheet name="Data" sheetId="1" r:id="rId1"/>
    <sheet name="Sheet2" sheetId="2" r:id="rId2"/>
  </sheets>
  <calcPr calcId="191029"/>
  <customWorkbookViews>
    <customWorkbookView name="Header" guid="{25C7A83E-09CA-1044-ACAB-DD3B4E0B42EA}" maximized="1" windowWidth="1440" windowHeight="90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5" i="1" l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34" i="1"/>
  <c r="V135" i="1"/>
  <c r="V136" i="1" s="1"/>
  <c r="V137" i="1" s="1"/>
  <c r="V138" i="1" s="1"/>
  <c r="V139" i="1" s="1"/>
  <c r="V140" i="1" s="1"/>
  <c r="V141" i="1" s="1"/>
  <c r="V142" i="1" s="1"/>
  <c r="V143" i="1" s="1"/>
  <c r="V144" i="1" s="1"/>
  <c r="V123" i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12" i="1"/>
  <c r="V113" i="1"/>
  <c r="V114" i="1" s="1"/>
  <c r="V115" i="1" s="1"/>
  <c r="V116" i="1" s="1"/>
  <c r="V117" i="1" s="1"/>
  <c r="V118" i="1" s="1"/>
  <c r="V119" i="1" s="1"/>
  <c r="V120" i="1" s="1"/>
  <c r="V121" i="1" s="1"/>
  <c r="V122" i="1" s="1"/>
  <c r="V101" i="1"/>
  <c r="V102" i="1"/>
  <c r="V103" i="1"/>
  <c r="V104" i="1" s="1"/>
  <c r="V105" i="1" s="1"/>
  <c r="V106" i="1" s="1"/>
  <c r="V107" i="1" s="1"/>
  <c r="V108" i="1" s="1"/>
  <c r="V109" i="1" s="1"/>
  <c r="V110" i="1" s="1"/>
  <c r="V111" i="1" s="1"/>
  <c r="V90" i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79" i="1"/>
  <c r="V80" i="1"/>
  <c r="V81" i="1"/>
  <c r="V82" i="1" s="1"/>
  <c r="V83" i="1" s="1"/>
  <c r="V84" i="1" s="1"/>
  <c r="V85" i="1" s="1"/>
  <c r="V86" i="1" s="1"/>
  <c r="V87" i="1" s="1"/>
  <c r="V88" i="1" s="1"/>
  <c r="V89" i="1" s="1"/>
  <c r="V68" i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57" i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46" i="1"/>
  <c r="V47" i="1"/>
  <c r="V48" i="1" s="1"/>
  <c r="V49" i="1" s="1"/>
  <c r="V50" i="1" s="1"/>
  <c r="V51" i="1" s="1"/>
  <c r="V52" i="1" s="1"/>
  <c r="V53" i="1" s="1"/>
  <c r="V54" i="1" s="1"/>
  <c r="V55" i="1" s="1"/>
  <c r="V56" i="1" s="1"/>
  <c r="V35" i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24" i="1"/>
  <c r="V25" i="1"/>
  <c r="V26" i="1" s="1"/>
  <c r="V27" i="1" s="1"/>
  <c r="V28" i="1" s="1"/>
  <c r="V29" i="1" s="1"/>
  <c r="V30" i="1" s="1"/>
  <c r="V31" i="1" s="1"/>
  <c r="V32" i="1" s="1"/>
  <c r="V33" i="1" s="1"/>
  <c r="V34" i="1" s="1"/>
  <c r="V13" i="1"/>
  <c r="V14" i="1"/>
  <c r="V15" i="1" s="1"/>
  <c r="V16" i="1" s="1"/>
  <c r="V17" i="1" s="1"/>
  <c r="V18" i="1" s="1"/>
  <c r="V19" i="1" s="1"/>
  <c r="V20" i="1" s="1"/>
  <c r="V21" i="1" s="1"/>
  <c r="V22" i="1" s="1"/>
  <c r="V2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47" i="1"/>
  <c r="G94" i="1"/>
  <c r="G101" i="1"/>
  <c r="G102" i="1"/>
  <c r="G103" i="1"/>
  <c r="G104" i="1"/>
  <c r="G105" i="1"/>
  <c r="Q105" i="1"/>
  <c r="G117" i="1"/>
  <c r="G134" i="1"/>
  <c r="Q134" i="1"/>
  <c r="G139" i="1"/>
  <c r="G135" i="1"/>
  <c r="Q135" i="1"/>
  <c r="H58" i="1"/>
  <c r="H59" i="1"/>
  <c r="H57" i="1"/>
  <c r="H70" i="1"/>
  <c r="H91" i="1"/>
  <c r="H92" i="1"/>
  <c r="H93" i="1"/>
  <c r="H94" i="1"/>
  <c r="H95" i="1"/>
  <c r="H96" i="1"/>
  <c r="H97" i="1"/>
  <c r="H90" i="1"/>
  <c r="H104" i="1"/>
  <c r="H137" i="1"/>
  <c r="H146" i="1"/>
  <c r="H147" i="1"/>
  <c r="H145" i="1"/>
  <c r="H35" i="1"/>
  <c r="G35" i="1"/>
  <c r="T35" i="1"/>
  <c r="I4" i="1"/>
  <c r="I5" i="1"/>
  <c r="I6" i="1"/>
  <c r="I7" i="1"/>
  <c r="I8" i="1"/>
  <c r="I9" i="1"/>
  <c r="I10" i="1"/>
  <c r="I11" i="1"/>
  <c r="I12" i="1"/>
  <c r="G12" i="1"/>
  <c r="G11" i="1"/>
  <c r="G10" i="1"/>
  <c r="G9" i="1"/>
  <c r="G8" i="1"/>
  <c r="G7" i="1"/>
  <c r="G6" i="1"/>
  <c r="G5" i="1"/>
  <c r="G4" i="1"/>
  <c r="G3" i="1"/>
  <c r="Q3" i="1"/>
  <c r="I3" i="1" s="1"/>
  <c r="G15" i="1"/>
  <c r="G14" i="1"/>
  <c r="G2" i="1"/>
  <c r="Q2" i="1"/>
  <c r="G17" i="1"/>
  <c r="G16" i="1"/>
  <c r="Q15" i="1"/>
  <c r="Q14" i="1"/>
  <c r="G54" i="1"/>
  <c r="G53" i="1"/>
  <c r="G52" i="1"/>
  <c r="G56" i="1"/>
  <c r="G55" i="1"/>
  <c r="G51" i="1"/>
  <c r="G50" i="1"/>
  <c r="G49" i="1"/>
  <c r="G48" i="1"/>
  <c r="Q48" i="1"/>
  <c r="G34" i="1"/>
  <c r="G33" i="1"/>
  <c r="G32" i="1"/>
  <c r="R32" i="1"/>
  <c r="G31" i="1"/>
  <c r="G30" i="1"/>
  <c r="G29" i="1"/>
  <c r="G28" i="1"/>
  <c r="G27" i="1"/>
  <c r="R27" i="1"/>
  <c r="G26" i="1"/>
  <c r="G25" i="1"/>
  <c r="G24" i="1"/>
  <c r="R24" i="1"/>
  <c r="G154" i="1"/>
  <c r="G153" i="1"/>
  <c r="G152" i="1"/>
  <c r="G151" i="1"/>
  <c r="G150" i="1"/>
  <c r="G149" i="1"/>
  <c r="G148" i="1"/>
  <c r="R148" i="1"/>
  <c r="G144" i="1"/>
  <c r="G143" i="1"/>
  <c r="R143" i="1"/>
  <c r="G142" i="1"/>
  <c r="R142" i="1"/>
  <c r="G141" i="1"/>
  <c r="G140" i="1"/>
  <c r="G138" i="1"/>
  <c r="Q138" i="1"/>
  <c r="G137" i="1"/>
  <c r="Q137" i="1"/>
  <c r="G136" i="1"/>
  <c r="Q136" i="1"/>
  <c r="G133" i="1"/>
  <c r="G132" i="1"/>
  <c r="G131" i="1"/>
  <c r="G130" i="1"/>
  <c r="G129" i="1"/>
  <c r="G128" i="1"/>
  <c r="G127" i="1"/>
  <c r="G126" i="1"/>
  <c r="G125" i="1"/>
  <c r="G124" i="1"/>
  <c r="Q124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Q106" i="1"/>
  <c r="G100" i="1"/>
  <c r="G99" i="1"/>
  <c r="G98" i="1"/>
  <c r="G97" i="1"/>
  <c r="G96" i="1"/>
  <c r="G95" i="1"/>
  <c r="G89" i="1" l="1"/>
  <c r="Q89" i="1"/>
  <c r="G88" i="1"/>
  <c r="Q88" i="1"/>
  <c r="G87" i="1"/>
  <c r="Q87" i="1"/>
  <c r="G86" i="1"/>
  <c r="G85" i="1"/>
  <c r="G84" i="1"/>
  <c r="G83" i="1"/>
  <c r="G82" i="1"/>
  <c r="G81" i="1"/>
  <c r="G80" i="1"/>
  <c r="G79" i="1"/>
  <c r="G69" i="1"/>
  <c r="G70" i="1"/>
  <c r="G71" i="1"/>
  <c r="G72" i="1"/>
  <c r="G73" i="1"/>
  <c r="G74" i="1"/>
  <c r="G75" i="1"/>
  <c r="G76" i="1"/>
  <c r="G77" i="1"/>
  <c r="G78" i="1"/>
  <c r="G68" i="1"/>
  <c r="G67" i="1"/>
  <c r="G66" i="1"/>
  <c r="G65" i="1"/>
  <c r="G64" i="1"/>
  <c r="G63" i="1"/>
  <c r="G62" i="1"/>
  <c r="G61" i="1"/>
  <c r="G60" i="1"/>
  <c r="G59" i="1"/>
  <c r="G58" i="1"/>
  <c r="G57" i="1"/>
  <c r="G45" i="1"/>
  <c r="G39" i="1"/>
  <c r="S40" i="1"/>
  <c r="G40" i="1"/>
  <c r="G41" i="1"/>
  <c r="G42" i="1"/>
  <c r="E43" i="1"/>
  <c r="G43" i="1"/>
  <c r="G44" i="1"/>
  <c r="G20" i="1"/>
  <c r="G19" i="1"/>
  <c r="G18" i="1"/>
  <c r="G23" i="1"/>
  <c r="G22" i="1"/>
  <c r="G21" i="1"/>
  <c r="S19" i="1"/>
  <c r="J3" i="1"/>
  <c r="J4" i="1"/>
  <c r="J5" i="1"/>
  <c r="J6" i="1"/>
  <c r="J7" i="1"/>
  <c r="J8" i="1"/>
  <c r="J9" i="1"/>
  <c r="J10" i="1"/>
  <c r="J11" i="1"/>
  <c r="J12" i="1"/>
  <c r="J2" i="1"/>
  <c r="I2" i="1"/>
</calcChain>
</file>

<file path=xl/sharedStrings.xml><?xml version="1.0" encoding="utf-8"?>
<sst xmlns="http://schemas.openxmlformats.org/spreadsheetml/2006/main" count="176" uniqueCount="36">
  <si>
    <t>Size</t>
  </si>
  <si>
    <t>NPL</t>
  </si>
  <si>
    <t>CAR</t>
  </si>
  <si>
    <t>OCR</t>
  </si>
  <si>
    <t>GDP</t>
  </si>
  <si>
    <t>CPI</t>
  </si>
  <si>
    <t>Year</t>
  </si>
  <si>
    <t>Name</t>
  </si>
  <si>
    <t>Tech</t>
  </si>
  <si>
    <t>VP</t>
  </si>
  <si>
    <t>ACB</t>
  </si>
  <si>
    <t>TP</t>
  </si>
  <si>
    <t>VIB</t>
  </si>
  <si>
    <t>HD</t>
  </si>
  <si>
    <t>Sacom</t>
  </si>
  <si>
    <t>SHB</t>
  </si>
  <si>
    <t>OCB</t>
  </si>
  <si>
    <t>MSB</t>
  </si>
  <si>
    <t>Vietcom</t>
  </si>
  <si>
    <t>Vietin</t>
  </si>
  <si>
    <t>MB</t>
  </si>
  <si>
    <t>Agri</t>
  </si>
  <si>
    <t>Rủi ro tín dụng</t>
  </si>
  <si>
    <t>NIM</t>
  </si>
  <si>
    <t>rd_VND_&lt;12</t>
  </si>
  <si>
    <t>rd_VND_12</t>
  </si>
  <si>
    <t>rd_Foreign_&lt;12</t>
  </si>
  <si>
    <t>rd_Foreign_12</t>
  </si>
  <si>
    <t>Earning_asset</t>
  </si>
  <si>
    <t>Net_revenue</t>
  </si>
  <si>
    <t>Credit_insti_lending</t>
  </si>
  <si>
    <t>Cust_lending</t>
  </si>
  <si>
    <t>Cust_allowance</t>
  </si>
  <si>
    <t>Credit_insti_allowance</t>
  </si>
  <si>
    <t>Operating_cost</t>
  </si>
  <si>
    <t>Total_asset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</si>
</sst>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0" fontId="1" fillId="3" borderId="0" xfId="0" applyFont="1" applyFill="1"/>
    <xf numFmtId="3" fontId="1" fillId="3" borderId="0" xfId="0" applyNumberFormat="1" applyFont="1" applyFill="1"/>
    <xf numFmtId="164" fontId="1" fillId="3" borderId="0" xfId="0" applyNumberFormat="1" applyFont="1" applyFill="1"/>
    <xf numFmtId="164" fontId="0" fillId="3" borderId="0" xfId="0" applyNumberFormat="1" applyFill="1"/>
    <xf numFmtId="3" fontId="0" fillId="3" borderId="0" xfId="0" applyNumberFormat="1" applyFill="1"/>
    <xf numFmtId="0" fontId="0" fillId="4" borderId="0" xfId="0" applyFill="1"/>
    <xf numFmtId="0" fontId="1" fillId="4" borderId="0" xfId="0" applyFont="1" applyFill="1"/>
    <xf numFmtId="3" fontId="1" fillId="4" borderId="0" xfId="0" applyNumberFormat="1" applyFont="1" applyFill="1"/>
    <xf numFmtId="164" fontId="1" fillId="4" borderId="0" xfId="0" applyNumberFormat="1" applyFont="1" applyFill="1"/>
    <xf numFmtId="164" fontId="0" fillId="4" borderId="0" xfId="0" applyNumberFormat="1" applyFill="1"/>
    <xf numFmtId="3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1" fillId="5" borderId="0" xfId="0" applyFont="1" applyFill="1"/>
    <xf numFmtId="3" fontId="1" fillId="5" borderId="0" xfId="0" applyNumberFormat="1" applyFont="1" applyFill="1"/>
    <xf numFmtId="164" fontId="1" fillId="5" borderId="0" xfId="0" applyNumberFormat="1" applyFont="1" applyFill="1"/>
    <xf numFmtId="164" fontId="0" fillId="5" borderId="0" xfId="0" applyNumberFormat="1" applyFill="1"/>
    <xf numFmtId="3" fontId="0" fillId="5" borderId="0" xfId="0" applyNumberFormat="1" applyFill="1"/>
    <xf numFmtId="0" fontId="0" fillId="6" borderId="0" xfId="0" applyFill="1"/>
    <xf numFmtId="0" fontId="1" fillId="6" borderId="0" xfId="0" applyFont="1" applyFill="1"/>
    <xf numFmtId="3" fontId="1" fillId="6" borderId="0" xfId="0" applyNumberFormat="1" applyFont="1" applyFill="1"/>
    <xf numFmtId="164" fontId="1" fillId="6" borderId="0" xfId="0" applyNumberFormat="1" applyFont="1" applyFill="1"/>
    <xf numFmtId="164" fontId="0" fillId="6" borderId="0" xfId="0" applyNumberFormat="1" applyFill="1"/>
    <xf numFmtId="3" fontId="0" fillId="6" borderId="0" xfId="0" applyNumberFormat="1" applyFill="1"/>
    <xf numFmtId="0" fontId="0" fillId="7" borderId="0" xfId="0" applyFill="1"/>
    <xf numFmtId="0" fontId="1" fillId="7" borderId="0" xfId="0" applyFont="1" applyFill="1"/>
    <xf numFmtId="3" fontId="1" fillId="7" borderId="0" xfId="0" applyNumberFormat="1" applyFont="1" applyFill="1"/>
    <xf numFmtId="164" fontId="1" fillId="7" borderId="0" xfId="0" applyNumberFormat="1" applyFont="1" applyFill="1"/>
    <xf numFmtId="164" fontId="0" fillId="7" borderId="0" xfId="0" applyNumberFormat="1" applyFill="1"/>
    <xf numFmtId="3" fontId="0" fillId="7" borderId="0" xfId="0" applyNumberFormat="1" applyFill="1"/>
    <xf numFmtId="0" fontId="0" fillId="8" borderId="0" xfId="0" applyFill="1"/>
    <xf numFmtId="0" fontId="1" fillId="8" borderId="0" xfId="0" applyFont="1" applyFill="1"/>
    <xf numFmtId="3" fontId="1" fillId="8" borderId="0" xfId="0" applyNumberFormat="1" applyFont="1" applyFill="1"/>
    <xf numFmtId="164" fontId="1" fillId="8" borderId="0" xfId="0" applyNumberFormat="1" applyFont="1" applyFill="1"/>
    <xf numFmtId="164" fontId="0" fillId="8" borderId="0" xfId="0" applyNumberFormat="1" applyFill="1"/>
    <xf numFmtId="3" fontId="0" fillId="8" borderId="0" xfId="0" applyNumberFormat="1" applyFill="1"/>
    <xf numFmtId="0" fontId="0" fillId="9" borderId="0" xfId="0" applyFill="1"/>
    <xf numFmtId="0" fontId="1" fillId="9" borderId="0" xfId="0" applyFont="1" applyFill="1"/>
    <xf numFmtId="3" fontId="1" fillId="9" borderId="0" xfId="0" applyNumberFormat="1" applyFont="1" applyFill="1"/>
    <xf numFmtId="164" fontId="1" fillId="9" borderId="0" xfId="0" applyNumberFormat="1" applyFont="1" applyFill="1"/>
    <xf numFmtId="164" fontId="0" fillId="9" borderId="0" xfId="0" applyNumberFormat="1" applyFill="1"/>
    <xf numFmtId="3" fontId="0" fillId="9" borderId="0" xfId="0" applyNumberFormat="1" applyFill="1"/>
    <xf numFmtId="0" fontId="0" fillId="10" borderId="0" xfId="0" applyFill="1"/>
    <xf numFmtId="0" fontId="1" fillId="10" borderId="0" xfId="0" applyFont="1" applyFill="1"/>
    <xf numFmtId="3" fontId="1" fillId="10" borderId="0" xfId="0" applyNumberFormat="1" applyFont="1" applyFill="1"/>
    <xf numFmtId="164" fontId="1" fillId="10" borderId="0" xfId="0" applyNumberFormat="1" applyFont="1" applyFill="1"/>
    <xf numFmtId="164" fontId="0" fillId="10" borderId="0" xfId="0" applyNumberFormat="1" applyFill="1"/>
    <xf numFmtId="3" fontId="0" fillId="10" borderId="0" xfId="0" applyNumberFormat="1" applyFill="1"/>
    <xf numFmtId="0" fontId="0" fillId="11" borderId="0" xfId="0" applyFill="1"/>
    <xf numFmtId="0" fontId="1" fillId="11" borderId="0" xfId="0" applyFont="1" applyFill="1"/>
    <xf numFmtId="3" fontId="1" fillId="11" borderId="0" xfId="0" applyNumberFormat="1" applyFont="1" applyFill="1"/>
    <xf numFmtId="164" fontId="1" fillId="11" borderId="0" xfId="0" applyNumberFormat="1" applyFont="1" applyFill="1"/>
    <xf numFmtId="164" fontId="0" fillId="11" borderId="0" xfId="0" applyNumberFormat="1" applyFill="1"/>
    <xf numFmtId="3" fontId="0" fillId="11" borderId="0" xfId="0" applyNumberFormat="1" applyFill="1"/>
    <xf numFmtId="0" fontId="0" fillId="12" borderId="0" xfId="0" applyFill="1"/>
    <xf numFmtId="0" fontId="1" fillId="12" borderId="0" xfId="0" applyFont="1" applyFill="1"/>
    <xf numFmtId="3" fontId="0" fillId="12" borderId="0" xfId="0" applyNumberFormat="1" applyFill="1"/>
    <xf numFmtId="3" fontId="1" fillId="12" borderId="0" xfId="0" applyNumberFormat="1" applyFont="1" applyFill="1"/>
    <xf numFmtId="164" fontId="1" fillId="12" borderId="0" xfId="0" applyNumberFormat="1" applyFont="1" applyFill="1"/>
    <xf numFmtId="164" fontId="0" fillId="12" borderId="0" xfId="0" applyNumberFormat="1" applyFill="1"/>
    <xf numFmtId="0" fontId="0" fillId="13" borderId="0" xfId="0" applyFill="1"/>
    <xf numFmtId="0" fontId="1" fillId="13" borderId="0" xfId="0" applyFont="1" applyFill="1"/>
    <xf numFmtId="3" fontId="1" fillId="13" borderId="0" xfId="0" applyNumberFormat="1" applyFont="1" applyFill="1"/>
    <xf numFmtId="164" fontId="1" fillId="13" borderId="0" xfId="0" applyNumberFormat="1" applyFont="1" applyFill="1"/>
    <xf numFmtId="164" fontId="0" fillId="13" borderId="0" xfId="0" applyNumberFormat="1" applyFill="1"/>
    <xf numFmtId="3" fontId="0" fillId="13" borderId="0" xfId="0" applyNumberFormat="1" applyFill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FE04-3AC3-B147-9E26-98C1F2C02F89}">
  <dimension ref="A1:V155"/>
  <sheetViews>
    <sheetView tabSelected="1" topLeftCell="M1" workbookViewId="0">
      <selection activeCell="Q132" sqref="Q132"/>
    </sheetView>
  </sheetViews>
  <sheetFormatPr baseColWidth="10" defaultRowHeight="16" x14ac:dyDescent="0.2"/>
  <cols>
    <col min="3" max="3" width="13.83203125" style="1" customWidth="1"/>
    <col min="4" max="4" width="15" style="1" customWidth="1"/>
    <col min="5" max="5" width="10.83203125" style="2"/>
    <col min="7" max="7" width="11.6640625" style="2" bestFit="1" customWidth="1"/>
    <col min="8" max="8" width="10.83203125" style="2"/>
    <col min="9" max="9" width="19.1640625" style="2" customWidth="1"/>
    <col min="10" max="14" width="11" style="2" customWidth="1"/>
    <col min="15" max="15" width="13.83203125" style="2" customWidth="1"/>
    <col min="16" max="16" width="11" style="2" customWidth="1"/>
    <col min="17" max="17" width="23.1640625" style="1" customWidth="1"/>
    <col min="18" max="18" width="25" style="1" customWidth="1"/>
    <col min="19" max="20" width="24.6640625" style="1" customWidth="1"/>
    <col min="21" max="21" width="22" style="1" customWidth="1"/>
    <col min="22" max="22" width="17.6640625" style="1" customWidth="1"/>
  </cols>
  <sheetData>
    <row r="1" spans="1:22" x14ac:dyDescent="0.2">
      <c r="A1" s="76" t="s">
        <v>7</v>
      </c>
      <c r="B1" s="76" t="s">
        <v>6</v>
      </c>
      <c r="C1" s="77" t="s">
        <v>28</v>
      </c>
      <c r="D1" s="77" t="s">
        <v>29</v>
      </c>
      <c r="E1" s="78" t="s">
        <v>23</v>
      </c>
      <c r="F1" s="76" t="s">
        <v>0</v>
      </c>
      <c r="G1" s="78" t="s">
        <v>1</v>
      </c>
      <c r="H1" s="78" t="s">
        <v>2</v>
      </c>
      <c r="I1" s="78" t="s">
        <v>22</v>
      </c>
      <c r="J1" s="78" t="s">
        <v>3</v>
      </c>
      <c r="K1" s="78" t="s">
        <v>4</v>
      </c>
      <c r="L1" s="78" t="s">
        <v>5</v>
      </c>
      <c r="M1" s="78" t="s">
        <v>24</v>
      </c>
      <c r="N1" s="78" t="s">
        <v>25</v>
      </c>
      <c r="O1" s="78" t="s">
        <v>26</v>
      </c>
      <c r="P1" s="78" t="s">
        <v>27</v>
      </c>
      <c r="Q1" s="77" t="s">
        <v>30</v>
      </c>
      <c r="R1" s="77" t="s">
        <v>31</v>
      </c>
      <c r="S1" s="77" t="s">
        <v>32</v>
      </c>
      <c r="T1" s="77" t="s">
        <v>33</v>
      </c>
      <c r="U1" s="77" t="s">
        <v>34</v>
      </c>
      <c r="V1" s="77" t="s">
        <v>35</v>
      </c>
    </row>
    <row r="2" spans="1:22" x14ac:dyDescent="0.2">
      <c r="A2" s="3" t="s">
        <v>8</v>
      </c>
      <c r="B2" s="3">
        <v>2012</v>
      </c>
      <c r="C2" s="8">
        <f>((5576747+21159534+10196333+800370+68261442+43895517+3092452)+(4465664+43190766+437134+63451465+43847690+4519013))/2</f>
        <v>156447063.5</v>
      </c>
      <c r="D2" s="8">
        <v>5115573</v>
      </c>
      <c r="E2" s="7"/>
      <c r="F2" s="3"/>
      <c r="G2" s="7">
        <f>(108330+848623+883519)/68261442</f>
        <v>2.6962102558571791E-2</v>
      </c>
      <c r="H2" s="7">
        <v>0.126</v>
      </c>
      <c r="I2" s="7">
        <f>(S2+T2)/(Q2+R3)</f>
        <v>1.4676620167410842E-2</v>
      </c>
      <c r="J2" s="7">
        <f>U2/V2</f>
        <v>1.8276632594330072E-2</v>
      </c>
      <c r="K2" s="7">
        <v>5.5045456198033094</v>
      </c>
      <c r="L2" s="7">
        <v>9.0947033955719299</v>
      </c>
      <c r="M2" s="7">
        <v>0.03</v>
      </c>
      <c r="N2" s="7">
        <v>0.01</v>
      </c>
      <c r="O2" s="7">
        <v>0.08</v>
      </c>
      <c r="P2" s="7">
        <v>0.06</v>
      </c>
      <c r="Q2" s="8">
        <f>3358500+6837833</f>
        <v>10196333</v>
      </c>
      <c r="R2" s="8">
        <v>68261442</v>
      </c>
      <c r="S2" s="8">
        <v>1125135</v>
      </c>
      <c r="T2" s="8">
        <v>55911</v>
      </c>
      <c r="U2" s="8">
        <v>3294041</v>
      </c>
      <c r="V2" s="8">
        <f>(179933598+180531163)/2</f>
        <v>180232380.5</v>
      </c>
    </row>
    <row r="3" spans="1:22" x14ac:dyDescent="0.2">
      <c r="A3" s="3" t="s">
        <v>8</v>
      </c>
      <c r="B3" s="3">
        <v>2013</v>
      </c>
      <c r="C3" s="8">
        <f>((2830794+11856655+3599224+921035+70274919+46169754+3693837)+(5576747+21159534+10196333+800370+68261442+43895517+3092452))/2</f>
        <v>146164306.5</v>
      </c>
      <c r="D3" s="8">
        <v>4335662</v>
      </c>
      <c r="E3" s="7"/>
      <c r="F3" s="3"/>
      <c r="G3" s="7">
        <f>(447898+1128849+989497)/70274919</f>
        <v>3.6517210357794934E-2</v>
      </c>
      <c r="H3" s="7">
        <v>0.14000000000000001</v>
      </c>
      <c r="I3" s="7">
        <f t="shared" ref="I3:I12" si="0">(S3+T3)/(Q3+R4)</f>
        <v>1.4556283054609966E-2</v>
      </c>
      <c r="J3" s="7">
        <f t="shared" ref="J3:J12" si="1">U3/V3</f>
        <v>1.9789906316295791E-2</v>
      </c>
      <c r="K3" s="7">
        <v>5.553500244795103</v>
      </c>
      <c r="L3" s="7">
        <v>6.5926747589919099</v>
      </c>
      <c r="M3" s="7">
        <v>0.03</v>
      </c>
      <c r="N3" s="7">
        <v>0.01</v>
      </c>
      <c r="O3" s="7">
        <v>0.08</v>
      </c>
      <c r="P3" s="7">
        <v>0.06</v>
      </c>
      <c r="Q3" s="8">
        <f>3388864+210360</f>
        <v>3599224</v>
      </c>
      <c r="R3" s="8">
        <v>70274919</v>
      </c>
      <c r="S3" s="8">
        <v>1186239</v>
      </c>
      <c r="T3" s="8">
        <v>35132</v>
      </c>
      <c r="U3" s="8">
        <v>3355666</v>
      </c>
      <c r="V3" s="8">
        <f>(158896663+V2)/2</f>
        <v>169564521.75</v>
      </c>
    </row>
    <row r="4" spans="1:22" x14ac:dyDescent="0.2">
      <c r="A4" s="3" t="s">
        <v>8</v>
      </c>
      <c r="B4" s="3">
        <v>2014</v>
      </c>
      <c r="C4" s="8">
        <f>((1168265+9588234+9343996+2089318+80307567+49704301+6197583)+(2830794+11856655+3599224+921035+70274919+46169754+3693837))/2</f>
        <v>148872741</v>
      </c>
      <c r="D4" s="8">
        <v>5772630</v>
      </c>
      <c r="E4" s="7"/>
      <c r="F4" s="3"/>
      <c r="G4" s="7">
        <f>(532325+326336+1055175)/80307567</f>
        <v>2.3831328372829426E-2</v>
      </c>
      <c r="H4" s="7">
        <v>0.157</v>
      </c>
      <c r="I4" s="7">
        <f t="shared" si="0"/>
        <v>8.0147876285916325E-3</v>
      </c>
      <c r="J4" s="7">
        <f t="shared" si="1"/>
        <v>1.9863267957405773E-2</v>
      </c>
      <c r="K4" s="7">
        <v>6.4222466560102589</v>
      </c>
      <c r="L4" s="7">
        <v>4.0845544663762201</v>
      </c>
      <c r="M4" s="7">
        <v>0.03</v>
      </c>
      <c r="N4" s="7">
        <v>0.01</v>
      </c>
      <c r="O4" s="7">
        <v>0.08</v>
      </c>
      <c r="P4" s="7">
        <v>0.06</v>
      </c>
      <c r="Q4" s="8">
        <v>9343996</v>
      </c>
      <c r="R4" s="8">
        <v>80307567</v>
      </c>
      <c r="S4" s="8">
        <v>959777</v>
      </c>
      <c r="T4" s="8">
        <v>9770</v>
      </c>
      <c r="U4" s="8">
        <v>3431045</v>
      </c>
      <c r="V4" s="8">
        <f>(175901794+V3)/2</f>
        <v>172733157.875</v>
      </c>
    </row>
    <row r="5" spans="1:22" x14ac:dyDescent="0.2">
      <c r="A5" s="3" t="s">
        <v>8</v>
      </c>
      <c r="B5" s="3">
        <v>2015</v>
      </c>
      <c r="C5" s="8">
        <f>((2677303+7488015+7274537+2600693+111625772+38528012+6902350)+(1168265+9588234+9343996+2089318+80307567+49704301+6197583))/2</f>
        <v>167747973</v>
      </c>
      <c r="D5" s="8">
        <v>7208380</v>
      </c>
      <c r="E5" s="7"/>
      <c r="F5" s="3"/>
      <c r="G5" s="7">
        <f>(309301+537739+1016666)/111625772</f>
        <v>1.669601890860831E-2</v>
      </c>
      <c r="H5" s="7">
        <v>0.14699999999999999</v>
      </c>
      <c r="I5" s="7">
        <f t="shared" si="0"/>
        <v>7.7683821289296698E-3</v>
      </c>
      <c r="J5" s="7">
        <f t="shared" si="1"/>
        <v>2.0194860400493668E-2</v>
      </c>
      <c r="K5" s="7">
        <v>6.9871667237754878</v>
      </c>
      <c r="L5" s="7">
        <v>0.63120090517571803</v>
      </c>
      <c r="M5" s="7">
        <v>0.03</v>
      </c>
      <c r="N5" s="7">
        <v>0.01</v>
      </c>
      <c r="O5" s="7">
        <v>0.08</v>
      </c>
      <c r="P5" s="7">
        <v>0.06</v>
      </c>
      <c r="Q5" s="8">
        <v>7274537</v>
      </c>
      <c r="R5" s="8">
        <v>111625772</v>
      </c>
      <c r="S5" s="8">
        <v>1164407</v>
      </c>
      <c r="T5" s="8">
        <v>0</v>
      </c>
      <c r="U5" s="8">
        <v>3682803</v>
      </c>
      <c r="V5" s="8">
        <f>(191993602+V4)/2</f>
        <v>182363379.9375</v>
      </c>
    </row>
    <row r="6" spans="1:22" x14ac:dyDescent="0.2">
      <c r="A6" s="3" t="s">
        <v>8</v>
      </c>
      <c r="B6" s="3">
        <v>2016</v>
      </c>
      <c r="C6" s="8">
        <f>((2533875+9058942+12539932+8035905+142616004+38575389+8560113)+(2677303+7488015+7274537+2600693+111625772+38528012+6902350))/2</f>
        <v>199508421</v>
      </c>
      <c r="D6" s="8">
        <v>8142221</v>
      </c>
      <c r="E6" s="7"/>
      <c r="F6" s="3"/>
      <c r="G6" s="7">
        <f>(396736+474551+1375017)/142616004</f>
        <v>1.5750714765504159E-2</v>
      </c>
      <c r="H6" s="7">
        <v>0.13100000000000001</v>
      </c>
      <c r="I6" s="7">
        <f t="shared" si="0"/>
        <v>8.624971984232746E-3</v>
      </c>
      <c r="J6" s="7">
        <f t="shared" si="1"/>
        <v>2.0400888904483227E-2</v>
      </c>
      <c r="K6" s="7">
        <v>6.6900092133089402</v>
      </c>
      <c r="L6" s="7">
        <v>2.66824816969083</v>
      </c>
      <c r="M6" s="7">
        <v>0.03</v>
      </c>
      <c r="N6" s="7">
        <v>0.01</v>
      </c>
      <c r="O6" s="7">
        <v>0.08</v>
      </c>
      <c r="P6" s="7">
        <v>0.06</v>
      </c>
      <c r="Q6" s="8">
        <v>12539932</v>
      </c>
      <c r="R6" s="8">
        <v>142616004</v>
      </c>
      <c r="S6" s="8">
        <v>1495475</v>
      </c>
      <c r="T6" s="8">
        <v>0</v>
      </c>
      <c r="U6" s="8">
        <v>4260995</v>
      </c>
      <c r="V6" s="8">
        <f>(235363026+V5)/2</f>
        <v>208863202.96875</v>
      </c>
    </row>
    <row r="7" spans="1:22" x14ac:dyDescent="0.2">
      <c r="A7" s="3" t="s">
        <v>8</v>
      </c>
      <c r="B7" s="3">
        <v>2017</v>
      </c>
      <c r="C7" s="8">
        <f>((4279431+16243054+13912753+6775118+160849037+46018398+5715484)+(2533875+9058942+12539932+8035905+142616004+38575389+8560113))/2</f>
        <v>237856717.5</v>
      </c>
      <c r="D7" s="8">
        <v>8930412</v>
      </c>
      <c r="E7" s="7"/>
      <c r="F7" s="3"/>
      <c r="G7" s="7">
        <f>(575397+455567+1552962)/160849037</f>
        <v>1.6064292632351911E-2</v>
      </c>
      <c r="H7" s="7">
        <v>0.127</v>
      </c>
      <c r="I7" s="7">
        <f t="shared" si="0"/>
        <v>1.0840147511702054E-2</v>
      </c>
      <c r="J7" s="7">
        <f t="shared" si="1"/>
        <v>1.9647582453029069E-2</v>
      </c>
      <c r="K7" s="7">
        <v>6.9401877821904918</v>
      </c>
      <c r="L7" s="7">
        <v>3.5202568881161902</v>
      </c>
      <c r="M7" s="7">
        <v>0.03</v>
      </c>
      <c r="N7" s="7">
        <v>0.01</v>
      </c>
      <c r="O7" s="7">
        <v>0.08</v>
      </c>
      <c r="P7" s="7">
        <v>0.06</v>
      </c>
      <c r="Q7" s="8">
        <v>13912753</v>
      </c>
      <c r="R7" s="8">
        <v>160849037</v>
      </c>
      <c r="S7" s="8">
        <v>1884581</v>
      </c>
      <c r="T7" s="8">
        <v>0</v>
      </c>
      <c r="U7" s="8">
        <v>4698283</v>
      </c>
      <c r="V7" s="8">
        <f>(269392380+V6)/2</f>
        <v>239127791.484375</v>
      </c>
    </row>
    <row r="8" spans="1:22" x14ac:dyDescent="0.2">
      <c r="A8" s="3" t="s">
        <v>8</v>
      </c>
      <c r="B8" s="3">
        <v>2018</v>
      </c>
      <c r="C8" s="8">
        <f>((10555483+24169512+11389851+7583090+159939217+66625261+20236200)+(4279431+16243054+13912753+6775118+160849037+46018398+5715484))/2</f>
        <v>277145944.5</v>
      </c>
      <c r="D8" s="8">
        <v>11126535</v>
      </c>
      <c r="E8" s="7"/>
      <c r="F8" s="3"/>
      <c r="G8" s="7">
        <f>(237758+862510+1703181)/159939217</f>
        <v>1.7528215109368705E-2</v>
      </c>
      <c r="H8" s="7">
        <v>0.14599999999999999</v>
      </c>
      <c r="I8" s="7">
        <f t="shared" si="0"/>
        <v>9.8480346231924424E-3</v>
      </c>
      <c r="J8" s="7">
        <f t="shared" si="1"/>
        <v>2.0861747779202373E-2</v>
      </c>
      <c r="K8" s="7">
        <v>7.4649912574460018</v>
      </c>
      <c r="L8" s="7">
        <v>3.53962805942641</v>
      </c>
      <c r="M8" s="7">
        <v>0.03</v>
      </c>
      <c r="N8" s="7">
        <v>0.01</v>
      </c>
      <c r="O8" s="7">
        <v>0.08</v>
      </c>
      <c r="P8" s="7">
        <v>0.06</v>
      </c>
      <c r="Q8" s="8">
        <v>11389851</v>
      </c>
      <c r="R8" s="8">
        <v>159939217</v>
      </c>
      <c r="S8" s="8">
        <v>2385114</v>
      </c>
      <c r="T8" s="8">
        <v>0</v>
      </c>
      <c r="U8" s="8">
        <v>5842507</v>
      </c>
      <c r="V8" s="8">
        <f>(320988941+V7)/2</f>
        <v>280058366.2421875</v>
      </c>
    </row>
    <row r="9" spans="1:22" x14ac:dyDescent="0.2">
      <c r="A9" s="3" t="s">
        <v>8</v>
      </c>
      <c r="B9" s="3">
        <v>2019</v>
      </c>
      <c r="C9" s="8">
        <f>((3192256+38596420+9393804+10052963+230802027+66158709+202006)+(10555483+24169512+11389851+7583090+159939217+66625261+20236200))/2</f>
        <v>329448399.5</v>
      </c>
      <c r="D9" s="8">
        <v>14257844</v>
      </c>
      <c r="E9" s="7"/>
      <c r="F9" s="3"/>
      <c r="G9" s="7">
        <f>(218128+305230+2554518)/230802027</f>
        <v>1.3335567455826546E-2</v>
      </c>
      <c r="H9" s="7">
        <v>0.155</v>
      </c>
      <c r="I9" s="7">
        <f t="shared" si="0"/>
        <v>1.0165760741906222E-2</v>
      </c>
      <c r="J9" s="7">
        <f t="shared" si="1"/>
        <v>2.203366559271281E-2</v>
      </c>
      <c r="K9" s="7">
        <v>7.3592809998546045</v>
      </c>
      <c r="L9" s="7">
        <v>2.7958236745224401</v>
      </c>
      <c r="M9" s="7">
        <v>0.03</v>
      </c>
      <c r="N9" s="7">
        <v>0.01</v>
      </c>
      <c r="O9" s="7">
        <v>0.08</v>
      </c>
      <c r="P9" s="7">
        <v>0.06</v>
      </c>
      <c r="Q9" s="8">
        <v>9393804</v>
      </c>
      <c r="R9" s="8">
        <v>230802027</v>
      </c>
      <c r="S9" s="8">
        <v>2916744</v>
      </c>
      <c r="T9" s="8">
        <v>0</v>
      </c>
      <c r="U9" s="8">
        <v>7312509</v>
      </c>
      <c r="V9" s="8">
        <f>(383699461+V8)/2</f>
        <v>331878913.62109375</v>
      </c>
    </row>
    <row r="10" spans="1:22" ht="15" customHeight="1" x14ac:dyDescent="0.2">
      <c r="A10" s="3" t="s">
        <v>8</v>
      </c>
      <c r="B10" s="3">
        <v>2020</v>
      </c>
      <c r="C10" s="8">
        <f>((10253324+21112630+7882324+8357447+277524615+84632952+200000)+(3192256+38596420+9393804+10052963+230802027+66158709+202006))/2</f>
        <v>384180738.5</v>
      </c>
      <c r="D10" s="8">
        <v>18751209</v>
      </c>
      <c r="E10" s="7"/>
      <c r="F10" s="3"/>
      <c r="G10" s="7">
        <f>(416892+533944+344356)/277524615</f>
        <v>4.6669445879602431E-3</v>
      </c>
      <c r="H10" s="7">
        <v>0.161</v>
      </c>
      <c r="I10" s="7">
        <f t="shared" si="0"/>
        <v>6.2333927122763429E-3</v>
      </c>
      <c r="J10" s="7">
        <f t="shared" si="1"/>
        <v>2.2375520662741174E-2</v>
      </c>
      <c r="K10" s="7">
        <v>2.8654119461210428</v>
      </c>
      <c r="L10" s="7">
        <v>3.2209343665251402</v>
      </c>
      <c r="M10" s="7">
        <v>0.03</v>
      </c>
      <c r="N10" s="7">
        <v>0.01</v>
      </c>
      <c r="O10" s="7">
        <v>0.08</v>
      </c>
      <c r="P10" s="7">
        <v>0.06</v>
      </c>
      <c r="Q10" s="8">
        <v>7882324</v>
      </c>
      <c r="R10" s="8">
        <v>277524615</v>
      </c>
      <c r="S10" s="8">
        <v>2214248</v>
      </c>
      <c r="T10" s="8">
        <v>0</v>
      </c>
      <c r="U10" s="8">
        <v>8631154</v>
      </c>
      <c r="V10" s="8">
        <f>(439602933+V9)/2</f>
        <v>385740923.31054688</v>
      </c>
    </row>
    <row r="11" spans="1:22" x14ac:dyDescent="0.2">
      <c r="A11" s="3" t="s">
        <v>8</v>
      </c>
      <c r="B11" s="3">
        <v>2021</v>
      </c>
      <c r="C11" s="8">
        <f>((4908529+39450727+31064531+5074479+347341244+98092062+200000)+(10253324+21112630+7882324+8357447+277524615+84632952+200000))/2</f>
        <v>468047432</v>
      </c>
      <c r="D11" s="8">
        <v>26698613</v>
      </c>
      <c r="E11" s="7"/>
      <c r="F11" s="3"/>
      <c r="G11" s="7">
        <f>(678516+860243+755115)/347341244</f>
        <v>6.6040933509180387E-3</v>
      </c>
      <c r="H11" s="7">
        <v>0.15</v>
      </c>
      <c r="I11" s="7">
        <f t="shared" si="0"/>
        <v>8.2722770484216068E-3</v>
      </c>
      <c r="J11" s="7">
        <f t="shared" si="1"/>
        <v>2.3412776688792603E-2</v>
      </c>
      <c r="K11" s="7">
        <v>2.5615511423249444</v>
      </c>
      <c r="L11" s="7">
        <v>1.83471554810462</v>
      </c>
      <c r="M11" s="7">
        <v>0.03</v>
      </c>
      <c r="N11" s="7">
        <v>0.01</v>
      </c>
      <c r="O11" s="7">
        <v>0.08</v>
      </c>
      <c r="P11" s="7">
        <v>0.06</v>
      </c>
      <c r="Q11" s="8">
        <v>31064531</v>
      </c>
      <c r="R11" s="8">
        <v>347341244</v>
      </c>
      <c r="S11" s="8">
        <v>3735663</v>
      </c>
      <c r="T11" s="8">
        <v>0</v>
      </c>
      <c r="U11" s="8">
        <v>11173395</v>
      </c>
      <c r="V11" s="8">
        <f>(568728950+V10)/2</f>
        <v>477234936.65527344</v>
      </c>
    </row>
    <row r="12" spans="1:22" x14ac:dyDescent="0.2">
      <c r="A12" s="3" t="s">
        <v>8</v>
      </c>
      <c r="B12" s="3">
        <v>2022</v>
      </c>
      <c r="C12" s="8">
        <f>((11475590+69925143+13049711+961034+420523705+104031921)+(4908529+39450727+31064531+5074479+347341244+98092062+200000))/2</f>
        <v>573049338</v>
      </c>
      <c r="D12" s="8">
        <v>30289775</v>
      </c>
      <c r="E12" s="7"/>
      <c r="F12" s="3"/>
      <c r="G12" s="7">
        <f>(901592+1131087+999926)/420523705</f>
        <v>7.2114959607330583E-3</v>
      </c>
      <c r="H12" s="7">
        <v>0.152</v>
      </c>
      <c r="I12" s="7">
        <f t="shared" si="0"/>
        <v>9.7542638866890435E-2</v>
      </c>
      <c r="J12" s="7">
        <f t="shared" si="1"/>
        <v>2.2780563469350101E-2</v>
      </c>
      <c r="K12" s="7">
        <v>8.02</v>
      </c>
      <c r="L12" s="7">
        <v>3.1565074996311102</v>
      </c>
      <c r="M12" s="7">
        <v>0.03</v>
      </c>
      <c r="N12" s="7">
        <v>0.01</v>
      </c>
      <c r="O12" s="7">
        <v>0.08</v>
      </c>
      <c r="P12" s="7">
        <v>0.06</v>
      </c>
      <c r="Q12" s="8">
        <v>13049711</v>
      </c>
      <c r="R12" s="8">
        <v>420523705</v>
      </c>
      <c r="S12" s="8">
        <v>4771449</v>
      </c>
      <c r="T12" s="8">
        <v>101100</v>
      </c>
      <c r="U12" s="8">
        <v>13398018</v>
      </c>
      <c r="V12" s="8">
        <f>(699032544+V11)/2</f>
        <v>588133740.32763672</v>
      </c>
    </row>
    <row r="13" spans="1:22" x14ac:dyDescent="0.2">
      <c r="A13" s="28" t="s">
        <v>9</v>
      </c>
      <c r="B13" s="28">
        <v>2012</v>
      </c>
      <c r="C13" s="33">
        <f>((1372667+17317365+9498221+1366615+36903305+22263016)+(522364+22560512+400722+1925630+29183643+19018216))/2</f>
        <v>81166138</v>
      </c>
      <c r="D13" s="33">
        <v>2967161</v>
      </c>
      <c r="E13" s="32"/>
      <c r="F13" s="28"/>
      <c r="G13" s="32">
        <v>2.9000000000000001E-2</v>
      </c>
      <c r="H13" s="32">
        <v>0.125</v>
      </c>
      <c r="I13" s="32"/>
      <c r="J13" s="32"/>
      <c r="K13" s="32">
        <v>5.5045456198033094</v>
      </c>
      <c r="L13" s="32">
        <v>9.0947033955719299</v>
      </c>
      <c r="M13" s="32">
        <v>0.03</v>
      </c>
      <c r="N13" s="32">
        <v>0.01</v>
      </c>
      <c r="O13" s="32">
        <v>0.08</v>
      </c>
      <c r="P13" s="32">
        <v>0.06</v>
      </c>
      <c r="Q13" s="33">
        <v>9498221</v>
      </c>
      <c r="R13" s="33">
        <v>36903305</v>
      </c>
      <c r="S13" s="33">
        <v>380182</v>
      </c>
      <c r="T13" s="33">
        <v>54659</v>
      </c>
      <c r="U13" s="33">
        <v>1880776</v>
      </c>
      <c r="V13" s="33">
        <f>(102576275+82817947)/2</f>
        <v>92697111</v>
      </c>
    </row>
    <row r="14" spans="1:22" x14ac:dyDescent="0.2">
      <c r="A14" s="28" t="s">
        <v>9</v>
      </c>
      <c r="B14" s="28">
        <v>2013</v>
      </c>
      <c r="C14" s="33">
        <f>((1523596+3319183+8796925+8510340+52474123+28530794)+(1372667+17317365+9498221+1366615+36903305+22263016))/2</f>
        <v>95938075</v>
      </c>
      <c r="D14" s="33">
        <v>4082587</v>
      </c>
      <c r="E14" s="32"/>
      <c r="F14" s="28"/>
      <c r="G14" s="32">
        <f>(1.14+0.9+0.77)/100</f>
        <v>2.81E-2</v>
      </c>
      <c r="H14" s="32">
        <v>0.125</v>
      </c>
      <c r="I14" s="32"/>
      <c r="J14" s="32"/>
      <c r="K14" s="32">
        <v>5.553500244795103</v>
      </c>
      <c r="L14" s="32">
        <v>6.5926747589919099</v>
      </c>
      <c r="M14" s="32">
        <v>0.03</v>
      </c>
      <c r="N14" s="32">
        <v>0.01</v>
      </c>
      <c r="O14" s="32">
        <v>0.08</v>
      </c>
      <c r="P14" s="32">
        <v>0.06</v>
      </c>
      <c r="Q14" s="33">
        <f>8165004+631921</f>
        <v>8796925</v>
      </c>
      <c r="R14" s="33">
        <v>52474123</v>
      </c>
      <c r="S14" s="33">
        <v>604707</v>
      </c>
      <c r="T14" s="33">
        <v>60687</v>
      </c>
      <c r="U14" s="33">
        <v>2837862</v>
      </c>
      <c r="V14" s="33">
        <f>(121264370+V13)/2</f>
        <v>106980740.5</v>
      </c>
    </row>
    <row r="15" spans="1:22" x14ac:dyDescent="0.2">
      <c r="A15" s="28" t="s">
        <v>9</v>
      </c>
      <c r="B15" s="28">
        <v>2014</v>
      </c>
      <c r="C15" s="33">
        <f>((3701393+2300846+11630402+4260016+78378832+44189329+4022686)+(1523596+3319183+8796925+8510340+52474123+28530794))/2</f>
        <v>125819232.5</v>
      </c>
      <c r="D15" s="33">
        <v>5201087</v>
      </c>
      <c r="E15" s="32"/>
      <c r="F15" s="28"/>
      <c r="G15" s="32">
        <f>(0.98+0.9+0.66)/100</f>
        <v>2.5399999999999999E-2</v>
      </c>
      <c r="H15" s="32">
        <v>0.114</v>
      </c>
      <c r="I15" s="32"/>
      <c r="J15" s="32"/>
      <c r="K15" s="32">
        <v>6.4222466560102589</v>
      </c>
      <c r="L15" s="32">
        <v>4.0845544663762201</v>
      </c>
      <c r="M15" s="32">
        <v>0.03</v>
      </c>
      <c r="N15" s="32">
        <v>0.01</v>
      </c>
      <c r="O15" s="32">
        <v>0.08</v>
      </c>
      <c r="P15" s="32">
        <v>0.06</v>
      </c>
      <c r="Q15" s="33">
        <f>8086357+3544045</f>
        <v>11630402</v>
      </c>
      <c r="R15" s="33">
        <v>78378832</v>
      </c>
      <c r="S15" s="33">
        <v>1123140</v>
      </c>
      <c r="T15" s="33">
        <v>6451</v>
      </c>
      <c r="U15" s="33">
        <v>3682984</v>
      </c>
      <c r="V15" s="33">
        <f>(163241378+V14)/2</f>
        <v>135111059.25</v>
      </c>
    </row>
    <row r="16" spans="1:22" x14ac:dyDescent="0.2">
      <c r="A16" s="28" t="s">
        <v>9</v>
      </c>
      <c r="B16" s="28">
        <v>2015</v>
      </c>
      <c r="C16" s="33">
        <f>((2261499+8729745+5870661+2046735+116804247+43950621+4520639)+(3701393+2300846+11630402+4260016+78378832+44189329+4022686))/2</f>
        <v>166333825.5</v>
      </c>
      <c r="D16" s="33">
        <v>10353437</v>
      </c>
      <c r="E16" s="32"/>
      <c r="F16" s="28"/>
      <c r="G16" s="32">
        <f>(1268015+523016+1354014)/116804247</f>
        <v>2.6925776080727614E-2</v>
      </c>
      <c r="H16" s="32">
        <v>0.122</v>
      </c>
      <c r="I16" s="32"/>
      <c r="J16" s="32"/>
      <c r="K16" s="32">
        <v>6.9871667237754878</v>
      </c>
      <c r="L16" s="32">
        <v>0.63120090517571803</v>
      </c>
      <c r="M16" s="32">
        <v>0.03</v>
      </c>
      <c r="N16" s="32">
        <v>0.01</v>
      </c>
      <c r="O16" s="32">
        <v>0.08</v>
      </c>
      <c r="P16" s="32">
        <v>0.06</v>
      </c>
      <c r="Q16" s="33">
        <v>5870661</v>
      </c>
      <c r="R16" s="33">
        <v>116804247</v>
      </c>
      <c r="S16" s="33">
        <v>1741774</v>
      </c>
      <c r="T16" s="33">
        <v>731</v>
      </c>
      <c r="U16" s="33">
        <v>5692469</v>
      </c>
      <c r="V16" s="33">
        <f>(193876428+V15)/2</f>
        <v>164493743.625</v>
      </c>
    </row>
    <row r="17" spans="1:22" x14ac:dyDescent="0.2">
      <c r="A17" s="28" t="s">
        <v>9</v>
      </c>
      <c r="B17" s="28">
        <v>2016</v>
      </c>
      <c r="C17" s="33">
        <f>((2982589+4089175+5300460+2953769+144673213+51948658+4136200)+(2261499+8729745+5870661+2046735+116804247+43950621+4520639))/2</f>
        <v>200134105.5</v>
      </c>
      <c r="D17" s="33">
        <v>15167859</v>
      </c>
      <c r="E17" s="32"/>
      <c r="F17" s="28"/>
      <c r="G17" s="32">
        <f>(2335222+975528+896303)/144673213</f>
        <v>2.9079695631008071E-2</v>
      </c>
      <c r="H17" s="32">
        <v>9.5000000000000001E-2</v>
      </c>
      <c r="I17" s="32"/>
      <c r="J17" s="32"/>
      <c r="K17" s="32">
        <v>6.6900092133089402</v>
      </c>
      <c r="L17" s="32">
        <v>2.66824816969083</v>
      </c>
      <c r="M17" s="32">
        <v>0.03</v>
      </c>
      <c r="N17" s="32">
        <v>0.01</v>
      </c>
      <c r="O17" s="32">
        <v>0.08</v>
      </c>
      <c r="P17" s="32">
        <v>0.06</v>
      </c>
      <c r="Q17" s="33">
        <v>5300460</v>
      </c>
      <c r="R17" s="33">
        <v>144673213</v>
      </c>
      <c r="S17" s="33">
        <v>2089962</v>
      </c>
      <c r="T17" s="33">
        <v>731</v>
      </c>
      <c r="U17" s="33">
        <v>6621352</v>
      </c>
      <c r="V17" s="33">
        <f>(228770918+V16)/2</f>
        <v>196632330.8125</v>
      </c>
    </row>
    <row r="18" spans="1:22" x14ac:dyDescent="0.2">
      <c r="A18" s="28" t="s">
        <v>9</v>
      </c>
      <c r="B18" s="28">
        <v>2017</v>
      </c>
      <c r="C18" s="33">
        <f>((6460795+15218720+2302036+1424854+182666213+50384788+4151127)+(2982589+4089175+5300460+2953769+144673213+51948658+4136200))/2</f>
        <v>239346298.5</v>
      </c>
      <c r="D18" s="33">
        <v>20614426</v>
      </c>
      <c r="E18" s="32"/>
      <c r="F18" s="28"/>
      <c r="G18" s="32">
        <f>(3166441+1966441+1067140)/182666213</f>
        <v>3.3941810574460204E-2</v>
      </c>
      <c r="H18" s="32">
        <v>0.126</v>
      </c>
      <c r="I18" s="32"/>
      <c r="J18" s="32"/>
      <c r="K18" s="32">
        <v>6.9401877821904918</v>
      </c>
      <c r="L18" s="32">
        <v>3.5202568881161902</v>
      </c>
      <c r="M18" s="32">
        <v>0.03</v>
      </c>
      <c r="N18" s="32">
        <v>0.01</v>
      </c>
      <c r="O18" s="32">
        <v>0.08</v>
      </c>
      <c r="P18" s="32">
        <v>0.06</v>
      </c>
      <c r="Q18" s="33">
        <v>2302036</v>
      </c>
      <c r="R18" s="33">
        <v>182666213</v>
      </c>
      <c r="S18" s="33">
        <v>3147404</v>
      </c>
      <c r="T18" s="33">
        <v>731</v>
      </c>
      <c r="U18" s="33">
        <v>8894970</v>
      </c>
      <c r="V18" s="33">
        <f>(277752314+V17)/2</f>
        <v>237192322.40625</v>
      </c>
    </row>
    <row r="19" spans="1:22" x14ac:dyDescent="0.2">
      <c r="A19" s="28" t="s">
        <v>9</v>
      </c>
      <c r="B19" s="28">
        <v>2018</v>
      </c>
      <c r="C19" s="33">
        <f>((10828571+15337628+1233863+4240742+221961996+49417157+3564933)+(6460795+15218720+2302036+1424854+182666213+50384788+4151127))/2</f>
        <v>284596711.5</v>
      </c>
      <c r="D19" s="33">
        <v>24701575</v>
      </c>
      <c r="E19" s="32"/>
      <c r="F19" s="28"/>
      <c r="G19" s="32">
        <f>(4217034+1691989+1857242)/221961996</f>
        <v>3.4989165442538189E-2</v>
      </c>
      <c r="H19" s="32">
        <v>0.111</v>
      </c>
      <c r="I19" s="32"/>
      <c r="J19" s="32"/>
      <c r="K19" s="32">
        <v>7.4649912574460018</v>
      </c>
      <c r="L19" s="32">
        <v>3.53962805942641</v>
      </c>
      <c r="M19" s="32">
        <v>0.03</v>
      </c>
      <c r="N19" s="32">
        <v>0.01</v>
      </c>
      <c r="O19" s="32">
        <v>0.08</v>
      </c>
      <c r="P19" s="32">
        <v>0.06</v>
      </c>
      <c r="Q19" s="33">
        <v>1233863</v>
      </c>
      <c r="R19" s="33">
        <v>221961996</v>
      </c>
      <c r="S19" s="33">
        <f>3566773</f>
        <v>3566773</v>
      </c>
      <c r="T19" s="33">
        <v>0</v>
      </c>
      <c r="U19" s="33">
        <v>10633924</v>
      </c>
      <c r="V19" s="33">
        <f>(323291119+V18)/2</f>
        <v>280241720.703125</v>
      </c>
    </row>
    <row r="20" spans="1:22" x14ac:dyDescent="0.2">
      <c r="A20" s="28" t="s">
        <v>9</v>
      </c>
      <c r="B20" s="28">
        <v>2019</v>
      </c>
      <c r="C20" s="33">
        <f>((3454138+15482986+4614567+1571141+257183959+67786907+1094329)+(10828571+15337628+1233863+4240742+221961996+49417157+3564933))/2</f>
        <v>328886458.5</v>
      </c>
      <c r="D20" s="33">
        <v>30670461</v>
      </c>
      <c r="E20" s="32"/>
      <c r="F20" s="28"/>
      <c r="G20" s="32">
        <f>(5447770+1311426+2038348)/257183959</f>
        <v>3.4207203412713619E-2</v>
      </c>
      <c r="H20" s="32">
        <v>0.111</v>
      </c>
      <c r="I20" s="32"/>
      <c r="J20" s="32"/>
      <c r="K20" s="32">
        <v>7.3592809998546045</v>
      </c>
      <c r="L20" s="32">
        <v>2.7958236745224401</v>
      </c>
      <c r="M20" s="32">
        <v>0.03</v>
      </c>
      <c r="N20" s="32">
        <v>0.01</v>
      </c>
      <c r="O20" s="32">
        <v>0.08</v>
      </c>
      <c r="P20" s="32">
        <v>0.06</v>
      </c>
      <c r="Q20" s="33">
        <v>4614567</v>
      </c>
      <c r="R20" s="33">
        <v>257183959</v>
      </c>
      <c r="S20" s="33">
        <v>4084094</v>
      </c>
      <c r="T20" s="33">
        <v>0</v>
      </c>
      <c r="U20" s="33">
        <v>12343718</v>
      </c>
      <c r="V20" s="33">
        <f>(377204126+V19)/2</f>
        <v>328722923.3515625</v>
      </c>
    </row>
    <row r="21" spans="1:22" x14ac:dyDescent="0.2">
      <c r="A21" s="28" t="s">
        <v>9</v>
      </c>
      <c r="B21" s="28">
        <v>2020</v>
      </c>
      <c r="C21" s="33">
        <f>((5779610+13829025+5725783+493214+290816086+75959904+854344)+(3454138+15482986+4614567+1571141+257183959+67786907+1094329))/2</f>
        <v>372322996.5</v>
      </c>
      <c r="D21" s="33">
        <v>32345823</v>
      </c>
      <c r="E21" s="32"/>
      <c r="F21" s="28"/>
      <c r="G21" s="32">
        <f>(6024814+1823719+2075655)/290816086</f>
        <v>3.4125306259709443E-2</v>
      </c>
      <c r="H21" s="32">
        <v>0.11700000000000001</v>
      </c>
      <c r="I21" s="32"/>
      <c r="J21" s="32"/>
      <c r="K21" s="32">
        <v>2.8654119461210428</v>
      </c>
      <c r="L21" s="32">
        <v>3.2209343665251402</v>
      </c>
      <c r="M21" s="32">
        <v>0.03</v>
      </c>
      <c r="N21" s="32">
        <v>0.01</v>
      </c>
      <c r="O21" s="32">
        <v>0.08</v>
      </c>
      <c r="P21" s="32">
        <v>0.06</v>
      </c>
      <c r="Q21" s="33">
        <v>5725783</v>
      </c>
      <c r="R21" s="33">
        <v>290816086</v>
      </c>
      <c r="S21" s="33">
        <v>4496684</v>
      </c>
      <c r="T21" s="33">
        <v>0</v>
      </c>
      <c r="U21" s="33">
        <v>11392021</v>
      </c>
      <c r="V21" s="33">
        <f>(419026527+V20)/2</f>
        <v>373874725.17578125</v>
      </c>
    </row>
    <row r="22" spans="1:22" x14ac:dyDescent="0.2">
      <c r="A22" s="28" t="s">
        <v>9</v>
      </c>
      <c r="B22" s="28">
        <v>2021</v>
      </c>
      <c r="C22" s="33">
        <f>((10860730+40329730+16858044+7005061+355281219+75313521+722934)+(5779610+13829025+5725783+493214+290816086+75959904+854344))/2</f>
        <v>449914602.5</v>
      </c>
      <c r="D22" s="33">
        <v>34348829</v>
      </c>
      <c r="E22" s="32"/>
      <c r="F22" s="28"/>
      <c r="G22" s="32">
        <f>(6662218+7535242+2046703)/355281219</f>
        <v>4.5721986221849795E-2</v>
      </c>
      <c r="H22" s="32">
        <v>0.14299999999999999</v>
      </c>
      <c r="I22" s="32"/>
      <c r="J22" s="32"/>
      <c r="K22" s="32">
        <v>2.5615511423249444</v>
      </c>
      <c r="L22" s="32">
        <v>1.83471554810462</v>
      </c>
      <c r="M22" s="32">
        <v>0.03</v>
      </c>
      <c r="N22" s="32">
        <v>0.01</v>
      </c>
      <c r="O22" s="32">
        <v>0.08</v>
      </c>
      <c r="P22" s="32">
        <v>0.06</v>
      </c>
      <c r="Q22" s="33">
        <v>16858044</v>
      </c>
      <c r="R22" s="33">
        <v>355281219</v>
      </c>
      <c r="S22" s="33">
        <v>9890937</v>
      </c>
      <c r="T22" s="33">
        <v>83146</v>
      </c>
      <c r="U22" s="33">
        <v>10718937</v>
      </c>
      <c r="V22" s="33">
        <f>(547409439+V21)/2</f>
        <v>460642082.08789062</v>
      </c>
    </row>
    <row r="23" spans="1:22" x14ac:dyDescent="0.2">
      <c r="A23" s="28" t="s">
        <v>9</v>
      </c>
      <c r="B23" s="28">
        <v>2022</v>
      </c>
      <c r="C23" s="33">
        <f>((9935379+40771879+7193614+7850639+438338047+82718218+610279)+(10860730+40329730+16858044+7005061+355281219+75313521+722934))/2</f>
        <v>546894647</v>
      </c>
      <c r="D23" s="33">
        <v>41021058</v>
      </c>
      <c r="E23" s="32"/>
      <c r="F23" s="28"/>
      <c r="G23" s="32">
        <f>(7945484+10031492+7160158)/438338047</f>
        <v>5.734645708269992E-2</v>
      </c>
      <c r="H23" s="32">
        <v>0.15</v>
      </c>
      <c r="I23" s="32"/>
      <c r="J23" s="32"/>
      <c r="K23" s="32">
        <v>8.02</v>
      </c>
      <c r="L23" s="32">
        <v>3.1565074996311102</v>
      </c>
      <c r="M23" s="32">
        <v>0.03</v>
      </c>
      <c r="N23" s="32">
        <v>0.01</v>
      </c>
      <c r="O23" s="32">
        <v>0.08</v>
      </c>
      <c r="P23" s="32">
        <v>0.06</v>
      </c>
      <c r="Q23" s="33">
        <v>7193614</v>
      </c>
      <c r="R23" s="33">
        <v>438338047</v>
      </c>
      <c r="S23" s="33">
        <v>13675665</v>
      </c>
      <c r="T23" s="33">
        <v>0</v>
      </c>
      <c r="U23" s="33">
        <v>14115731</v>
      </c>
      <c r="V23" s="33">
        <f>(631012886+V22)/2</f>
        <v>545827484.04394531</v>
      </c>
    </row>
    <row r="24" spans="1:22" x14ac:dyDescent="0.2">
      <c r="A24" s="64" t="s">
        <v>10</v>
      </c>
      <c r="B24" s="65">
        <v>2012</v>
      </c>
      <c r="C24" s="66">
        <f>((5554977+20328299+1673230+1246566+102814848+4536769+20096357)+(5075817+80224260+1285250+1048787+102809156+329006+25569278))/2</f>
        <v>186296300</v>
      </c>
      <c r="D24" s="67">
        <v>6870928</v>
      </c>
      <c r="E24" s="68"/>
      <c r="F24" s="64"/>
      <c r="G24" s="69">
        <f>(747218+673361+1150391)/102814848</f>
        <v>2.5005824061520764E-2</v>
      </c>
      <c r="H24" s="69">
        <v>0.13500000000000001</v>
      </c>
      <c r="I24" s="69"/>
      <c r="J24" s="69"/>
      <c r="K24" s="69">
        <v>5.5045456198033094</v>
      </c>
      <c r="L24" s="69">
        <v>9.0947033955719299</v>
      </c>
      <c r="M24" s="69">
        <v>0.03</v>
      </c>
      <c r="N24" s="69">
        <v>0.01</v>
      </c>
      <c r="O24" s="69">
        <v>0.08</v>
      </c>
      <c r="P24" s="69">
        <v>0.06</v>
      </c>
      <c r="Q24" s="66">
        <v>1673230</v>
      </c>
      <c r="R24" s="66">
        <f>102814848</f>
        <v>102814848</v>
      </c>
      <c r="S24" s="66">
        <v>1502082</v>
      </c>
      <c r="T24" s="66">
        <v>15534</v>
      </c>
      <c r="U24" s="66">
        <v>4270661</v>
      </c>
      <c r="V24" s="67">
        <f>(176307607+281019319)/2</f>
        <v>228663463</v>
      </c>
    </row>
    <row r="25" spans="1:22" x14ac:dyDescent="0.2">
      <c r="A25" s="64" t="s">
        <v>10</v>
      </c>
      <c r="B25" s="65">
        <v>2013</v>
      </c>
      <c r="C25" s="67">
        <f>((3065322+5624520+1985143+1078309+107190021+7232001+26502417)+(5554977+20328299+1673230+1246566+102814848+4536769+20096357))/2</f>
        <v>154464389.5</v>
      </c>
      <c r="D25" s="67">
        <v>4386413</v>
      </c>
      <c r="E25" s="68"/>
      <c r="F25" s="64"/>
      <c r="G25" s="69">
        <f>(656978+463358+2122533)/107190021</f>
        <v>3.0253459881307423E-2</v>
      </c>
      <c r="H25" s="69">
        <v>0.14699999999999999</v>
      </c>
      <c r="I25" s="69"/>
      <c r="J25" s="69"/>
      <c r="K25" s="69">
        <v>5.553500244795103</v>
      </c>
      <c r="L25" s="69">
        <v>6.5926747589919099</v>
      </c>
      <c r="M25" s="69">
        <v>0.03</v>
      </c>
      <c r="N25" s="69">
        <v>0.01</v>
      </c>
      <c r="O25" s="69">
        <v>0.08</v>
      </c>
      <c r="P25" s="69">
        <v>0.06</v>
      </c>
      <c r="Q25" s="66">
        <v>7609663</v>
      </c>
      <c r="R25" s="66">
        <v>107190021</v>
      </c>
      <c r="S25" s="66">
        <v>1547983</v>
      </c>
      <c r="T25" s="66">
        <v>394144</v>
      </c>
      <c r="U25" s="66">
        <v>3759397</v>
      </c>
      <c r="V25" s="66">
        <f>(166598989+V24)/2</f>
        <v>197631226</v>
      </c>
    </row>
    <row r="26" spans="1:22" x14ac:dyDescent="0.2">
      <c r="A26" s="64" t="s">
        <v>10</v>
      </c>
      <c r="B26" s="65">
        <v>2014</v>
      </c>
      <c r="C26" s="67">
        <f>((3357730+3882060+1380900+1108232+116324055+23683261+16386318)+(3065322+5624520+1985143+1078309+107190021+7232001+26502417))/2</f>
        <v>159400144.5</v>
      </c>
      <c r="D26" s="67">
        <v>4765633</v>
      </c>
      <c r="E26" s="68"/>
      <c r="F26" s="64"/>
      <c r="G26" s="69">
        <f>(293035+444308+1795905)/116324055</f>
        <v>2.1777507670275077E-2</v>
      </c>
      <c r="H26" s="69">
        <v>0.14099999999999999</v>
      </c>
      <c r="I26" s="69"/>
      <c r="J26" s="69"/>
      <c r="K26" s="69">
        <v>6.4222466560102589</v>
      </c>
      <c r="L26" s="69">
        <v>4.0845544663762201</v>
      </c>
      <c r="M26" s="69">
        <v>0.03</v>
      </c>
      <c r="N26" s="69">
        <v>0.01</v>
      </c>
      <c r="O26" s="69">
        <v>0.08</v>
      </c>
      <c r="P26" s="69">
        <v>0.06</v>
      </c>
      <c r="Q26" s="66">
        <v>5262960</v>
      </c>
      <c r="R26" s="66">
        <v>116324055</v>
      </c>
      <c r="S26" s="66">
        <v>1578804</v>
      </c>
      <c r="T26" s="66">
        <v>703953</v>
      </c>
      <c r="U26" s="66">
        <v>3863607</v>
      </c>
      <c r="V26" s="66">
        <f>(179609771+V25)/2</f>
        <v>188620498.5</v>
      </c>
    </row>
    <row r="27" spans="1:22" x14ac:dyDescent="0.2">
      <c r="A27" s="64" t="s">
        <v>10</v>
      </c>
      <c r="B27" s="65">
        <v>2015</v>
      </c>
      <c r="C27" s="67">
        <f>((4608680+5971691+4350650+103034+134031804+11941248+28821509)+(3357730+3882060+1380900+1108232+116324055+23683261+16386318))/2</f>
        <v>177975586</v>
      </c>
      <c r="D27" s="67">
        <v>5883527</v>
      </c>
      <c r="E27" s="68"/>
      <c r="F27" s="64"/>
      <c r="G27" s="69">
        <f>(174499+530241+1065953)/134031804</f>
        <v>1.3210991325611047E-2</v>
      </c>
      <c r="H27" s="69">
        <v>0.128</v>
      </c>
      <c r="I27" s="69"/>
      <c r="J27" s="69"/>
      <c r="K27" s="69">
        <v>6.9871667237754878</v>
      </c>
      <c r="L27" s="69">
        <v>0.63120090517571803</v>
      </c>
      <c r="M27" s="69">
        <v>0.03</v>
      </c>
      <c r="N27" s="69">
        <v>0.01</v>
      </c>
      <c r="O27" s="69">
        <v>0.08</v>
      </c>
      <c r="P27" s="69">
        <v>0.06</v>
      </c>
      <c r="Q27" s="66">
        <v>4350650</v>
      </c>
      <c r="R27" s="66">
        <f>134031804</f>
        <v>134031804</v>
      </c>
      <c r="S27" s="66">
        <v>1540817</v>
      </c>
      <c r="T27" s="66">
        <v>0</v>
      </c>
      <c r="U27" s="66">
        <v>4021683</v>
      </c>
      <c r="V27" s="66">
        <f>(201456985+V26)/2</f>
        <v>195038741.75</v>
      </c>
    </row>
    <row r="28" spans="1:22" x14ac:dyDescent="0.2">
      <c r="A28" s="64" t="s">
        <v>10</v>
      </c>
      <c r="B28" s="65">
        <v>2016</v>
      </c>
      <c r="C28" s="67">
        <f>((5119306+6443182+1880725+1211314+163401221+10962613+34824159)+(4608680+5971691+4350650+103034+134031804+11941248+28821509))/2</f>
        <v>206835568</v>
      </c>
      <c r="D28" s="67">
        <v>6891889</v>
      </c>
      <c r="E28" s="68"/>
      <c r="F28" s="64"/>
      <c r="G28" s="69">
        <f>(193836+180518+1046193)/163401221</f>
        <v>8.6936131278970066E-3</v>
      </c>
      <c r="H28" s="69">
        <v>0.13200000000000001</v>
      </c>
      <c r="I28" s="69"/>
      <c r="J28" s="69"/>
      <c r="K28" s="69">
        <v>6.6900092133089402</v>
      </c>
      <c r="L28" s="69">
        <v>2.66824816969083</v>
      </c>
      <c r="M28" s="69">
        <v>0.03</v>
      </c>
      <c r="N28" s="69">
        <v>0.01</v>
      </c>
      <c r="O28" s="69">
        <v>0.08</v>
      </c>
      <c r="P28" s="69">
        <v>0.06</v>
      </c>
      <c r="Q28" s="66">
        <v>1880725</v>
      </c>
      <c r="R28" s="66">
        <v>163401221</v>
      </c>
      <c r="S28" s="66">
        <v>1796795</v>
      </c>
      <c r="T28" s="66">
        <v>0</v>
      </c>
      <c r="U28" s="66">
        <v>4677889</v>
      </c>
      <c r="V28" s="66">
        <f>(233680877+V27)/2</f>
        <v>214359809.375</v>
      </c>
    </row>
    <row r="29" spans="1:22" x14ac:dyDescent="0.2">
      <c r="A29" s="64" t="s">
        <v>10</v>
      </c>
      <c r="B29" s="65">
        <v>2017</v>
      </c>
      <c r="C29" s="67">
        <f>((8314574+5932369+3163119+1239991+198513394+8007491+45151482)+(5119306+6443182+1880725+1211314+163401221+10962613+34824159))/2</f>
        <v>247082470</v>
      </c>
      <c r="D29" s="67">
        <v>8457754</v>
      </c>
      <c r="E29" s="68"/>
      <c r="F29" s="64"/>
      <c r="G29" s="69">
        <f>(325864+275371+788384)/198513394</f>
        <v>7.0001271551480299E-3</v>
      </c>
      <c r="H29" s="69">
        <v>0.115</v>
      </c>
      <c r="I29" s="69"/>
      <c r="J29" s="69"/>
      <c r="K29" s="69">
        <v>6.9401877821904918</v>
      </c>
      <c r="L29" s="69">
        <v>3.5202568881161902</v>
      </c>
      <c r="M29" s="69">
        <v>0.03</v>
      </c>
      <c r="N29" s="69">
        <v>0.01</v>
      </c>
      <c r="O29" s="69">
        <v>0.08</v>
      </c>
      <c r="P29" s="69">
        <v>0.06</v>
      </c>
      <c r="Q29" s="66">
        <v>3163119</v>
      </c>
      <c r="R29" s="66">
        <v>198513394</v>
      </c>
      <c r="S29" s="66">
        <v>1844638</v>
      </c>
      <c r="T29" s="66">
        <v>0</v>
      </c>
      <c r="U29" s="66">
        <v>6217359</v>
      </c>
      <c r="V29" s="66">
        <f>(284316123+V28)/2</f>
        <v>249337966.1875</v>
      </c>
    </row>
    <row r="30" spans="1:22" x14ac:dyDescent="0.2">
      <c r="A30" s="64" t="s">
        <v>10</v>
      </c>
      <c r="B30" s="65">
        <v>2018</v>
      </c>
      <c r="C30" s="67">
        <f>((10683536+12983626+5926542+1339157+230527220+8201643+45635016)+(8314574+5932369+3163119+1239991+198513394+8007491+45151482))/2</f>
        <v>292809580</v>
      </c>
      <c r="D30" s="67">
        <v>10362920</v>
      </c>
      <c r="E30" s="68"/>
      <c r="F30" s="64"/>
      <c r="G30" s="69">
        <f>(172866+338018+1164094)/230527220</f>
        <v>7.2658578019550142E-3</v>
      </c>
      <c r="H30" s="69">
        <v>0.128</v>
      </c>
      <c r="I30" s="69"/>
      <c r="J30" s="69"/>
      <c r="K30" s="69">
        <v>7.4649912574460018</v>
      </c>
      <c r="L30" s="69">
        <v>3.53962805942641</v>
      </c>
      <c r="M30" s="69">
        <v>0.03</v>
      </c>
      <c r="N30" s="69">
        <v>0.01</v>
      </c>
      <c r="O30" s="69">
        <v>0.08</v>
      </c>
      <c r="P30" s="69">
        <v>0.06</v>
      </c>
      <c r="Q30" s="66">
        <v>5926542</v>
      </c>
      <c r="R30" s="66">
        <v>230527220</v>
      </c>
      <c r="S30" s="66">
        <v>2544172</v>
      </c>
      <c r="T30" s="66">
        <v>0</v>
      </c>
      <c r="U30" s="66">
        <v>6712217</v>
      </c>
      <c r="V30" s="67">
        <f>(329333241+V29)/2</f>
        <v>289335603.59375</v>
      </c>
    </row>
    <row r="31" spans="1:22" x14ac:dyDescent="0.2">
      <c r="A31" s="64" t="s">
        <v>10</v>
      </c>
      <c r="B31" s="65">
        <v>2019</v>
      </c>
      <c r="C31" s="67">
        <f>((10420306+19390796+11051317+3145903+268700541+10601503+45821522)+(10683536+12983626+5926542+1339157+230527220+8201643+45635016))/2</f>
        <v>342214314</v>
      </c>
      <c r="D31" s="67">
        <v>12112160</v>
      </c>
      <c r="E31" s="68"/>
      <c r="F31" s="64"/>
      <c r="G31" s="69">
        <f>(235338+310859+903155)/268700541</f>
        <v>5.3939303382347864E-3</v>
      </c>
      <c r="H31" s="69">
        <v>0.109</v>
      </c>
      <c r="I31" s="69"/>
      <c r="J31" s="69"/>
      <c r="K31" s="69">
        <v>7.3592809998546045</v>
      </c>
      <c r="L31" s="69">
        <v>2.7958236745224401</v>
      </c>
      <c r="M31" s="69">
        <v>0.03</v>
      </c>
      <c r="N31" s="69">
        <v>0.01</v>
      </c>
      <c r="O31" s="69">
        <v>0.08</v>
      </c>
      <c r="P31" s="69">
        <v>0.06</v>
      </c>
      <c r="Q31" s="66">
        <v>11051317</v>
      </c>
      <c r="R31" s="66">
        <v>268700541</v>
      </c>
      <c r="S31" s="66">
        <v>2535689</v>
      </c>
      <c r="T31" s="66">
        <v>0</v>
      </c>
      <c r="U31" s="66">
        <v>8307596</v>
      </c>
      <c r="V31" s="66">
        <f>(383514439+V30)/2</f>
        <v>336425021.296875</v>
      </c>
    </row>
    <row r="32" spans="1:22" x14ac:dyDescent="0.2">
      <c r="A32" s="64" t="s">
        <v>10</v>
      </c>
      <c r="B32" s="65">
        <v>2020</v>
      </c>
      <c r="C32" s="67">
        <f>((16616798+23311116+8360129+6285763+308528625+10790432+53048264)+(10420306+19390796+11051317+3145903+268700541+10601503+45821522))/2</f>
        <v>398036507.5</v>
      </c>
      <c r="D32" s="67">
        <v>14582123</v>
      </c>
      <c r="E32" s="68"/>
      <c r="F32" s="64"/>
      <c r="G32" s="69">
        <f>(212494+411284+1216606)/311478989</f>
        <v>5.9085333682009607E-3</v>
      </c>
      <c r="H32" s="69">
        <v>0.111</v>
      </c>
      <c r="I32" s="69"/>
      <c r="J32" s="69"/>
      <c r="K32" s="69">
        <v>2.8654119461210428</v>
      </c>
      <c r="L32" s="69">
        <v>3.2209343665251402</v>
      </c>
      <c r="M32" s="69">
        <v>0.03</v>
      </c>
      <c r="N32" s="69">
        <v>0.01</v>
      </c>
      <c r="O32" s="69">
        <v>0.08</v>
      </c>
      <c r="P32" s="69">
        <v>0.06</v>
      </c>
      <c r="Q32" s="66">
        <v>8360129</v>
      </c>
      <c r="R32" s="66">
        <f>311478989</f>
        <v>311478989</v>
      </c>
      <c r="S32" s="66">
        <v>2950364</v>
      </c>
      <c r="T32" s="66">
        <v>0</v>
      </c>
      <c r="U32" s="66">
        <v>7624268</v>
      </c>
      <c r="V32" s="66">
        <f>(444530104+V31)/2</f>
        <v>390477562.6484375</v>
      </c>
    </row>
    <row r="33" spans="1:22" x14ac:dyDescent="0.2">
      <c r="A33" s="64" t="s">
        <v>10</v>
      </c>
      <c r="B33" s="65">
        <v>2021</v>
      </c>
      <c r="C33" s="67">
        <f>((32349574+43713230+6105546+11325371+361912538+9739539+49743071)+(16616798+23311116+8360129+6285763+308528625+10790432+53048264))/2</f>
        <v>470914998</v>
      </c>
      <c r="D33" s="67">
        <v>18944792</v>
      </c>
      <c r="E33" s="68"/>
      <c r="F33" s="64"/>
      <c r="G33" s="69">
        <f>(537788+882155+1379421)/361912538</f>
        <v>7.7349185399042458E-3</v>
      </c>
      <c r="H33" s="69">
        <v>0.112</v>
      </c>
      <c r="I33" s="69"/>
      <c r="J33" s="69"/>
      <c r="K33" s="69">
        <v>2.5615511423249444</v>
      </c>
      <c r="L33" s="69">
        <v>1.83471554810462</v>
      </c>
      <c r="M33" s="69">
        <v>0.03</v>
      </c>
      <c r="N33" s="69">
        <v>0.01</v>
      </c>
      <c r="O33" s="69">
        <v>0.08</v>
      </c>
      <c r="P33" s="69">
        <v>0.06</v>
      </c>
      <c r="Q33" s="67">
        <v>6105546</v>
      </c>
      <c r="R33" s="66">
        <v>361912538</v>
      </c>
      <c r="S33" s="66">
        <v>5861588</v>
      </c>
      <c r="T33" s="66">
        <v>0</v>
      </c>
      <c r="U33" s="66">
        <v>8229776</v>
      </c>
      <c r="V33" s="66">
        <f>(527769944+V32)/2</f>
        <v>459123753.32421875</v>
      </c>
    </row>
    <row r="34" spans="1:22" x14ac:dyDescent="0.2">
      <c r="A34" s="64" t="s">
        <v>10</v>
      </c>
      <c r="B34" s="65">
        <v>2022</v>
      </c>
      <c r="C34" s="67">
        <f>((13657531+82338762+3682551+1320941+413706244+31854915+43679879)+(32349574+43713230+6105546+11325371+361912538+9739539+49743071))/2</f>
        <v>552564846</v>
      </c>
      <c r="D34" s="66">
        <v>23533529</v>
      </c>
      <c r="E34" s="68"/>
      <c r="F34" s="64"/>
      <c r="G34" s="69">
        <f>(442270+437272+2165373)/413706244</f>
        <v>7.3600895421824962E-3</v>
      </c>
      <c r="H34" s="69">
        <v>0.122</v>
      </c>
      <c r="I34" s="69"/>
      <c r="J34" s="69"/>
      <c r="K34" s="69">
        <v>8.02</v>
      </c>
      <c r="L34" s="69">
        <v>3.1565074996311102</v>
      </c>
      <c r="M34" s="69">
        <v>0.03</v>
      </c>
      <c r="N34" s="69">
        <v>0.01</v>
      </c>
      <c r="O34" s="69">
        <v>0.08</v>
      </c>
      <c r="P34" s="69">
        <v>0.06</v>
      </c>
      <c r="Q34" s="66">
        <v>3682551</v>
      </c>
      <c r="R34" s="66">
        <v>413706244</v>
      </c>
      <c r="S34" s="66">
        <v>4849736</v>
      </c>
      <c r="T34" s="66">
        <v>50000</v>
      </c>
      <c r="U34" s="66">
        <v>11605045</v>
      </c>
      <c r="V34" s="66">
        <f>(607875185+V33)/2</f>
        <v>533499469.16210938</v>
      </c>
    </row>
    <row r="35" spans="1:22" x14ac:dyDescent="0.2">
      <c r="A35" s="46" t="s">
        <v>11</v>
      </c>
      <c r="B35" s="47">
        <v>2012</v>
      </c>
      <c r="C35" s="48">
        <f>((364312+1894442+515000+34328+6083030+5540302+200000)+(65163+8165865+619484+41049+3664470+8622007))/2</f>
        <v>17904726</v>
      </c>
      <c r="D35" s="48">
        <v>274617</v>
      </c>
      <c r="E35" s="49"/>
      <c r="F35" s="46"/>
      <c r="G35" s="50">
        <f>(31954+104370+86466)/6083030</f>
        <v>3.6624839923524957E-2</v>
      </c>
      <c r="H35" s="50">
        <f>AVERAGE(H36:H45)</f>
        <v>0.12519999999999998</v>
      </c>
      <c r="I35" s="50"/>
      <c r="J35" s="50"/>
      <c r="K35" s="50">
        <v>5.5045456198033094</v>
      </c>
      <c r="L35" s="50">
        <v>9.0947033955719299</v>
      </c>
      <c r="M35" s="50">
        <v>0.03</v>
      </c>
      <c r="N35" s="50">
        <v>0.01</v>
      </c>
      <c r="O35" s="50">
        <v>0.08</v>
      </c>
      <c r="P35" s="50">
        <v>0.06</v>
      </c>
      <c r="Q35" s="51">
        <v>515000</v>
      </c>
      <c r="R35" s="51">
        <v>6083030</v>
      </c>
      <c r="S35" s="51">
        <v>92672</v>
      </c>
      <c r="T35" s="51">
        <f>157500+3862</f>
        <v>161362</v>
      </c>
      <c r="U35" s="51">
        <v>325551</v>
      </c>
      <c r="V35" s="51">
        <f>(15120369+24885252)/2</f>
        <v>20002810.5</v>
      </c>
    </row>
    <row r="36" spans="1:22" x14ac:dyDescent="0.2">
      <c r="A36" s="46" t="s">
        <v>11</v>
      </c>
      <c r="B36" s="47">
        <v>2013</v>
      </c>
      <c r="C36" s="48">
        <f>((226461+4709214+1330160+212816+11925991+11776267+437603)+(364312+1894442+515000+34328+6083030+5540302+200000))/2</f>
        <v>22624963</v>
      </c>
      <c r="D36" s="48">
        <v>610578</v>
      </c>
      <c r="E36" s="49"/>
      <c r="F36" s="46"/>
      <c r="G36" s="50">
        <v>0.02</v>
      </c>
      <c r="H36" s="50">
        <v>0.19800000000000001</v>
      </c>
      <c r="I36" s="50"/>
      <c r="J36" s="50"/>
      <c r="K36" s="50">
        <v>5.553500244795103</v>
      </c>
      <c r="L36" s="50">
        <v>6.5926747589919099</v>
      </c>
      <c r="M36" s="50">
        <v>0.03</v>
      </c>
      <c r="N36" s="50">
        <v>0.01</v>
      </c>
      <c r="O36" s="50">
        <v>0.08</v>
      </c>
      <c r="P36" s="50">
        <v>0.06</v>
      </c>
      <c r="Q36" s="51">
        <v>1330160</v>
      </c>
      <c r="R36" s="51">
        <v>11925991</v>
      </c>
      <c r="S36" s="51">
        <v>116942</v>
      </c>
      <c r="T36" s="51">
        <v>189717</v>
      </c>
      <c r="U36" s="51">
        <v>423135</v>
      </c>
      <c r="V36" s="51">
        <f>(32088038+V35)/2</f>
        <v>26045424.25</v>
      </c>
    </row>
    <row r="37" spans="1:22" x14ac:dyDescent="0.2">
      <c r="A37" s="46" t="s">
        <v>11</v>
      </c>
      <c r="B37" s="47">
        <v>2014</v>
      </c>
      <c r="C37" s="48">
        <f>((5048039+9308205+1599120+145167+19838991+13710686+509486)+(226461+4709214+1330160+212816+11925991+11776267+437603))/2</f>
        <v>40389103</v>
      </c>
      <c r="D37" s="48">
        <v>979171</v>
      </c>
      <c r="E37" s="49"/>
      <c r="F37" s="46"/>
      <c r="G37" s="50">
        <v>1.9E-2</v>
      </c>
      <c r="H37" s="50">
        <v>0.15</v>
      </c>
      <c r="I37" s="50"/>
      <c r="J37" s="50"/>
      <c r="K37" s="50">
        <v>6.4222466560102589</v>
      </c>
      <c r="L37" s="50">
        <v>4.0845544663762201</v>
      </c>
      <c r="M37" s="50">
        <v>0.03</v>
      </c>
      <c r="N37" s="50">
        <v>0.01</v>
      </c>
      <c r="O37" s="50">
        <v>0.08</v>
      </c>
      <c r="P37" s="50">
        <v>0.06</v>
      </c>
      <c r="Q37" s="51">
        <v>1599120</v>
      </c>
      <c r="R37" s="51">
        <v>19838991</v>
      </c>
      <c r="S37" s="51">
        <v>199158</v>
      </c>
      <c r="T37" s="51">
        <v>18395</v>
      </c>
      <c r="U37" s="51">
        <v>665222</v>
      </c>
      <c r="V37" s="51">
        <f>(51477555+V36)/2</f>
        <v>38761489.625</v>
      </c>
    </row>
    <row r="38" spans="1:22" x14ac:dyDescent="0.2">
      <c r="A38" s="46" t="s">
        <v>11</v>
      </c>
      <c r="B38" s="47">
        <v>2015</v>
      </c>
      <c r="C38" s="48">
        <f>((1227426+17809208+2480910+28240322+21165710+604132)+(5048039+9308205+1599120+145167+19838991+13710686+509486))/2</f>
        <v>60843701</v>
      </c>
      <c r="D38" s="48">
        <v>1402919</v>
      </c>
      <c r="E38" s="49"/>
      <c r="F38" s="46"/>
      <c r="G38" s="50">
        <v>6.0000000000000001E-3</v>
      </c>
      <c r="H38" s="50">
        <v>0.121</v>
      </c>
      <c r="I38" s="50"/>
      <c r="J38" s="50"/>
      <c r="K38" s="50">
        <v>6.9871667237754878</v>
      </c>
      <c r="L38" s="50">
        <v>0.63120090517571803</v>
      </c>
      <c r="M38" s="50">
        <v>0.03</v>
      </c>
      <c r="N38" s="50">
        <v>0.01</v>
      </c>
      <c r="O38" s="50">
        <v>0.08</v>
      </c>
      <c r="P38" s="50">
        <v>0.06</v>
      </c>
      <c r="Q38" s="51">
        <v>2480910</v>
      </c>
      <c r="R38" s="51">
        <v>28240322</v>
      </c>
      <c r="S38" s="51">
        <v>262658</v>
      </c>
      <c r="T38" s="51">
        <v>0</v>
      </c>
      <c r="U38" s="51">
        <v>794793</v>
      </c>
      <c r="V38" s="51">
        <f>(76220834+V37)/2</f>
        <v>57491161.8125</v>
      </c>
    </row>
    <row r="39" spans="1:22" x14ac:dyDescent="0.2">
      <c r="A39" s="46" t="s">
        <v>11</v>
      </c>
      <c r="B39" s="47">
        <v>2016</v>
      </c>
      <c r="C39" s="48">
        <f>((1362317+19237389+4547272+46642977+29175883+1019638)+(1227426+17809208+2480910+28240322+21165710+604132))/2</f>
        <v>86756592</v>
      </c>
      <c r="D39" s="48">
        <v>2120825</v>
      </c>
      <c r="E39" s="49"/>
      <c r="F39" s="46"/>
      <c r="G39" s="50">
        <f>(81831+79322+169905+18815)/46642977</f>
        <v>7.5010863907764725E-3</v>
      </c>
      <c r="H39" s="50">
        <v>9.2999999999999999E-2</v>
      </c>
      <c r="I39" s="50"/>
      <c r="J39" s="50"/>
      <c r="K39" s="50">
        <v>6.6900092133089402</v>
      </c>
      <c r="L39" s="50">
        <v>2.66824816969083</v>
      </c>
      <c r="M39" s="50">
        <v>0.03</v>
      </c>
      <c r="N39" s="50">
        <v>0.01</v>
      </c>
      <c r="O39" s="50">
        <v>0.08</v>
      </c>
      <c r="P39" s="50">
        <v>0.06</v>
      </c>
      <c r="Q39" s="51">
        <v>4547272</v>
      </c>
      <c r="R39" s="51">
        <v>46642977</v>
      </c>
      <c r="S39" s="51">
        <v>194221</v>
      </c>
      <c r="T39" s="51">
        <v>0</v>
      </c>
      <c r="U39" s="51">
        <v>1330576</v>
      </c>
      <c r="V39" s="51">
        <f>(105782009+V38)/2</f>
        <v>81636585.40625</v>
      </c>
    </row>
    <row r="40" spans="1:22" x14ac:dyDescent="0.2">
      <c r="A40" s="46" t="s">
        <v>11</v>
      </c>
      <c r="B40" s="47">
        <v>2017</v>
      </c>
      <c r="C40" s="48">
        <f>((2364130+22189779+400000+63422643+24938137+994187)+(1362317+19237389+4547272+46642977+29175883+1019638))/2</f>
        <v>108147176</v>
      </c>
      <c r="D40" s="48">
        <v>3172424</v>
      </c>
      <c r="E40" s="49"/>
      <c r="F40" s="46"/>
      <c r="G40" s="50">
        <f>(254740+153408+280833+5575)/63422643</f>
        <v>1.0951230777310873E-2</v>
      </c>
      <c r="H40" s="50">
        <v>9.1999999999999998E-2</v>
      </c>
      <c r="I40" s="50"/>
      <c r="J40" s="50"/>
      <c r="K40" s="50">
        <v>6.9401877821904918</v>
      </c>
      <c r="L40" s="50">
        <v>3.5202568881161902</v>
      </c>
      <c r="M40" s="50">
        <v>0.03</v>
      </c>
      <c r="N40" s="50">
        <v>0.01</v>
      </c>
      <c r="O40" s="50">
        <v>0.08</v>
      </c>
      <c r="P40" s="50">
        <v>0.06</v>
      </c>
      <c r="Q40" s="51">
        <v>400000</v>
      </c>
      <c r="R40" s="51">
        <v>63422643</v>
      </c>
      <c r="S40" s="51">
        <f>308436+107</f>
        <v>308543</v>
      </c>
      <c r="T40" s="51">
        <v>0</v>
      </c>
      <c r="U40" s="51">
        <v>1941603</v>
      </c>
      <c r="V40" s="51">
        <f>(124118747+V39)/2</f>
        <v>102877666.203125</v>
      </c>
    </row>
    <row r="41" spans="1:22" x14ac:dyDescent="0.2">
      <c r="A41" s="46" t="s">
        <v>11</v>
      </c>
      <c r="B41" s="47">
        <v>2018</v>
      </c>
      <c r="C41" s="48">
        <f>((4692735+15680793+660000+77185148+24641343+801215)+(2364130+22189779+400000+63422643+24938137+994187))/2</f>
        <v>118985055</v>
      </c>
      <c r="D41" s="48">
        <v>4377777</v>
      </c>
      <c r="E41" s="49"/>
      <c r="F41" s="46"/>
      <c r="G41" s="50">
        <f>(295942+242441+322951)/77185148</f>
        <v>1.1159323034529907E-2</v>
      </c>
      <c r="H41" s="50">
        <v>0.10199999999999999</v>
      </c>
      <c r="I41" s="50"/>
      <c r="J41" s="50"/>
      <c r="K41" s="50">
        <v>7.4649912574460018</v>
      </c>
      <c r="L41" s="50">
        <v>3.53962805942641</v>
      </c>
      <c r="M41" s="50">
        <v>0.03</v>
      </c>
      <c r="N41" s="50">
        <v>0.01</v>
      </c>
      <c r="O41" s="50">
        <v>0.08</v>
      </c>
      <c r="P41" s="50">
        <v>0.06</v>
      </c>
      <c r="Q41" s="51">
        <v>660000</v>
      </c>
      <c r="R41" s="51">
        <v>77185148</v>
      </c>
      <c r="S41" s="51">
        <v>296720</v>
      </c>
      <c r="T41" s="51">
        <v>0</v>
      </c>
      <c r="U41" s="51">
        <v>2846688</v>
      </c>
      <c r="V41" s="51">
        <f>(136179403+V40)/2</f>
        <v>119528534.6015625</v>
      </c>
    </row>
    <row r="42" spans="1:22" x14ac:dyDescent="0.2">
      <c r="A42" s="46" t="s">
        <v>11</v>
      </c>
      <c r="B42" s="47">
        <v>2019</v>
      </c>
      <c r="C42" s="48">
        <f>((7760937+19261332+1762533+95643700+26139104+44700)+(4692735+15680793+660000+77185148+24641343+801215))/2</f>
        <v>137136770</v>
      </c>
      <c r="D42" s="48">
        <v>5633322</v>
      </c>
      <c r="E42" s="49"/>
      <c r="F42" s="46"/>
      <c r="G42" s="50">
        <f>(480956+305467+448612)/95643700</f>
        <v>1.2912873508657653E-2</v>
      </c>
      <c r="H42" s="50">
        <v>0.107</v>
      </c>
      <c r="I42" s="50"/>
      <c r="J42" s="50"/>
      <c r="K42" s="50">
        <v>7.3592809998546045</v>
      </c>
      <c r="L42" s="50">
        <v>2.7958236745224401</v>
      </c>
      <c r="M42" s="50">
        <v>0.03</v>
      </c>
      <c r="N42" s="50">
        <v>0.01</v>
      </c>
      <c r="O42" s="50">
        <v>0.08</v>
      </c>
      <c r="P42" s="50">
        <v>0.06</v>
      </c>
      <c r="Q42" s="51">
        <v>1762533</v>
      </c>
      <c r="R42" s="51">
        <v>95643700</v>
      </c>
      <c r="S42" s="51">
        <v>903465</v>
      </c>
      <c r="T42" s="51">
        <v>0</v>
      </c>
      <c r="U42" s="51">
        <v>3303325</v>
      </c>
      <c r="V42" s="51">
        <f>(164438534+V41)/2</f>
        <v>141983534.30078125</v>
      </c>
    </row>
    <row r="43" spans="1:22" x14ac:dyDescent="0.2">
      <c r="A43" s="46" t="s">
        <v>11</v>
      </c>
      <c r="B43" s="47">
        <v>2020</v>
      </c>
      <c r="C43" s="48">
        <f>((9108762+8685780+4012516+119990991+48197336+44700)+(7760937+19261332+1762533+95643700+26139104+44700))/2</f>
        <v>170326195.5</v>
      </c>
      <c r="D43" s="48">
        <v>7619057</v>
      </c>
      <c r="E43" s="49">
        <f>D43/C43</f>
        <v>4.4732150434253083E-2</v>
      </c>
      <c r="F43" s="46"/>
      <c r="G43" s="50">
        <f>(661225+330799+428425)/119990991</f>
        <v>1.1837963735127415E-2</v>
      </c>
      <c r="H43" s="50">
        <v>0.129</v>
      </c>
      <c r="I43" s="50"/>
      <c r="J43" s="50"/>
      <c r="K43" s="50">
        <v>2.8654119461210428</v>
      </c>
      <c r="L43" s="50">
        <v>3.2209343665251402</v>
      </c>
      <c r="M43" s="50">
        <v>0.03</v>
      </c>
      <c r="N43" s="50">
        <v>0.01</v>
      </c>
      <c r="O43" s="50">
        <v>0.08</v>
      </c>
      <c r="P43" s="50">
        <v>0.06</v>
      </c>
      <c r="Q43" s="51">
        <v>4012516</v>
      </c>
      <c r="R43" s="51">
        <v>119990991</v>
      </c>
      <c r="S43" s="51">
        <v>1784587</v>
      </c>
      <c r="T43" s="51">
        <v>0</v>
      </c>
      <c r="U43" s="51">
        <v>4197293</v>
      </c>
      <c r="V43" s="51">
        <f>(206314594+V42)/2</f>
        <v>174149064.15039062</v>
      </c>
    </row>
    <row r="44" spans="1:22" x14ac:dyDescent="0.2">
      <c r="A44" s="46" t="s">
        <v>11</v>
      </c>
      <c r="B44" s="47">
        <v>2021</v>
      </c>
      <c r="C44" s="48">
        <f>((18039848+35868051+12884863+141227857+62735195+44700)+(9108762+8685780+4012516+119990991+48197336+44700))/2</f>
        <v>230420299.5</v>
      </c>
      <c r="D44" s="48">
        <v>9946049</v>
      </c>
      <c r="E44" s="49"/>
      <c r="F44" s="46"/>
      <c r="G44" s="50">
        <f>(510516 + 348890 + 297430)/141227857</f>
        <v>8.1912734822564073E-3</v>
      </c>
      <c r="H44" s="50">
        <v>0.13400000000000001</v>
      </c>
      <c r="I44" s="50"/>
      <c r="J44" s="50"/>
      <c r="K44" s="50">
        <v>2.5615511423249444</v>
      </c>
      <c r="L44" s="50">
        <v>1.83471554810462</v>
      </c>
      <c r="M44" s="50">
        <v>0.03</v>
      </c>
      <c r="N44" s="50">
        <v>0.01</v>
      </c>
      <c r="O44" s="50">
        <v>0.08</v>
      </c>
      <c r="P44" s="50">
        <v>0.06</v>
      </c>
      <c r="Q44" s="51">
        <v>12884863</v>
      </c>
      <c r="R44" s="51">
        <v>141227857</v>
      </c>
      <c r="S44" s="51">
        <v>2778532</v>
      </c>
      <c r="T44" s="51">
        <v>0</v>
      </c>
      <c r="U44" s="51">
        <v>4570969</v>
      </c>
      <c r="V44" s="51">
        <f>(292827078+V43)/2</f>
        <v>233488071.07519531</v>
      </c>
    </row>
    <row r="45" spans="1:22" x14ac:dyDescent="0.2">
      <c r="A45" s="46" t="s">
        <v>11</v>
      </c>
      <c r="B45" s="47">
        <v>2022</v>
      </c>
      <c r="C45" s="48">
        <f>((11988501+36886065+16478879+160992963+74520673+44700)+(18039848+35868051+12884863+141227857+62735195+44700))/2</f>
        <v>285856147.5</v>
      </c>
      <c r="D45" s="48">
        <v>11386597</v>
      </c>
      <c r="E45" s="49"/>
      <c r="F45" s="46"/>
      <c r="G45" s="50">
        <f>(385026+467003+505421)/160992963</f>
        <v>8.4317349945289225E-3</v>
      </c>
      <c r="H45" s="50">
        <v>0.126</v>
      </c>
      <c r="I45" s="50"/>
      <c r="J45" s="50"/>
      <c r="K45" s="50">
        <v>8.02</v>
      </c>
      <c r="L45" s="50">
        <v>3.1565074996311102</v>
      </c>
      <c r="M45" s="50">
        <v>0.03</v>
      </c>
      <c r="N45" s="50">
        <v>0.01</v>
      </c>
      <c r="O45" s="50">
        <v>0.08</v>
      </c>
      <c r="P45" s="50">
        <v>0.06</v>
      </c>
      <c r="Q45" s="51">
        <v>16478879</v>
      </c>
      <c r="R45" s="51">
        <v>160992963</v>
      </c>
      <c r="S45" s="51">
        <v>1849536</v>
      </c>
      <c r="T45" s="51">
        <v>0</v>
      </c>
      <c r="U45" s="51">
        <v>5945257</v>
      </c>
      <c r="V45" s="51">
        <f>(328634007+V44)/2</f>
        <v>281061039.03759766</v>
      </c>
    </row>
    <row r="46" spans="1:22" x14ac:dyDescent="0.2">
      <c r="A46" s="70" t="s">
        <v>12</v>
      </c>
      <c r="B46" s="71">
        <v>2012</v>
      </c>
      <c r="C46" s="72">
        <f>((1932929+6420325+968480+33887202+13812584)+(858275+27307399+1358000+43497212+20452551))/2</f>
        <v>75247478.5</v>
      </c>
      <c r="D46" s="72">
        <v>2988700</v>
      </c>
      <c r="E46" s="73"/>
      <c r="F46" s="70"/>
      <c r="G46" s="74">
        <v>2.5999999999999999E-2</v>
      </c>
      <c r="H46" s="74">
        <v>0.19400000000000001</v>
      </c>
      <c r="I46" s="74"/>
      <c r="J46" s="74"/>
      <c r="K46" s="74">
        <v>5.5045456198033094</v>
      </c>
      <c r="L46" s="74">
        <v>9.0947033955719299</v>
      </c>
      <c r="M46" s="74">
        <v>0.03</v>
      </c>
      <c r="N46" s="74">
        <v>0.01</v>
      </c>
      <c r="O46" s="74">
        <v>0.08</v>
      </c>
      <c r="P46" s="74">
        <v>0.06</v>
      </c>
      <c r="Q46" s="75">
        <v>968480</v>
      </c>
      <c r="R46" s="75">
        <v>33887202</v>
      </c>
      <c r="S46" s="75">
        <v>574167</v>
      </c>
      <c r="T46" s="75">
        <v>13086</v>
      </c>
      <c r="U46" s="75">
        <v>1816259</v>
      </c>
      <c r="V46" s="75">
        <f>(65023406+96949541)/2</f>
        <v>80986473.5</v>
      </c>
    </row>
    <row r="47" spans="1:22" x14ac:dyDescent="0.2">
      <c r="A47" s="70" t="s">
        <v>12</v>
      </c>
      <c r="B47" s="71">
        <v>2013</v>
      </c>
      <c r="C47" s="72">
        <f>((1065667+6423698+1554750+35238517+21311835+295426)+(1932929+6420325+968480+33887202+13812584))/2</f>
        <v>61455706.5</v>
      </c>
      <c r="D47" s="72">
        <v>1935658</v>
      </c>
      <c r="E47" s="73"/>
      <c r="F47" s="70"/>
      <c r="G47" s="74">
        <v>2.8000000000000001E-2</v>
      </c>
      <c r="H47" s="74">
        <v>0.18</v>
      </c>
      <c r="I47" s="74"/>
      <c r="J47" s="74"/>
      <c r="K47" s="74">
        <v>5.553500244795103</v>
      </c>
      <c r="L47" s="74">
        <v>6.5926747589919099</v>
      </c>
      <c r="M47" s="74">
        <v>0.03</v>
      </c>
      <c r="N47" s="74">
        <v>0.01</v>
      </c>
      <c r="O47" s="74">
        <v>0.08</v>
      </c>
      <c r="P47" s="74">
        <v>0.06</v>
      </c>
      <c r="Q47" s="75">
        <v>1554750</v>
      </c>
      <c r="R47" s="75">
        <v>35238517</v>
      </c>
      <c r="S47" s="75">
        <v>925391</v>
      </c>
      <c r="T47" s="75">
        <v>11745</v>
      </c>
      <c r="U47" s="75">
        <v>1561497</v>
      </c>
      <c r="V47" s="75">
        <f>(76874670+V46)/2</f>
        <v>78930571.75</v>
      </c>
    </row>
    <row r="48" spans="1:22" x14ac:dyDescent="0.2">
      <c r="A48" s="70" t="s">
        <v>12</v>
      </c>
      <c r="B48" s="71">
        <v>2014</v>
      </c>
      <c r="C48" s="72">
        <f>((1619862+3030422+4465450+38178786+25678835+2348312)+(1065667+6423698+1554750+35238517+21311835+295426))/2</f>
        <v>70605780</v>
      </c>
      <c r="D48" s="72">
        <v>2292885</v>
      </c>
      <c r="E48" s="73"/>
      <c r="F48" s="70"/>
      <c r="G48" s="74">
        <f>(119226+319623+521038)/38178786</f>
        <v>2.5141894244620561E-2</v>
      </c>
      <c r="H48" s="74">
        <v>0.17699999999999999</v>
      </c>
      <c r="I48" s="74"/>
      <c r="J48" s="74"/>
      <c r="K48" s="74">
        <v>6.4222466560102589</v>
      </c>
      <c r="L48" s="74">
        <v>4.0845544663762201</v>
      </c>
      <c r="M48" s="74">
        <v>0.03</v>
      </c>
      <c r="N48" s="74">
        <v>0.01</v>
      </c>
      <c r="O48" s="74">
        <v>0.08</v>
      </c>
      <c r="P48" s="74">
        <v>0.06</v>
      </c>
      <c r="Q48" s="75">
        <f>1150000+3315450</f>
        <v>4465450</v>
      </c>
      <c r="R48" s="75">
        <v>38178786</v>
      </c>
      <c r="S48" s="75">
        <v>889215</v>
      </c>
      <c r="T48" s="75">
        <v>0</v>
      </c>
      <c r="U48" s="75">
        <v>1633714</v>
      </c>
      <c r="V48" s="75">
        <f>(80660959+V47)/2</f>
        <v>79795765.375</v>
      </c>
    </row>
    <row r="49" spans="1:22" x14ac:dyDescent="0.2">
      <c r="A49" s="70" t="s">
        <v>12</v>
      </c>
      <c r="B49" s="71">
        <v>2015</v>
      </c>
      <c r="C49" s="72">
        <f>((6891501+586777+175000+47777031+23388818+3757699)+(1619862+3030422+4465450+38178786+25678835+2348312))/2</f>
        <v>78949246.5</v>
      </c>
      <c r="D49" s="72">
        <v>2344114</v>
      </c>
      <c r="E49" s="73"/>
      <c r="F49" s="70"/>
      <c r="G49" s="74">
        <f>(135250+98039+755887)/47777031</f>
        <v>2.0704007329379676E-2</v>
      </c>
      <c r="H49" s="74">
        <v>0.18</v>
      </c>
      <c r="I49" s="74"/>
      <c r="J49" s="74"/>
      <c r="K49" s="74">
        <v>6.9871667237754878</v>
      </c>
      <c r="L49" s="74">
        <v>0.63120090517571803</v>
      </c>
      <c r="M49" s="74">
        <v>0.03</v>
      </c>
      <c r="N49" s="74">
        <v>0.01</v>
      </c>
      <c r="O49" s="74">
        <v>0.08</v>
      </c>
      <c r="P49" s="74">
        <v>0.06</v>
      </c>
      <c r="Q49" s="75">
        <v>175000</v>
      </c>
      <c r="R49" s="75">
        <v>47777031</v>
      </c>
      <c r="S49" s="75">
        <v>752476</v>
      </c>
      <c r="T49" s="75">
        <v>0</v>
      </c>
      <c r="U49" s="75">
        <v>1765240</v>
      </c>
      <c r="V49" s="75">
        <f>(84308832+V48)/2</f>
        <v>82052298.6875</v>
      </c>
    </row>
    <row r="50" spans="1:22" x14ac:dyDescent="0.2">
      <c r="A50" s="70" t="s">
        <v>12</v>
      </c>
      <c r="B50" s="71">
        <v>2016</v>
      </c>
      <c r="C50" s="72">
        <f>((4015092+8484659+667377+60179583+26916591+2664875)+(6891501+586777+175000+47777031+23388818+3757699))/2</f>
        <v>92752501.5</v>
      </c>
      <c r="D50" s="72">
        <v>2626238</v>
      </c>
      <c r="E50" s="73"/>
      <c r="F50" s="70"/>
      <c r="G50" s="74">
        <f>(40543+167933+1341243)/60179583</f>
        <v>2.5751574250688976E-2</v>
      </c>
      <c r="H50" s="74">
        <v>0.13200000000000001</v>
      </c>
      <c r="I50" s="74"/>
      <c r="J50" s="74"/>
      <c r="K50" s="74">
        <v>6.6900092133089402</v>
      </c>
      <c r="L50" s="74">
        <v>2.66824816969083</v>
      </c>
      <c r="M50" s="74">
        <v>0.03</v>
      </c>
      <c r="N50" s="74">
        <v>0.01</v>
      </c>
      <c r="O50" s="74">
        <v>0.08</v>
      </c>
      <c r="P50" s="74">
        <v>0.06</v>
      </c>
      <c r="Q50" s="75">
        <v>667377</v>
      </c>
      <c r="R50" s="75">
        <v>60179583</v>
      </c>
      <c r="S50" s="75">
        <v>1015242</v>
      </c>
      <c r="T50" s="75">
        <v>0</v>
      </c>
      <c r="U50" s="75">
        <v>2092628</v>
      </c>
      <c r="V50" s="75">
        <f>(104516957+V49)/2</f>
        <v>93284627.84375</v>
      </c>
    </row>
    <row r="51" spans="1:22" x14ac:dyDescent="0.2">
      <c r="A51" s="70" t="s">
        <v>12</v>
      </c>
      <c r="B51" s="71">
        <v>2017</v>
      </c>
      <c r="C51" s="72">
        <f>((3587550+9389716+885250+79864220+24893365+1570470)+(4015092+8484659+667377+60179583+26916591+2664875))/2</f>
        <v>111559374</v>
      </c>
      <c r="D51" s="72">
        <v>3455976</v>
      </c>
      <c r="E51" s="73"/>
      <c r="F51" s="70"/>
      <c r="G51" s="74">
        <f>(53746+62921+1870017)/79864220</f>
        <v>2.487577040131363E-2</v>
      </c>
      <c r="H51" s="74">
        <v>0.13100000000000001</v>
      </c>
      <c r="I51" s="74"/>
      <c r="J51" s="74"/>
      <c r="K51" s="74">
        <v>6.9401877821904918</v>
      </c>
      <c r="L51" s="74">
        <v>3.5202568881161902</v>
      </c>
      <c r="M51" s="74">
        <v>0.03</v>
      </c>
      <c r="N51" s="74">
        <v>0.01</v>
      </c>
      <c r="O51" s="74">
        <v>0.08</v>
      </c>
      <c r="P51" s="74">
        <v>0.06</v>
      </c>
      <c r="Q51" s="75">
        <v>885250</v>
      </c>
      <c r="R51" s="75">
        <v>79864220</v>
      </c>
      <c r="S51" s="75">
        <v>944860</v>
      </c>
      <c r="T51" s="75">
        <v>0</v>
      </c>
      <c r="U51" s="75">
        <v>2334457</v>
      </c>
      <c r="V51" s="75">
        <f>(123159117+V50)/2</f>
        <v>108221872.421875</v>
      </c>
    </row>
    <row r="52" spans="1:22" x14ac:dyDescent="0.2">
      <c r="A52" s="70" t="s">
        <v>12</v>
      </c>
      <c r="B52" s="71">
        <v>2018</v>
      </c>
      <c r="C52" s="72">
        <f>((2473941+7723631+691974+96138735+28676423+42380)+(3587550+9389716+885250+79864220+24893365+1570470))/2</f>
        <v>127968827.5</v>
      </c>
      <c r="D52" s="72">
        <v>4825493</v>
      </c>
      <c r="E52" s="73"/>
      <c r="F52" s="70"/>
      <c r="G52" s="74">
        <f>(154056+318427+1733919)/96138735</f>
        <v>2.2950187559676129E-2</v>
      </c>
      <c r="H52" s="74">
        <v>0.10199999999999999</v>
      </c>
      <c r="I52" s="74"/>
      <c r="J52" s="74"/>
      <c r="K52" s="74">
        <v>7.4649912574460018</v>
      </c>
      <c r="L52" s="74">
        <v>3.53962805942641</v>
      </c>
      <c r="M52" s="74">
        <v>0.03</v>
      </c>
      <c r="N52" s="74">
        <v>0.01</v>
      </c>
      <c r="O52" s="74">
        <v>0.08</v>
      </c>
      <c r="P52" s="74">
        <v>0.06</v>
      </c>
      <c r="Q52" s="75">
        <v>691974</v>
      </c>
      <c r="R52" s="75">
        <v>96138735</v>
      </c>
      <c r="S52" s="75">
        <v>877765</v>
      </c>
      <c r="T52" s="75">
        <v>0</v>
      </c>
      <c r="U52" s="75">
        <v>2689716</v>
      </c>
      <c r="V52" s="75">
        <f>(139166216+V51)/2</f>
        <v>123694044.2109375</v>
      </c>
    </row>
    <row r="53" spans="1:22" x14ac:dyDescent="0.2">
      <c r="A53" s="70" t="s">
        <v>12</v>
      </c>
      <c r="B53" s="71">
        <v>2019</v>
      </c>
      <c r="C53" s="72">
        <f>((19040311+2873059+1138800+129199808+27882169+42380)+(2473941+7723631+691974+96138735+28676423+42380))/2</f>
        <v>157961805.5</v>
      </c>
      <c r="D53" s="72">
        <v>6213215</v>
      </c>
      <c r="E53" s="73"/>
      <c r="F53" s="70"/>
      <c r="G53" s="74">
        <f>(406826+372158+1757558)/129199808</f>
        <v>1.9632707194115955E-2</v>
      </c>
      <c r="H53" s="74">
        <v>9.7000000000000003E-2</v>
      </c>
      <c r="I53" s="74"/>
      <c r="J53" s="74"/>
      <c r="K53" s="74">
        <v>7.3592809998546045</v>
      </c>
      <c r="L53" s="74">
        <v>2.7958236745224401</v>
      </c>
      <c r="M53" s="74">
        <v>0.03</v>
      </c>
      <c r="N53" s="74">
        <v>0.01</v>
      </c>
      <c r="O53" s="74">
        <v>0.08</v>
      </c>
      <c r="P53" s="74">
        <v>0.06</v>
      </c>
      <c r="Q53" s="75">
        <v>1138800</v>
      </c>
      <c r="R53" s="75">
        <v>129199808</v>
      </c>
      <c r="S53" s="75">
        <v>1285722</v>
      </c>
      <c r="T53" s="75">
        <v>0</v>
      </c>
      <c r="U53" s="75">
        <v>3437100</v>
      </c>
      <c r="V53" s="75">
        <f>(184531485+V52)/2</f>
        <v>154112764.60546875</v>
      </c>
    </row>
    <row r="54" spans="1:22" x14ac:dyDescent="0.2">
      <c r="A54" s="70" t="s">
        <v>12</v>
      </c>
      <c r="B54" s="71">
        <v>2020</v>
      </c>
      <c r="C54" s="72">
        <f>((24591537+2832959+1536018+169520235+41423474+42380)+(19040311+2873059+1138800+129199808+27882169+42380))/2</f>
        <v>210061565</v>
      </c>
      <c r="D54" s="72">
        <v>8496107</v>
      </c>
      <c r="E54" s="73"/>
      <c r="F54" s="70"/>
      <c r="G54" s="74">
        <f>(566114+796884+1594447)/169520235</f>
        <v>1.7445970388136851E-2</v>
      </c>
      <c r="H54" s="74">
        <v>0.10299999999999999</v>
      </c>
      <c r="I54" s="74"/>
      <c r="J54" s="74"/>
      <c r="K54" s="74">
        <v>2.8654119461210428</v>
      </c>
      <c r="L54" s="74">
        <v>3.2209343665251402</v>
      </c>
      <c r="M54" s="74">
        <v>0.03</v>
      </c>
      <c r="N54" s="74">
        <v>0.01</v>
      </c>
      <c r="O54" s="74">
        <v>0.08</v>
      </c>
      <c r="P54" s="74">
        <v>0.06</v>
      </c>
      <c r="Q54" s="75">
        <v>1536018</v>
      </c>
      <c r="R54" s="75">
        <v>169520235</v>
      </c>
      <c r="S54" s="75">
        <v>1748191</v>
      </c>
      <c r="T54" s="75">
        <v>0</v>
      </c>
      <c r="U54" s="75">
        <v>4464872</v>
      </c>
      <c r="V54" s="75">
        <f>(244675677+V53)/2</f>
        <v>199394220.80273438</v>
      </c>
    </row>
    <row r="55" spans="1:22" x14ac:dyDescent="0.2">
      <c r="A55" s="70" t="s">
        <v>12</v>
      </c>
      <c r="B55" s="71">
        <v>2021</v>
      </c>
      <c r="C55" s="72">
        <f>((24890710+11747285+16237832+201516754+44714514+42380)+(24591537+2832959+1536018+169520235+41423474+42380))/2</f>
        <v>269548039</v>
      </c>
      <c r="D55" s="72">
        <v>11816147</v>
      </c>
      <c r="E55" s="73"/>
      <c r="F55" s="70"/>
      <c r="G55" s="74">
        <f>(1747352+1603696+1319110)/201516754</f>
        <v>2.3175035858308834E-2</v>
      </c>
      <c r="H55" s="74">
        <v>0.11700000000000001</v>
      </c>
      <c r="I55" s="74"/>
      <c r="J55" s="74"/>
      <c r="K55" s="74">
        <v>2.5615511423249444</v>
      </c>
      <c r="L55" s="74">
        <v>1.83471554810462</v>
      </c>
      <c r="M55" s="74">
        <v>0.03</v>
      </c>
      <c r="N55" s="74">
        <v>0.01</v>
      </c>
      <c r="O55" s="74">
        <v>0.08</v>
      </c>
      <c r="P55" s="74">
        <v>0.06</v>
      </c>
      <c r="Q55" s="75">
        <v>16237832</v>
      </c>
      <c r="R55" s="75">
        <v>201516754</v>
      </c>
      <c r="S55" s="75">
        <v>2400324</v>
      </c>
      <c r="T55" s="75">
        <v>0</v>
      </c>
      <c r="U55" s="75">
        <v>5281843</v>
      </c>
      <c r="V55" s="75">
        <f>(309517129+V54)/2</f>
        <v>254455674.90136719</v>
      </c>
    </row>
    <row r="56" spans="1:22" x14ac:dyDescent="0.2">
      <c r="A56" s="70" t="s">
        <v>12</v>
      </c>
      <c r="B56" s="71">
        <v>2022</v>
      </c>
      <c r="C56" s="72">
        <f>((10062633+27161023+24738785+231944016+40250383+42380)+(24890710+11747285+16237832+201516754+44714514+42380))/2</f>
        <v>316674347.5</v>
      </c>
      <c r="D56" s="72">
        <v>14962555</v>
      </c>
      <c r="E56" s="73"/>
      <c r="F56" s="70"/>
      <c r="G56" s="74">
        <f>(1747352+1603696+1319110)/201516754</f>
        <v>2.3175035858308834E-2</v>
      </c>
      <c r="H56" s="74">
        <v>0.127</v>
      </c>
      <c r="I56" s="74"/>
      <c r="J56" s="74"/>
      <c r="K56" s="74">
        <v>8.02</v>
      </c>
      <c r="L56" s="74">
        <v>3.1565074996311102</v>
      </c>
      <c r="M56" s="74">
        <v>0.03</v>
      </c>
      <c r="N56" s="74">
        <v>0.01</v>
      </c>
      <c r="O56" s="74">
        <v>0.08</v>
      </c>
      <c r="P56" s="74">
        <v>0.06</v>
      </c>
      <c r="Q56" s="75">
        <v>24738785</v>
      </c>
      <c r="R56" s="75">
        <v>231944016</v>
      </c>
      <c r="S56" s="75">
        <v>3064773</v>
      </c>
      <c r="T56" s="75">
        <v>0</v>
      </c>
      <c r="U56" s="75">
        <v>6197114</v>
      </c>
      <c r="V56" s="75">
        <f>(342798925+V55)/2</f>
        <v>298627299.95068359</v>
      </c>
    </row>
    <row r="57" spans="1:22" x14ac:dyDescent="0.2">
      <c r="A57" s="3" t="s">
        <v>13</v>
      </c>
      <c r="B57" s="4">
        <v>2012</v>
      </c>
      <c r="C57" s="5">
        <f>((701234+4376463+3000000+207405+21147824+10372146+1486435)+(1410215+9129450+13847786+8955690+1890768))/2</f>
        <v>38262708</v>
      </c>
      <c r="D57" s="5">
        <v>850072</v>
      </c>
      <c r="E57" s="6"/>
      <c r="F57" s="3"/>
      <c r="G57" s="7">
        <f>(354754+116906+25899)/21147824</f>
        <v>2.352766885141469E-2</v>
      </c>
      <c r="H57" s="7">
        <f>AVERAGE(H60:H67)</f>
        <v>0.1285</v>
      </c>
      <c r="I57" s="7"/>
      <c r="J57" s="7"/>
      <c r="K57" s="7">
        <v>5.5045456198033094</v>
      </c>
      <c r="L57" s="7">
        <v>9.0947033955719299</v>
      </c>
      <c r="M57" s="7">
        <v>0.03</v>
      </c>
      <c r="N57" s="7">
        <v>0.01</v>
      </c>
      <c r="O57" s="7">
        <v>0.08</v>
      </c>
      <c r="P57" s="7">
        <v>0.06</v>
      </c>
      <c r="Q57" s="8">
        <v>3000000</v>
      </c>
      <c r="R57" s="8">
        <v>21147824</v>
      </c>
      <c r="S57" s="8">
        <v>439346</v>
      </c>
      <c r="T57" s="8">
        <v>0</v>
      </c>
      <c r="U57" s="8">
        <v>796521</v>
      </c>
      <c r="V57" s="8">
        <f>(52782830+45025421)/2</f>
        <v>48904125.5</v>
      </c>
    </row>
    <row r="58" spans="1:22" x14ac:dyDescent="0.2">
      <c r="A58" s="3" t="s">
        <v>13</v>
      </c>
      <c r="B58" s="4">
        <v>2013</v>
      </c>
      <c r="C58" s="5">
        <f>((1595174+5988409+5372058+668466+44030492+12033115+1609680)+(701234+4376463+3000000+207405+21147824+10372146+1486435))/2</f>
        <v>56294450.5</v>
      </c>
      <c r="D58" s="5">
        <v>309372</v>
      </c>
      <c r="E58" s="6"/>
      <c r="F58" s="3"/>
      <c r="G58" s="7">
        <f>(402052+221573+929460+63643)/4030492</f>
        <v>0.40112422999475</v>
      </c>
      <c r="H58" s="7">
        <f t="shared" ref="H58:H59" si="2">AVERAGE(H61:H68)</f>
        <v>0.12325</v>
      </c>
      <c r="I58" s="7"/>
      <c r="J58" s="7"/>
      <c r="K58" s="7">
        <v>5.553500244795103</v>
      </c>
      <c r="L58" s="7">
        <v>6.5926747589919099</v>
      </c>
      <c r="M58" s="7">
        <v>0.03</v>
      </c>
      <c r="N58" s="7">
        <v>0.01</v>
      </c>
      <c r="O58" s="7">
        <v>0.08</v>
      </c>
      <c r="P58" s="7">
        <v>0.06</v>
      </c>
      <c r="Q58" s="8">
        <v>5372058</v>
      </c>
      <c r="R58" s="8">
        <v>44030492</v>
      </c>
      <c r="S58" s="8">
        <v>722550</v>
      </c>
      <c r="T58" s="8">
        <v>6760</v>
      </c>
      <c r="U58" s="8">
        <v>1010433</v>
      </c>
      <c r="V58" s="8">
        <f>(86226641+V57)/2</f>
        <v>67565383.25</v>
      </c>
    </row>
    <row r="59" spans="1:22" x14ac:dyDescent="0.2">
      <c r="A59" s="3" t="s">
        <v>13</v>
      </c>
      <c r="B59" s="4">
        <v>2014</v>
      </c>
      <c r="C59" s="5">
        <f>((2408921+9922399+6919582+936974+41992591+21348725+3307347)+(1595174+5988409+5372058+668466+44030492+12033115+1609680))/2</f>
        <v>79066966.5</v>
      </c>
      <c r="D59" s="5">
        <v>1629142</v>
      </c>
      <c r="E59" s="6"/>
      <c r="F59" s="3"/>
      <c r="G59" s="7">
        <f>(190265+146696+616713)/41992591</f>
        <v>2.2710530055170923E-2</v>
      </c>
      <c r="H59" s="7">
        <f t="shared" si="2"/>
        <v>0.120375</v>
      </c>
      <c r="I59" s="7"/>
      <c r="J59" s="7"/>
      <c r="K59" s="7">
        <v>6.4222466560102589</v>
      </c>
      <c r="L59" s="7">
        <v>4.0845544663762201</v>
      </c>
      <c r="M59" s="7">
        <v>0.03</v>
      </c>
      <c r="N59" s="7">
        <v>0.01</v>
      </c>
      <c r="O59" s="7">
        <v>0.08</v>
      </c>
      <c r="P59" s="7">
        <v>0.06</v>
      </c>
      <c r="Q59" s="8">
        <v>6919582</v>
      </c>
      <c r="R59" s="8">
        <v>41992591</v>
      </c>
      <c r="S59" s="8">
        <v>722550</v>
      </c>
      <c r="T59" s="8">
        <v>0</v>
      </c>
      <c r="U59" s="8">
        <v>1820135</v>
      </c>
      <c r="V59" s="8">
        <f>(99524602+V58)/2</f>
        <v>83544992.625</v>
      </c>
    </row>
    <row r="60" spans="1:22" x14ac:dyDescent="0.2">
      <c r="A60" s="3" t="s">
        <v>13</v>
      </c>
      <c r="B60" s="4">
        <v>2015</v>
      </c>
      <c r="C60" s="5">
        <f>((2742385+6779815+5318025+922956+56558835+16705365+5011604)+(2408921+9922399+6919582+936974+41992591+21348725+3307347))/2</f>
        <v>90437762</v>
      </c>
      <c r="D60" s="5">
        <v>3244710</v>
      </c>
      <c r="E60" s="6"/>
      <c r="F60" s="3"/>
      <c r="G60" s="7">
        <f>(288405+335861+272825)/56558835</f>
        <v>1.5861200111353072E-2</v>
      </c>
      <c r="H60" s="7">
        <v>0.13700000000000001</v>
      </c>
      <c r="I60" s="7"/>
      <c r="J60" s="7"/>
      <c r="K60" s="7">
        <v>6.9871667237754878</v>
      </c>
      <c r="L60" s="7">
        <v>0.63120090517571803</v>
      </c>
      <c r="M60" s="7">
        <v>0.03</v>
      </c>
      <c r="N60" s="7">
        <v>0.01</v>
      </c>
      <c r="O60" s="7">
        <v>0.08</v>
      </c>
      <c r="P60" s="7">
        <v>0.06</v>
      </c>
      <c r="Q60" s="8">
        <v>5318025</v>
      </c>
      <c r="R60" s="8">
        <v>56558835</v>
      </c>
      <c r="S60" s="8">
        <v>712766</v>
      </c>
      <c r="T60" s="8">
        <v>0</v>
      </c>
      <c r="U60" s="8">
        <v>2409584</v>
      </c>
      <c r="V60" s="8">
        <f>(106485935+V59)/2</f>
        <v>95015463.8125</v>
      </c>
    </row>
    <row r="61" spans="1:22" x14ac:dyDescent="0.2">
      <c r="A61" s="3" t="s">
        <v>13</v>
      </c>
      <c r="B61" s="4">
        <v>2016</v>
      </c>
      <c r="C61" s="5">
        <f>((2389302+15971314+2608733+400000+82224372+24267353+11020813)+(2742385+6779815+5318025+922956+56558835+16705365+5011604))/2</f>
        <v>116460436</v>
      </c>
      <c r="D61" s="5">
        <v>4678080</v>
      </c>
      <c r="E61" s="6"/>
      <c r="F61" s="3"/>
      <c r="G61" s="7">
        <f>(376621+460699+361461)/82224372</f>
        <v>1.4579387727035483E-2</v>
      </c>
      <c r="H61" s="7">
        <v>0.125</v>
      </c>
      <c r="I61" s="7"/>
      <c r="J61" s="7"/>
      <c r="K61" s="7">
        <v>6.6900092133089402</v>
      </c>
      <c r="L61" s="7">
        <v>2.66824816969083</v>
      </c>
      <c r="M61" s="7">
        <v>0.03</v>
      </c>
      <c r="N61" s="7">
        <v>0.01</v>
      </c>
      <c r="O61" s="7">
        <v>0.08</v>
      </c>
      <c r="P61" s="7">
        <v>0.06</v>
      </c>
      <c r="Q61" s="8">
        <v>18580047</v>
      </c>
      <c r="R61" s="8">
        <v>82224372</v>
      </c>
      <c r="S61" s="8">
        <v>920397</v>
      </c>
      <c r="T61" s="8">
        <v>0</v>
      </c>
      <c r="U61" s="8">
        <v>3276988</v>
      </c>
      <c r="V61" s="8">
        <f>(150294272+V60)/2</f>
        <v>122654867.90625</v>
      </c>
    </row>
    <row r="62" spans="1:22" x14ac:dyDescent="0.2">
      <c r="A62" s="3" t="s">
        <v>13</v>
      </c>
      <c r="B62" s="4">
        <v>2017</v>
      </c>
      <c r="C62" s="5">
        <f>((1922256+19650607+2210561+4693398+104497028+37417732+9614647)+(2389302+15971314+2608733+400000+82224372+24267353+11020813))/2</f>
        <v>159444058</v>
      </c>
      <c r="D62" s="5">
        <v>6347300</v>
      </c>
      <c r="E62" s="6"/>
      <c r="F62" s="3"/>
      <c r="G62" s="7">
        <f>(513992+548566+520683)/104497028</f>
        <v>1.515106247806397E-2</v>
      </c>
      <c r="H62" s="7">
        <v>0.13500000000000001</v>
      </c>
      <c r="I62" s="7"/>
      <c r="J62" s="7"/>
      <c r="K62" s="7">
        <v>6.9401877821904918</v>
      </c>
      <c r="L62" s="7">
        <v>3.5202568881161902</v>
      </c>
      <c r="M62" s="7">
        <v>0.03</v>
      </c>
      <c r="N62" s="7">
        <v>0.01</v>
      </c>
      <c r="O62" s="7">
        <v>0.08</v>
      </c>
      <c r="P62" s="7">
        <v>0.06</v>
      </c>
      <c r="Q62" s="8">
        <v>2210561</v>
      </c>
      <c r="R62" s="8">
        <v>104497028</v>
      </c>
      <c r="S62" s="8">
        <v>1161181</v>
      </c>
      <c r="T62" s="8">
        <v>0</v>
      </c>
      <c r="U62" s="8">
        <v>4072277</v>
      </c>
      <c r="V62" s="8">
        <f>(189334271+V61)/2</f>
        <v>155994569.453125</v>
      </c>
    </row>
    <row r="63" spans="1:22" x14ac:dyDescent="0.2">
      <c r="A63" s="3" t="s">
        <v>13</v>
      </c>
      <c r="B63" s="4">
        <v>2018</v>
      </c>
      <c r="C63" s="5">
        <f>((5385604+30695162+1730382+2603376+123131648+25754996+17888621)+(1922256+19650607+2210561+4693398+104497028+37417732+9614647))/2</f>
        <v>193598009</v>
      </c>
      <c r="D63" s="5">
        <v>7645693</v>
      </c>
      <c r="E63" s="6"/>
      <c r="F63" s="3"/>
      <c r="G63" s="7">
        <f>(525191+626723+733036)/123131648</f>
        <v>1.5308412017680458E-2</v>
      </c>
      <c r="H63" s="7">
        <v>0.121</v>
      </c>
      <c r="I63" s="7"/>
      <c r="J63" s="7"/>
      <c r="K63" s="7">
        <v>7.4649912574460018</v>
      </c>
      <c r="L63" s="7">
        <v>3.53962805942641</v>
      </c>
      <c r="M63" s="7">
        <v>0.03</v>
      </c>
      <c r="N63" s="7">
        <v>0.01</v>
      </c>
      <c r="O63" s="7">
        <v>0.08</v>
      </c>
      <c r="P63" s="7">
        <v>0.06</v>
      </c>
      <c r="Q63" s="8">
        <v>1730382</v>
      </c>
      <c r="R63" s="8">
        <v>123131648</v>
      </c>
      <c r="S63" s="8">
        <v>1354482</v>
      </c>
      <c r="T63" s="8">
        <v>0</v>
      </c>
      <c r="U63" s="8">
        <v>4441456</v>
      </c>
      <c r="V63" s="8">
        <f>(216057406+V62)/2</f>
        <v>186025987.7265625</v>
      </c>
    </row>
    <row r="64" spans="1:22" x14ac:dyDescent="0.2">
      <c r="A64" s="3" t="s">
        <v>13</v>
      </c>
      <c r="B64" s="4">
        <v>2019</v>
      </c>
      <c r="C64" s="5">
        <f>((4503540+24664877+4650988+146374378+15749443+20696368)+(5385604+30695162+1730382+2603376+123131648+25754996+17888621))/2</f>
        <v>211914691.5</v>
      </c>
      <c r="D64" s="5">
        <v>9746555</v>
      </c>
      <c r="E64" s="6"/>
      <c r="F64" s="3"/>
      <c r="G64" s="7">
        <f>(483922+583859+928884)/146324378</f>
        <v>1.3645470613242587E-2</v>
      </c>
      <c r="H64" s="7">
        <v>0.112</v>
      </c>
      <c r="I64" s="7"/>
      <c r="J64" s="7"/>
      <c r="K64" s="7">
        <v>7.3592809998546045</v>
      </c>
      <c r="L64" s="7">
        <v>2.7958236745224401</v>
      </c>
      <c r="M64" s="7">
        <v>0.03</v>
      </c>
      <c r="N64" s="7">
        <v>0.01</v>
      </c>
      <c r="O64" s="7">
        <v>0.08</v>
      </c>
      <c r="P64" s="7">
        <v>0.06</v>
      </c>
      <c r="Q64" s="8">
        <v>810000</v>
      </c>
      <c r="R64" s="8">
        <v>146324378</v>
      </c>
      <c r="S64" s="8">
        <v>1593631</v>
      </c>
      <c r="T64" s="8">
        <v>0</v>
      </c>
      <c r="U64" s="8">
        <v>5080492</v>
      </c>
      <c r="V64" s="8">
        <f>(229477262+V63)/2</f>
        <v>207751624.86328125</v>
      </c>
    </row>
    <row r="65" spans="1:22" x14ac:dyDescent="0.2">
      <c r="A65" s="3" t="s">
        <v>13</v>
      </c>
      <c r="B65" s="4">
        <v>2020</v>
      </c>
      <c r="C65" s="5">
        <f>((7788112+44810934+12478245+178323092+30143484+28180901)+(4503540+24664877+4650988+146374378+15749443+20696368))/2</f>
        <v>259182181</v>
      </c>
      <c r="D65" s="5">
        <v>11897705</v>
      </c>
      <c r="E65" s="6"/>
      <c r="F65" s="3"/>
      <c r="G65" s="7">
        <f>(815000+803467+738881)/178323092</f>
        <v>1.3219533003611221E-2</v>
      </c>
      <c r="H65" s="7">
        <v>0.121</v>
      </c>
      <c r="I65" s="7"/>
      <c r="J65" s="7"/>
      <c r="K65" s="7">
        <v>2.8654119461210428</v>
      </c>
      <c r="L65" s="7">
        <v>3.2209343665251402</v>
      </c>
      <c r="M65" s="7">
        <v>0.03</v>
      </c>
      <c r="N65" s="7">
        <v>0.01</v>
      </c>
      <c r="O65" s="7">
        <v>0.08</v>
      </c>
      <c r="P65" s="7">
        <v>0.06</v>
      </c>
      <c r="Q65" s="8">
        <v>100000</v>
      </c>
      <c r="R65" s="8">
        <v>178323092</v>
      </c>
      <c r="S65" s="8">
        <v>1935436</v>
      </c>
      <c r="T65" s="8">
        <v>0</v>
      </c>
      <c r="U65" s="8">
        <v>6172829</v>
      </c>
      <c r="V65" s="8">
        <f>(319127480+V64)/2</f>
        <v>263439552.43164062</v>
      </c>
    </row>
    <row r="66" spans="1:22" x14ac:dyDescent="0.2">
      <c r="A66" s="3" t="s">
        <v>13</v>
      </c>
      <c r="B66" s="4">
        <v>2021</v>
      </c>
      <c r="C66" s="5">
        <f>((11847980+55942644+11200948+203210901+43656434+21955594)+(7788112+44810934+12478245+178323092+30143484+28180901))/2</f>
        <v>324769634.5</v>
      </c>
      <c r="D66" s="5">
        <v>13890777</v>
      </c>
      <c r="E66" s="6"/>
      <c r="F66" s="3"/>
      <c r="G66" s="7">
        <f>(1600455+878136+881482)/203210901</f>
        <v>1.6534905280499692E-2</v>
      </c>
      <c r="H66" s="7">
        <v>0.14299999999999999</v>
      </c>
      <c r="I66" s="7"/>
      <c r="J66" s="7"/>
      <c r="K66" s="7">
        <v>2.5615511423249444</v>
      </c>
      <c r="L66" s="7">
        <v>1.83471554810462</v>
      </c>
      <c r="M66" s="7">
        <v>0.03</v>
      </c>
      <c r="N66" s="7">
        <v>0.01</v>
      </c>
      <c r="O66" s="7">
        <v>0.08</v>
      </c>
      <c r="P66" s="7">
        <v>0.06</v>
      </c>
      <c r="Q66" s="8">
        <v>105346</v>
      </c>
      <c r="R66" s="8">
        <v>203210901</v>
      </c>
      <c r="S66" s="8">
        <v>2452068</v>
      </c>
      <c r="T66" s="8">
        <v>0</v>
      </c>
      <c r="U66" s="8">
        <v>6382768</v>
      </c>
      <c r="V66" s="8">
        <f>(374611571+V65)/2</f>
        <v>319025561.71582031</v>
      </c>
    </row>
    <row r="67" spans="1:22" x14ac:dyDescent="0.2">
      <c r="A67" s="3" t="s">
        <v>13</v>
      </c>
      <c r="B67" s="4">
        <v>2022</v>
      </c>
      <c r="C67" s="5">
        <f>((11273345+49132317+1797822+263856383+35375058+13444130)+(11847980+55942644+11200948+203210901+43656434+21955594))/2</f>
        <v>361346778</v>
      </c>
      <c r="D67" s="5">
        <v>18011568</v>
      </c>
      <c r="E67" s="6"/>
      <c r="F67" s="3"/>
      <c r="G67" s="7">
        <f>(1848250+1414595+1141346)/263856383</f>
        <v>1.6691621972245409E-2</v>
      </c>
      <c r="H67" s="7">
        <v>0.13400000000000001</v>
      </c>
      <c r="I67" s="7"/>
      <c r="J67" s="7"/>
      <c r="K67" s="7">
        <v>8.02</v>
      </c>
      <c r="L67" s="7">
        <v>3.1565074996311102</v>
      </c>
      <c r="M67" s="7">
        <v>0.03</v>
      </c>
      <c r="N67" s="7">
        <v>0.01</v>
      </c>
      <c r="O67" s="7">
        <v>0.08</v>
      </c>
      <c r="P67" s="7">
        <v>0.06</v>
      </c>
      <c r="Q67" s="8">
        <v>8809830</v>
      </c>
      <c r="R67" s="8">
        <v>263856383</v>
      </c>
      <c r="S67" s="8">
        <v>3101572</v>
      </c>
      <c r="T67" s="8">
        <v>0</v>
      </c>
      <c r="U67" s="8">
        <v>8630709</v>
      </c>
      <c r="V67" s="8">
        <f>(416273023+V66)/2</f>
        <v>367649292.35791016</v>
      </c>
    </row>
    <row r="68" spans="1:22" x14ac:dyDescent="0.2">
      <c r="A68" s="9" t="s">
        <v>14</v>
      </c>
      <c r="B68" s="10">
        <v>2012</v>
      </c>
      <c r="C68" s="11">
        <f>((4598716+2964791+4648231+1424765+96334439+19666578+800000)+(2807350+8642132+980542+504786+80539487+24164301+232124))/2</f>
        <v>124154121</v>
      </c>
      <c r="D68" s="11">
        <v>6497179</v>
      </c>
      <c r="E68" s="12"/>
      <c r="F68" s="9"/>
      <c r="G68" s="13">
        <f>(312084+764210+896780)/96334439</f>
        <v>2.0481501947605674E-2</v>
      </c>
      <c r="H68" s="13">
        <v>9.5000000000000001E-2</v>
      </c>
      <c r="I68" s="13"/>
      <c r="J68" s="13"/>
      <c r="K68" s="13">
        <v>5.5045456198033094</v>
      </c>
      <c r="L68" s="13">
        <v>9.0947033955719299</v>
      </c>
      <c r="M68" s="13">
        <v>0.03</v>
      </c>
      <c r="N68" s="13">
        <v>0.01</v>
      </c>
      <c r="O68" s="13">
        <v>0.08</v>
      </c>
      <c r="P68" s="13">
        <v>0.06</v>
      </c>
      <c r="Q68" s="14">
        <v>980542</v>
      </c>
      <c r="R68" s="14">
        <v>96334439</v>
      </c>
      <c r="S68" s="14">
        <v>1446626</v>
      </c>
      <c r="T68" s="14">
        <v>1365</v>
      </c>
      <c r="U68" s="14">
        <v>4154236</v>
      </c>
      <c r="V68" s="14">
        <f>(152118525+141468717)/2</f>
        <v>146793621</v>
      </c>
    </row>
    <row r="69" spans="1:22" x14ac:dyDescent="0.2">
      <c r="A69" s="9" t="s">
        <v>14</v>
      </c>
      <c r="B69" s="10">
        <v>2013</v>
      </c>
      <c r="C69" s="11">
        <f>((3300559+4978350+2505842+2877307+110565799+19434485+628689)+(4598716+2964791+4648231+1424765+96334439+19666578+800000))/2</f>
        <v>137364275.5</v>
      </c>
      <c r="D69" s="11">
        <v>6627437</v>
      </c>
      <c r="E69" s="12"/>
      <c r="F69" s="9"/>
      <c r="G69" s="13">
        <f>(169732+422252+1017969)/110565799</f>
        <v>1.456103980219055E-2</v>
      </c>
      <c r="H69" s="13">
        <v>0.10199999999999999</v>
      </c>
      <c r="I69" s="13"/>
      <c r="J69" s="13"/>
      <c r="K69" s="13">
        <v>5.553500244795103</v>
      </c>
      <c r="L69" s="13">
        <v>6.5926747589919099</v>
      </c>
      <c r="M69" s="13">
        <v>0.03</v>
      </c>
      <c r="N69" s="13">
        <v>0.01</v>
      </c>
      <c r="O69" s="13">
        <v>0.08</v>
      </c>
      <c r="P69" s="13">
        <v>0.06</v>
      </c>
      <c r="Q69" s="14">
        <v>2505842</v>
      </c>
      <c r="R69" s="14">
        <v>110565799</v>
      </c>
      <c r="S69" s="14">
        <v>1355307</v>
      </c>
      <c r="T69" s="14">
        <v>14311</v>
      </c>
      <c r="U69" s="14">
        <v>4206024</v>
      </c>
      <c r="V69" s="14">
        <f>(161377613+V68)/2</f>
        <v>154085617</v>
      </c>
    </row>
    <row r="70" spans="1:22" x14ac:dyDescent="0.2">
      <c r="A70" s="9" t="s">
        <v>14</v>
      </c>
      <c r="B70" s="10">
        <v>2014</v>
      </c>
      <c r="C70" s="11">
        <f>((4289757+2894719+735380+7732428+128015011+20250805+5935128)+(3300559+4978350+2505842+2877307+110565799+19434485+628689))/2</f>
        <v>157072129.5</v>
      </c>
      <c r="D70" s="11">
        <v>6564658</v>
      </c>
      <c r="E70" s="12"/>
      <c r="F70" s="9"/>
      <c r="G70" s="13">
        <f>(102765+414089+1005655)/128015011</f>
        <v>1.189320680525505E-2</v>
      </c>
      <c r="H70" s="13">
        <f>AVERAGE(H71:H78)</f>
        <v>0.10337499999999999</v>
      </c>
      <c r="I70" s="13"/>
      <c r="J70" s="13"/>
      <c r="K70" s="13">
        <v>6.4222466560102589</v>
      </c>
      <c r="L70" s="13">
        <v>4.0845544663762201</v>
      </c>
      <c r="M70" s="13">
        <v>0.03</v>
      </c>
      <c r="N70" s="13">
        <v>0.01</v>
      </c>
      <c r="O70" s="13">
        <v>0.08</v>
      </c>
      <c r="P70" s="13">
        <v>0.06</v>
      </c>
      <c r="Q70" s="14">
        <v>735380</v>
      </c>
      <c r="R70" s="14">
        <v>128015011</v>
      </c>
      <c r="S70" s="14">
        <v>1368918</v>
      </c>
      <c r="T70" s="14">
        <v>735380</v>
      </c>
      <c r="U70" s="14">
        <v>4460613</v>
      </c>
      <c r="V70" s="14">
        <f>(189802627+V69)/2</f>
        <v>171944122</v>
      </c>
    </row>
    <row r="71" spans="1:22" x14ac:dyDescent="0.2">
      <c r="A71" s="9" t="s">
        <v>14</v>
      </c>
      <c r="B71" s="10">
        <v>2015</v>
      </c>
      <c r="C71" s="11">
        <f>((7497267+2207868+552+124841+185916813+25109203+16148253)+(4289757+2894719+735380+7732428+128015011+20250805+5935128))/2</f>
        <v>203429012.5</v>
      </c>
      <c r="D71" s="11">
        <v>6575107</v>
      </c>
      <c r="E71" s="12"/>
      <c r="F71" s="9"/>
      <c r="G71" s="13">
        <f>(1776909+1140028+7861476)/185916813</f>
        <v>5.7974385565656185E-2</v>
      </c>
      <c r="H71" s="13">
        <v>9.5000000000000001E-2</v>
      </c>
      <c r="I71" s="13"/>
      <c r="J71" s="13"/>
      <c r="K71" s="13">
        <v>6.9871667237754878</v>
      </c>
      <c r="L71" s="13">
        <v>0.63120090517571803</v>
      </c>
      <c r="M71" s="13">
        <v>0.03</v>
      </c>
      <c r="N71" s="13">
        <v>0.01</v>
      </c>
      <c r="O71" s="13">
        <v>0.08</v>
      </c>
      <c r="P71" s="13">
        <v>0.06</v>
      </c>
      <c r="Q71" s="14">
        <v>552</v>
      </c>
      <c r="R71" s="14">
        <v>185916813</v>
      </c>
      <c r="S71" s="14">
        <v>2887084</v>
      </c>
      <c r="T71" s="14">
        <v>552</v>
      </c>
      <c r="U71" s="14">
        <v>5154547</v>
      </c>
      <c r="V71" s="14">
        <f>(292032736+V70)/2</f>
        <v>231988429</v>
      </c>
    </row>
    <row r="72" spans="1:22" x14ac:dyDescent="0.2">
      <c r="A72" s="9" t="s">
        <v>14</v>
      </c>
      <c r="B72" s="10">
        <v>2016</v>
      </c>
      <c r="C72" s="11">
        <f>((8954312+2372080+112808+105624+198859665+27589161+39292300)+(7497267+2207868+552+124841+185916813+25109203+16148253))/2</f>
        <v>257145373.5</v>
      </c>
      <c r="D72" s="11">
        <v>4020697</v>
      </c>
      <c r="E72" s="12"/>
      <c r="F72" s="9"/>
      <c r="G72" s="13">
        <f>(2613243+2621783+8510318)/198859665</f>
        <v>6.9120824476899323E-2</v>
      </c>
      <c r="H72" s="13">
        <v>9.6000000000000002E-2</v>
      </c>
      <c r="I72" s="13"/>
      <c r="J72" s="13"/>
      <c r="K72" s="13">
        <v>6.6900092133089402</v>
      </c>
      <c r="L72" s="13">
        <v>2.66824816969083</v>
      </c>
      <c r="M72" s="13">
        <v>0.03</v>
      </c>
      <c r="N72" s="13">
        <v>0.01</v>
      </c>
      <c r="O72" s="13">
        <v>0.08</v>
      </c>
      <c r="P72" s="13">
        <v>0.06</v>
      </c>
      <c r="Q72" s="14">
        <v>112808</v>
      </c>
      <c r="R72" s="14">
        <v>198859665</v>
      </c>
      <c r="S72" s="14">
        <v>2462306</v>
      </c>
      <c r="T72" s="14">
        <v>552</v>
      </c>
      <c r="U72" s="14">
        <v>5678323</v>
      </c>
      <c r="V72" s="14">
        <f>(332023043+V71)/2</f>
        <v>282005736</v>
      </c>
    </row>
    <row r="73" spans="1:22" x14ac:dyDescent="0.2">
      <c r="A73" s="9" t="s">
        <v>14</v>
      </c>
      <c r="B73" s="10">
        <v>2017</v>
      </c>
      <c r="C73" s="11">
        <f>((3002395+6928778+444594+63250+222946630+30007436+45266699)+(8954312+2372080+112808+105624+198859665+27589161+39292300))/2</f>
        <v>292972866</v>
      </c>
      <c r="D73" s="11">
        <v>5278035</v>
      </c>
      <c r="E73" s="12"/>
      <c r="F73" s="9"/>
      <c r="G73" s="13">
        <f>(1474519+627133+8303036)/222946630</f>
        <v>4.6668962881385556E-2</v>
      </c>
      <c r="H73" s="13">
        <v>0.113</v>
      </c>
      <c r="I73" s="13"/>
      <c r="J73" s="13"/>
      <c r="K73" s="13">
        <v>6.9401877821904918</v>
      </c>
      <c r="L73" s="13">
        <v>3.5202568881161902</v>
      </c>
      <c r="M73" s="13">
        <v>0.03</v>
      </c>
      <c r="N73" s="13">
        <v>0.01</v>
      </c>
      <c r="O73" s="13">
        <v>0.08</v>
      </c>
      <c r="P73" s="13">
        <v>0.06</v>
      </c>
      <c r="Q73" s="14">
        <v>444594</v>
      </c>
      <c r="R73" s="14">
        <v>222946630</v>
      </c>
      <c r="S73" s="14">
        <v>2646644</v>
      </c>
      <c r="T73" s="14">
        <v>552</v>
      </c>
      <c r="U73" s="14">
        <v>6336893</v>
      </c>
      <c r="V73" s="14">
        <f>(368468840+V72)/2</f>
        <v>325237288</v>
      </c>
    </row>
    <row r="74" spans="1:22" x14ac:dyDescent="0.2">
      <c r="A74" s="9" t="s">
        <v>14</v>
      </c>
      <c r="B74" s="10">
        <v>2018</v>
      </c>
      <c r="C74" s="11">
        <f>((9611502+4448288+374718+256622753+37988732+40233215)+(3002395+6928778+444594+63250+222946630+30007436+45266699))/2</f>
        <v>328969495</v>
      </c>
      <c r="D74" s="11">
        <v>7633794</v>
      </c>
      <c r="E74" s="12"/>
      <c r="F74" s="9"/>
      <c r="G74" s="13">
        <f>(193601+311452+4957452)/256622753</f>
        <v>2.128612890377651E-2</v>
      </c>
      <c r="H74" s="13">
        <v>0.11899999999999999</v>
      </c>
      <c r="I74" s="13"/>
      <c r="J74" s="13"/>
      <c r="K74" s="13">
        <v>7.4649912574460018</v>
      </c>
      <c r="L74" s="13">
        <v>3.53962805942641</v>
      </c>
      <c r="M74" s="13">
        <v>0.03</v>
      </c>
      <c r="N74" s="13">
        <v>0.01</v>
      </c>
      <c r="O74" s="13">
        <v>0.08</v>
      </c>
      <c r="P74" s="13">
        <v>0.06</v>
      </c>
      <c r="Q74" s="14">
        <v>374718</v>
      </c>
      <c r="R74" s="14">
        <v>256622753</v>
      </c>
      <c r="S74" s="14">
        <v>3522642</v>
      </c>
      <c r="T74" s="14">
        <v>552</v>
      </c>
      <c r="U74" s="14">
        <v>7837830</v>
      </c>
      <c r="V74" s="14">
        <f>(406040598+V73)/2</f>
        <v>365638943</v>
      </c>
    </row>
    <row r="75" spans="1:22" x14ac:dyDescent="0.2">
      <c r="A75" s="9" t="s">
        <v>14</v>
      </c>
      <c r="B75" s="10">
        <v>2019</v>
      </c>
      <c r="C75" s="11">
        <f>((12109861+13150915+296029774+46890019+33647189)+(9611502+4448288+374718+256622753+37988732+40233215))/2</f>
        <v>375553483</v>
      </c>
      <c r="D75" s="11">
        <v>9180688</v>
      </c>
      <c r="E75" s="12"/>
      <c r="F75" s="9"/>
      <c r="G75" s="13">
        <f>(298378+412614+5022334)/296029774</f>
        <v>1.9367396470059122E-2</v>
      </c>
      <c r="H75" s="13">
        <v>0.115</v>
      </c>
      <c r="I75" s="13"/>
      <c r="J75" s="13"/>
      <c r="K75" s="13">
        <v>7.3592809998546045</v>
      </c>
      <c r="L75" s="13">
        <v>2.7958236745224401</v>
      </c>
      <c r="M75" s="13">
        <v>0.03</v>
      </c>
      <c r="N75" s="13">
        <v>0.01</v>
      </c>
      <c r="O75" s="13">
        <v>0.08</v>
      </c>
      <c r="P75" s="13">
        <v>0.06</v>
      </c>
      <c r="Q75" s="14">
        <v>434109</v>
      </c>
      <c r="R75" s="14">
        <v>296029774</v>
      </c>
      <c r="S75" s="14">
        <v>3971059</v>
      </c>
      <c r="T75" s="14">
        <v>434109</v>
      </c>
      <c r="U75" s="14">
        <v>9265703</v>
      </c>
      <c r="V75" s="14">
        <f>(453581057+V74)/2</f>
        <v>409610000</v>
      </c>
    </row>
    <row r="76" spans="1:22" x14ac:dyDescent="0.2">
      <c r="A76" s="9" t="s">
        <v>14</v>
      </c>
      <c r="B76" s="10">
        <v>2020</v>
      </c>
      <c r="C76" s="11">
        <f>((10052590+17643777+753593+340268127+52227759+27322052)+(12109861+13150915+296029774+46890019+33647189))/2</f>
        <v>425047828</v>
      </c>
      <c r="D76" s="11">
        <v>11526554</v>
      </c>
      <c r="E76" s="12"/>
      <c r="F76" s="9"/>
      <c r="G76" s="13">
        <f>(277382+958159+4544718)/340268127</f>
        <v>1.6987365378479894E-2</v>
      </c>
      <c r="H76" s="13">
        <v>9.5000000000000001E-2</v>
      </c>
      <c r="I76" s="13"/>
      <c r="J76" s="13"/>
      <c r="K76" s="13">
        <v>2.8654119461210428</v>
      </c>
      <c r="L76" s="13">
        <v>3.2209343665251402</v>
      </c>
      <c r="M76" s="13">
        <v>0.03</v>
      </c>
      <c r="N76" s="13">
        <v>0.01</v>
      </c>
      <c r="O76" s="13">
        <v>0.08</v>
      </c>
      <c r="P76" s="13">
        <v>0.06</v>
      </c>
      <c r="Q76" s="14">
        <v>753593</v>
      </c>
      <c r="R76" s="14">
        <v>340268127</v>
      </c>
      <c r="S76" s="14">
        <v>5413551</v>
      </c>
      <c r="T76" s="14">
        <v>0</v>
      </c>
      <c r="U76" s="14">
        <v>10894615</v>
      </c>
      <c r="V76" s="14">
        <f>(492516029+V75)/2</f>
        <v>451063014.5</v>
      </c>
    </row>
    <row r="77" spans="1:22" x14ac:dyDescent="0.2">
      <c r="A77" s="9" t="s">
        <v>14</v>
      </c>
      <c r="B77" s="10">
        <v>2021</v>
      </c>
      <c r="C77" s="11">
        <f>((12169867+7678393+675186+387929596+34048080+41650354)+(10052590+17643777+753593+340268127+52227759+27322052))/2</f>
        <v>466209687</v>
      </c>
      <c r="D77" s="11">
        <v>11964487</v>
      </c>
      <c r="E77" s="12"/>
      <c r="F77" s="9"/>
      <c r="G77" s="13">
        <f>(551582+752821+4527526)/387929596</f>
        <v>1.5033472723230945E-2</v>
      </c>
      <c r="H77" s="13">
        <v>9.9000000000000005E-2</v>
      </c>
      <c r="I77" s="13"/>
      <c r="J77" s="13"/>
      <c r="K77" s="13">
        <v>2.5615511423249444</v>
      </c>
      <c r="L77" s="13">
        <v>1.83471554810462</v>
      </c>
      <c r="M77" s="13">
        <v>0.03</v>
      </c>
      <c r="N77" s="13">
        <v>0.01</v>
      </c>
      <c r="O77" s="13">
        <v>0.08</v>
      </c>
      <c r="P77" s="13">
        <v>0.06</v>
      </c>
      <c r="Q77" s="14">
        <v>675186</v>
      </c>
      <c r="R77" s="14">
        <v>387929596</v>
      </c>
      <c r="S77" s="14">
        <v>6917279</v>
      </c>
      <c r="T77" s="14">
        <v>0</v>
      </c>
      <c r="U77" s="14">
        <v>9749916</v>
      </c>
      <c r="V77" s="14">
        <f>(521117123+V76)/2</f>
        <v>486090068.75</v>
      </c>
    </row>
    <row r="78" spans="1:22" x14ac:dyDescent="0.2">
      <c r="A78" s="9" t="s">
        <v>14</v>
      </c>
      <c r="B78" s="10">
        <v>2022</v>
      </c>
      <c r="C78" s="11">
        <f>((12286117+24968280+325305+438627777+27896339+55551832)+(12169867+7678393+675186+387929596+34048080+41650354))/2</f>
        <v>521903563</v>
      </c>
      <c r="D78" s="11">
        <v>17147134</v>
      </c>
      <c r="E78" s="12"/>
      <c r="F78" s="9"/>
      <c r="G78" s="13">
        <f>(560727+731065+3007042)/438627777</f>
        <v>9.8006424248868306E-3</v>
      </c>
      <c r="H78" s="13">
        <v>9.5000000000000001E-2</v>
      </c>
      <c r="I78" s="13"/>
      <c r="J78" s="13"/>
      <c r="K78" s="13">
        <v>8.02</v>
      </c>
      <c r="L78" s="13">
        <v>3.1565074996311102</v>
      </c>
      <c r="M78" s="13">
        <v>0.03</v>
      </c>
      <c r="N78" s="13">
        <v>0.01</v>
      </c>
      <c r="O78" s="13">
        <v>0.08</v>
      </c>
      <c r="P78" s="13">
        <v>0.06</v>
      </c>
      <c r="Q78" s="14">
        <v>325305</v>
      </c>
      <c r="R78" s="14">
        <v>438627777</v>
      </c>
      <c r="S78" s="14">
        <v>5630184</v>
      </c>
      <c r="T78" s="14">
        <v>0</v>
      </c>
      <c r="U78" s="14">
        <v>10920717</v>
      </c>
      <c r="V78" s="14">
        <f>(591907695+V77)/2</f>
        <v>538998881.875</v>
      </c>
    </row>
    <row r="79" spans="1:22" x14ac:dyDescent="0.2">
      <c r="A79" s="15" t="s">
        <v>15</v>
      </c>
      <c r="B79" s="16">
        <v>2012</v>
      </c>
      <c r="C79" s="17">
        <f>((3031869+20996608+8890044+40564+56939724+8418596+4290544)+(35112+18845175+36165+29161851+12501240+2610840))/2</f>
        <v>82899166</v>
      </c>
      <c r="D79" s="17">
        <v>1875528</v>
      </c>
      <c r="E79" s="18"/>
      <c r="F79" s="15"/>
      <c r="G79" s="19">
        <f>(1030821+1774175+2209471)/56805301</f>
        <v>8.8274631270768192E-2</v>
      </c>
      <c r="H79" s="19">
        <v>0.14199999999999999</v>
      </c>
      <c r="I79" s="19"/>
      <c r="J79" s="19"/>
      <c r="K79" s="19">
        <v>5.5045456198033094</v>
      </c>
      <c r="L79" s="19">
        <v>9.0947033955719299</v>
      </c>
      <c r="M79" s="19">
        <v>0.03</v>
      </c>
      <c r="N79" s="19">
        <v>0.01</v>
      </c>
      <c r="O79" s="19">
        <v>0.08</v>
      </c>
      <c r="P79" s="19">
        <v>0.06</v>
      </c>
      <c r="Q79" s="20">
        <v>8890044</v>
      </c>
      <c r="R79" s="20">
        <v>56939724</v>
      </c>
      <c r="S79" s="20">
        <v>1250431</v>
      </c>
      <c r="T79" s="20">
        <v>24404</v>
      </c>
      <c r="U79" s="20">
        <v>1678993</v>
      </c>
      <c r="V79" s="20">
        <f>(116537614+70989542)/2</f>
        <v>93763578</v>
      </c>
    </row>
    <row r="80" spans="1:22" x14ac:dyDescent="0.2">
      <c r="A80" s="15" t="s">
        <v>15</v>
      </c>
      <c r="B80" s="16">
        <v>2013</v>
      </c>
      <c r="C80" s="17">
        <f>((1981052+17626577+12636028+51887+76509671+8101622+10562229)+(3031869+20996608+8890044+40564+56939724+8418596+4290544))/2</f>
        <v>115038507.5</v>
      </c>
      <c r="D80" s="17">
        <v>2104058</v>
      </c>
      <c r="E80" s="18"/>
      <c r="F80" s="15"/>
      <c r="G80" s="19">
        <f>(144391+434850+2524550+1228584)/76363375</f>
        <v>5.6733676320618362E-2</v>
      </c>
      <c r="H80" s="19">
        <v>0.124</v>
      </c>
      <c r="I80" s="19"/>
      <c r="J80" s="19"/>
      <c r="K80" s="19">
        <v>5.553500244795103</v>
      </c>
      <c r="L80" s="19">
        <v>6.5926747589919099</v>
      </c>
      <c r="M80" s="19">
        <v>0.03</v>
      </c>
      <c r="N80" s="19">
        <v>0.01</v>
      </c>
      <c r="O80" s="19">
        <v>0.08</v>
      </c>
      <c r="P80" s="19">
        <v>0.06</v>
      </c>
      <c r="Q80" s="20">
        <v>12636028</v>
      </c>
      <c r="R80" s="20">
        <v>76509671</v>
      </c>
      <c r="S80" s="20">
        <v>1187621</v>
      </c>
      <c r="T80" s="20">
        <v>0</v>
      </c>
      <c r="U80" s="20">
        <v>1860870</v>
      </c>
      <c r="V80" s="20">
        <f>(143625803+V79)/2</f>
        <v>118694690.5</v>
      </c>
    </row>
    <row r="81" spans="1:22" x14ac:dyDescent="0.2">
      <c r="A81" s="15" t="s">
        <v>15</v>
      </c>
      <c r="B81" s="16">
        <v>2014</v>
      </c>
      <c r="C81" s="17">
        <f>((3346049+24496548+4999952+50877+104095714+5794806+8043327)+(1981052+17626577+12636028+51887+76509671+8101622+10562229))/2</f>
        <v>139148169.5</v>
      </c>
      <c r="D81" s="17">
        <v>2725965</v>
      </c>
      <c r="E81" s="18"/>
      <c r="F81" s="15"/>
      <c r="G81" s="19">
        <f>(262754+356024+1488896)/103951454</f>
        <v>2.0275560551562849E-2</v>
      </c>
      <c r="H81" s="19">
        <v>0.113</v>
      </c>
      <c r="I81" s="19"/>
      <c r="J81" s="19"/>
      <c r="K81" s="19">
        <v>6.4222466560102589</v>
      </c>
      <c r="L81" s="19">
        <v>4.0845544663762201</v>
      </c>
      <c r="M81" s="19">
        <v>0.03</v>
      </c>
      <c r="N81" s="19">
        <v>0.01</v>
      </c>
      <c r="O81" s="19">
        <v>0.08</v>
      </c>
      <c r="P81" s="19">
        <v>0.06</v>
      </c>
      <c r="Q81" s="20">
        <v>4999952</v>
      </c>
      <c r="R81" s="20">
        <v>104095714</v>
      </c>
      <c r="S81" s="20">
        <v>1047248</v>
      </c>
      <c r="T81" s="20">
        <v>5137</v>
      </c>
      <c r="U81" s="20">
        <v>1624353</v>
      </c>
      <c r="V81" s="20">
        <f>(169035546+V80)/2</f>
        <v>143865118.25</v>
      </c>
    </row>
    <row r="82" spans="1:22" x14ac:dyDescent="0.2">
      <c r="A82" s="15" t="s">
        <v>15</v>
      </c>
      <c r="B82" s="16">
        <v>2015</v>
      </c>
      <c r="C82" s="17">
        <f>((4362518+25935846+3863000+70927+131427193+7479883+10399493)+(3346049+24496548+4999952+50877+104095714+5794806+8043327))/2</f>
        <v>167183066.5</v>
      </c>
      <c r="D82" s="17">
        <v>3696154</v>
      </c>
      <c r="E82" s="18"/>
      <c r="F82" s="15"/>
      <c r="G82" s="19">
        <f>(181863+798176+1282636)/131229429</f>
        <v>1.7242130955244801E-2</v>
      </c>
      <c r="H82" s="19">
        <v>0.114</v>
      </c>
      <c r="I82" s="19"/>
      <c r="J82" s="19"/>
      <c r="K82" s="19">
        <v>6.9871667237754878</v>
      </c>
      <c r="L82" s="19">
        <v>0.63120090517571803</v>
      </c>
      <c r="M82" s="19">
        <v>0.03</v>
      </c>
      <c r="N82" s="19">
        <v>0.01</v>
      </c>
      <c r="O82" s="19">
        <v>0.08</v>
      </c>
      <c r="P82" s="19">
        <v>0.06</v>
      </c>
      <c r="Q82" s="20">
        <v>3863000</v>
      </c>
      <c r="R82" s="20">
        <v>131229429</v>
      </c>
      <c r="S82" s="20">
        <v>1421386</v>
      </c>
      <c r="T82" s="20">
        <v>5137</v>
      </c>
      <c r="U82" s="20">
        <v>2078640</v>
      </c>
      <c r="V82" s="20">
        <f>(204704140+V81)/2</f>
        <v>174284629.125</v>
      </c>
    </row>
    <row r="83" spans="1:22" x14ac:dyDescent="0.2">
      <c r="A83" s="15" t="s">
        <v>15</v>
      </c>
      <c r="B83" s="16">
        <v>2016</v>
      </c>
      <c r="C83" s="17">
        <f>((2718757+23230559+6911000+65382+162376185+10788497+9439853)+(4362518+25935846+3863000+70927+131427193+7479883+10399493))/2</f>
        <v>199534546.5</v>
      </c>
      <c r="D83" s="17">
        <v>4175448</v>
      </c>
      <c r="E83" s="18"/>
      <c r="F83" s="15"/>
      <c r="G83" s="19">
        <f>(263785+993341+1786854)/R83</f>
        <v>1.8766419530491553E-2</v>
      </c>
      <c r="H83" s="19">
        <v>0.13</v>
      </c>
      <c r="I83" s="19"/>
      <c r="J83" s="19"/>
      <c r="K83" s="19">
        <v>6.6900092133089402</v>
      </c>
      <c r="L83" s="19">
        <v>2.66824816969083</v>
      </c>
      <c r="M83" s="19">
        <v>0.03</v>
      </c>
      <c r="N83" s="19">
        <v>0.01</v>
      </c>
      <c r="O83" s="19">
        <v>0.08</v>
      </c>
      <c r="P83" s="19">
        <v>0.06</v>
      </c>
      <c r="Q83" s="20">
        <v>6911000</v>
      </c>
      <c r="R83" s="20">
        <v>162203557</v>
      </c>
      <c r="S83" s="20">
        <v>1797385</v>
      </c>
      <c r="T83" s="20">
        <v>5137</v>
      </c>
      <c r="U83" s="20">
        <v>2507759</v>
      </c>
      <c r="V83" s="20">
        <f>(233947740+V82)/2</f>
        <v>204116184.5625</v>
      </c>
    </row>
    <row r="84" spans="1:22" x14ac:dyDescent="0.2">
      <c r="A84" s="15" t="s">
        <v>15</v>
      </c>
      <c r="B84" s="16">
        <v>2017</v>
      </c>
      <c r="C84" s="17">
        <f>((3742659+27859510+5654006+3889+198290566+12268348+10682862)+(2718757+23230559+6911000+65382+162376185+10788497+9439853))/2</f>
        <v>237016036.5</v>
      </c>
      <c r="D84" s="17">
        <v>4796660</v>
      </c>
      <c r="E84" s="18"/>
      <c r="F84" s="15"/>
      <c r="G84" s="19">
        <f>(669686+1088771+2865240)/198290566</f>
        <v>2.3317786081663613E-2</v>
      </c>
      <c r="H84" s="19">
        <v>0.113</v>
      </c>
      <c r="I84" s="19"/>
      <c r="J84" s="19"/>
      <c r="K84" s="19">
        <v>6.9401877821904918</v>
      </c>
      <c r="L84" s="19">
        <v>3.5202568881161902</v>
      </c>
      <c r="M84" s="19">
        <v>0.03</v>
      </c>
      <c r="N84" s="19">
        <v>0.01</v>
      </c>
      <c r="O84" s="19">
        <v>0.08</v>
      </c>
      <c r="P84" s="19">
        <v>0.06</v>
      </c>
      <c r="Q84" s="20">
        <v>5654006</v>
      </c>
      <c r="R84" s="20">
        <v>198290566</v>
      </c>
      <c r="S84" s="20">
        <v>2849015</v>
      </c>
      <c r="T84" s="20">
        <v>0</v>
      </c>
      <c r="U84" s="20">
        <v>2896897</v>
      </c>
      <c r="V84" s="20">
        <f>(286010081+V83)/2</f>
        <v>245063132.78125</v>
      </c>
    </row>
    <row r="85" spans="1:22" x14ac:dyDescent="0.2">
      <c r="A85" s="15" t="s">
        <v>15</v>
      </c>
      <c r="B85" s="16">
        <v>2018</v>
      </c>
      <c r="C85" s="17">
        <f>((4328739+29300327+3889+216988881+25193006+24761139)+(3742659+27859510+5654006+3889+198290566+12268348+10682862))/2</f>
        <v>279538910.5</v>
      </c>
      <c r="D85" s="17">
        <v>5555902</v>
      </c>
      <c r="E85" s="18"/>
      <c r="F85" s="15"/>
      <c r="G85" s="19">
        <f>(339729+920954+3938122)/216988881</f>
        <v>2.3958854370975811E-2</v>
      </c>
      <c r="H85" s="19">
        <v>0.11799999999999999</v>
      </c>
      <c r="I85" s="19"/>
      <c r="J85" s="19"/>
      <c r="K85" s="19">
        <v>7.4649912574460018</v>
      </c>
      <c r="L85" s="19">
        <v>3.53962805942641</v>
      </c>
      <c r="M85" s="19">
        <v>0.03</v>
      </c>
      <c r="N85" s="19">
        <v>0.01</v>
      </c>
      <c r="O85" s="19">
        <v>0.08</v>
      </c>
      <c r="P85" s="19">
        <v>0.06</v>
      </c>
      <c r="Q85" s="20">
        <v>0</v>
      </c>
      <c r="R85" s="20">
        <v>216988881</v>
      </c>
      <c r="S85" s="20">
        <v>3002229</v>
      </c>
      <c r="T85" s="20">
        <v>0</v>
      </c>
      <c r="U85" s="20">
        <v>3222791</v>
      </c>
      <c r="V85" s="20">
        <f>(323276008+V84)/2</f>
        <v>284169570.390625</v>
      </c>
    </row>
    <row r="86" spans="1:22" x14ac:dyDescent="0.2">
      <c r="A86" s="15" t="s">
        <v>15</v>
      </c>
      <c r="B86" s="16">
        <v>2019</v>
      </c>
      <c r="C86" s="17">
        <f>((10163244+33617238+91252+3889+265161676+6558244+15780793)+(4328739+29300327+3889+216988881+25193006+24761139))/2</f>
        <v>315976158.5</v>
      </c>
      <c r="D86" s="17">
        <v>7830439</v>
      </c>
      <c r="E86" s="18"/>
      <c r="F86" s="15"/>
      <c r="G86" s="19">
        <f>(1069368+463560+3522820)/265161676</f>
        <v>1.9066661805230103E-2</v>
      </c>
      <c r="H86" s="19">
        <v>0.12</v>
      </c>
      <c r="I86" s="19"/>
      <c r="J86" s="19"/>
      <c r="K86" s="19">
        <v>7.3592809998546045</v>
      </c>
      <c r="L86" s="19">
        <v>2.7958236745224401</v>
      </c>
      <c r="M86" s="19">
        <v>0.03</v>
      </c>
      <c r="N86" s="19">
        <v>0.01</v>
      </c>
      <c r="O86" s="19">
        <v>0.08</v>
      </c>
      <c r="P86" s="19">
        <v>0.06</v>
      </c>
      <c r="Q86" s="20">
        <v>91252</v>
      </c>
      <c r="R86" s="20">
        <v>265161676</v>
      </c>
      <c r="S86" s="20">
        <v>3130469</v>
      </c>
      <c r="T86" s="20">
        <v>0</v>
      </c>
      <c r="U86" s="20">
        <v>3951732</v>
      </c>
      <c r="V86" s="20">
        <f>(365254318+V85)/2</f>
        <v>324711944.1953125</v>
      </c>
    </row>
    <row r="87" spans="1:22" x14ac:dyDescent="0.2">
      <c r="A87" s="15" t="s">
        <v>15</v>
      </c>
      <c r="B87" s="16">
        <v>2020</v>
      </c>
      <c r="C87" s="17">
        <f>((14806140+31153939+96575+3889+305637310+16386007+13132592)+(10163244+33617238+91252+3889+265161676+6558244+15780793))/2</f>
        <v>356296394</v>
      </c>
      <c r="D87" s="17">
        <v>9933199</v>
      </c>
      <c r="E87" s="18"/>
      <c r="F87" s="15"/>
      <c r="G87" s="19">
        <f>(704066+1092911+3801808)/305637310</f>
        <v>1.8318395093845054E-2</v>
      </c>
      <c r="H87" s="19">
        <v>0.1</v>
      </c>
      <c r="I87" s="19"/>
      <c r="J87" s="19"/>
      <c r="K87" s="19">
        <v>2.8654119461210428</v>
      </c>
      <c r="L87" s="19">
        <v>3.2209343665251402</v>
      </c>
      <c r="M87" s="19">
        <v>0.03</v>
      </c>
      <c r="N87" s="19">
        <v>0.01</v>
      </c>
      <c r="O87" s="19">
        <v>0.08</v>
      </c>
      <c r="P87" s="19">
        <v>0.06</v>
      </c>
      <c r="Q87" s="20">
        <f>676+95899</f>
        <v>96575</v>
      </c>
      <c r="R87" s="20">
        <v>305637310</v>
      </c>
      <c r="S87" s="20">
        <v>3438234</v>
      </c>
      <c r="T87" s="20">
        <v>0</v>
      </c>
      <c r="U87" s="20">
        <v>4299189</v>
      </c>
      <c r="V87" s="20">
        <f>(412679593+V86)/2</f>
        <v>368695768.59765625</v>
      </c>
    </row>
    <row r="88" spans="1:22" x14ac:dyDescent="0.2">
      <c r="A88" s="15" t="s">
        <v>15</v>
      </c>
      <c r="B88" s="16">
        <v>2021</v>
      </c>
      <c r="C88" s="17">
        <f>((14352057+55578817+8592759+3881+362416124+9981614+15168829)+(14806140+31153939+96575+3889+305637310+16386007+13132592))/2</f>
        <v>423655266.5</v>
      </c>
      <c r="D88" s="17">
        <v>15570349</v>
      </c>
      <c r="E88" s="18"/>
      <c r="F88" s="15"/>
      <c r="G88" s="21">
        <f>(1479683+1601012+3031864)/362416124</f>
        <v>1.6866134245175031E-2</v>
      </c>
      <c r="H88" s="19">
        <v>0.11899999999999999</v>
      </c>
      <c r="I88" s="19"/>
      <c r="J88" s="19"/>
      <c r="K88" s="19">
        <v>2.5615511423249444</v>
      </c>
      <c r="L88" s="19">
        <v>1.83471554810462</v>
      </c>
      <c r="M88" s="19">
        <v>0.03</v>
      </c>
      <c r="N88" s="19">
        <v>0.01</v>
      </c>
      <c r="O88" s="19">
        <v>0.08</v>
      </c>
      <c r="P88" s="19">
        <v>0.06</v>
      </c>
      <c r="Q88" s="20">
        <f>8263453+329306</f>
        <v>8592759</v>
      </c>
      <c r="R88" s="20">
        <v>362416124</v>
      </c>
      <c r="S88" s="20">
        <v>4637516</v>
      </c>
      <c r="T88" s="20">
        <v>39794</v>
      </c>
      <c r="U88" s="20">
        <v>4405941</v>
      </c>
      <c r="V88" s="20">
        <f>(506604328+V87)/2</f>
        <v>437650048.29882812</v>
      </c>
    </row>
    <row r="89" spans="1:22" x14ac:dyDescent="0.2">
      <c r="A89" s="15" t="s">
        <v>15</v>
      </c>
      <c r="B89" s="16">
        <v>2022</v>
      </c>
      <c r="C89" s="17">
        <f>((15145862+52456685+10651971+3881+385633215+12988616+20063662)+(14352057+55578817+8592759+3881+362416124+9981614+15168829))/2</f>
        <v>481518986.5</v>
      </c>
      <c r="D89" s="17">
        <v>17550084</v>
      </c>
      <c r="E89" s="18"/>
      <c r="F89" s="15"/>
      <c r="G89" s="19">
        <f>(1611827+1898472+7342657)/385633215</f>
        <v>2.8143208566720583E-2</v>
      </c>
      <c r="H89" s="19">
        <v>0.122</v>
      </c>
      <c r="I89" s="19"/>
      <c r="J89" s="19"/>
      <c r="K89" s="19">
        <v>8.02</v>
      </c>
      <c r="L89" s="19">
        <v>3.1565074996311102</v>
      </c>
      <c r="M89" s="19">
        <v>0.03</v>
      </c>
      <c r="N89" s="19">
        <v>0.01</v>
      </c>
      <c r="O89" s="19">
        <v>0.08</v>
      </c>
      <c r="P89" s="19">
        <v>0.06</v>
      </c>
      <c r="Q89" s="20">
        <f>10463971+188000</f>
        <v>10651971</v>
      </c>
      <c r="R89" s="20">
        <v>385633215</v>
      </c>
      <c r="S89" s="20">
        <v>7057772</v>
      </c>
      <c r="T89" s="20">
        <v>99794</v>
      </c>
      <c r="U89" s="20">
        <v>4391593</v>
      </c>
      <c r="V89" s="20">
        <f>(550904120+V88)/2</f>
        <v>494277084.14941406</v>
      </c>
    </row>
    <row r="90" spans="1:22" x14ac:dyDescent="0.2">
      <c r="A90" s="22" t="s">
        <v>16</v>
      </c>
      <c r="B90" s="23">
        <v>2012</v>
      </c>
      <c r="C90" s="24">
        <f>((625088+1406279+1267789+1474300+17238801+2688634+375000)+(961109+3505287+47716+13845763+1303237+2821149))/2</f>
        <v>23780076</v>
      </c>
      <c r="D90" s="24">
        <v>1185087</v>
      </c>
      <c r="E90" s="25"/>
      <c r="F90" s="22"/>
      <c r="G90" s="26">
        <v>2.8000000000000001E-2</v>
      </c>
      <c r="H90" s="26">
        <f>AVERAGE($H$98:$H$100)</f>
        <v>0.12666666666666668</v>
      </c>
      <c r="I90" s="26"/>
      <c r="J90" s="26"/>
      <c r="K90" s="26">
        <v>5.5045456198033094</v>
      </c>
      <c r="L90" s="26">
        <v>9.0947033955719299</v>
      </c>
      <c r="M90" s="26">
        <v>0.03</v>
      </c>
      <c r="N90" s="26">
        <v>0.01</v>
      </c>
      <c r="O90" s="26">
        <v>0.08</v>
      </c>
      <c r="P90" s="26">
        <v>0.06</v>
      </c>
      <c r="Q90" s="27">
        <v>1267789</v>
      </c>
      <c r="R90" s="27">
        <v>17238801</v>
      </c>
      <c r="S90" s="27">
        <v>311408</v>
      </c>
      <c r="T90" s="27">
        <v>10328</v>
      </c>
      <c r="U90" s="27">
        <v>510533</v>
      </c>
      <c r="V90" s="27">
        <f>(27424137+25423766)/2</f>
        <v>26423951.5</v>
      </c>
    </row>
    <row r="91" spans="1:22" x14ac:dyDescent="0.2">
      <c r="A91" s="22" t="s">
        <v>16</v>
      </c>
      <c r="B91" s="23">
        <v>2013</v>
      </c>
      <c r="C91" s="24">
        <f>((399960+3750126+200000+363800+20178954+5052252+477480)+(625088+1406279+1267789+1474300+17238801+2688634+375000))/2</f>
        <v>27749231.5</v>
      </c>
      <c r="D91" s="24">
        <v>1257488</v>
      </c>
      <c r="E91" s="25"/>
      <c r="F91" s="22"/>
      <c r="G91" s="26">
        <v>2.9000000000000001E-2</v>
      </c>
      <c r="H91" s="26">
        <f t="shared" ref="H91:H97" si="3">AVERAGE($H$98:$H$100)</f>
        <v>0.12666666666666668</v>
      </c>
      <c r="I91" s="26"/>
      <c r="J91" s="26"/>
      <c r="K91" s="26">
        <v>5.553500244795103</v>
      </c>
      <c r="L91" s="26">
        <v>6.5926747589919099</v>
      </c>
      <c r="M91" s="26">
        <v>0.03</v>
      </c>
      <c r="N91" s="26">
        <v>0.01</v>
      </c>
      <c r="O91" s="26">
        <v>0.08</v>
      </c>
      <c r="P91" s="26">
        <v>0.06</v>
      </c>
      <c r="Q91" s="27">
        <v>200000</v>
      </c>
      <c r="R91" s="27">
        <v>20178954</v>
      </c>
      <c r="S91" s="27">
        <v>205447</v>
      </c>
      <c r="T91" s="27">
        <v>2372</v>
      </c>
      <c r="U91" s="27">
        <v>610086</v>
      </c>
      <c r="V91" s="27">
        <f>(32795208+V90)/2</f>
        <v>29609579.75</v>
      </c>
    </row>
    <row r="92" spans="1:22" x14ac:dyDescent="0.2">
      <c r="A92" s="22" t="s">
        <v>16</v>
      </c>
      <c r="B92" s="23">
        <v>2014</v>
      </c>
      <c r="C92" s="24">
        <f>((895558+2812224+1742613+94740+21463871+8751553+1275635)+(399960+3750126+200000+363800+20178954+5052252+477480))/2</f>
        <v>33729383</v>
      </c>
      <c r="D92" s="24">
        <v>1075269</v>
      </c>
      <c r="E92" s="25"/>
      <c r="F92" s="22"/>
      <c r="G92" s="26">
        <v>0.03</v>
      </c>
      <c r="H92" s="26">
        <f t="shared" si="3"/>
        <v>0.12666666666666668</v>
      </c>
      <c r="I92" s="26"/>
      <c r="J92" s="26"/>
      <c r="K92" s="26">
        <v>6.4222466560102589</v>
      </c>
      <c r="L92" s="26">
        <v>4.0845544663762201</v>
      </c>
      <c r="M92" s="26">
        <v>0.03</v>
      </c>
      <c r="N92" s="26">
        <v>0.01</v>
      </c>
      <c r="O92" s="26">
        <v>0.08</v>
      </c>
      <c r="P92" s="26">
        <v>0.06</v>
      </c>
      <c r="Q92" s="27">
        <v>1742613</v>
      </c>
      <c r="R92" s="27">
        <v>21463871</v>
      </c>
      <c r="S92" s="27">
        <v>304390</v>
      </c>
      <c r="T92" s="27">
        <v>0</v>
      </c>
      <c r="U92" s="27">
        <v>652906</v>
      </c>
      <c r="V92" s="27">
        <f>(39094911+V91)/2</f>
        <v>34352245.375</v>
      </c>
    </row>
    <row r="93" spans="1:22" x14ac:dyDescent="0.2">
      <c r="A93" s="22" t="s">
        <v>16</v>
      </c>
      <c r="B93" s="23">
        <v>2015</v>
      </c>
      <c r="C93" s="24">
        <f>((1181602+6014891+190000+27693970+10625889+1136992)+(895558+2812224+1742613+94740+21463871+8751553+1275635))/2</f>
        <v>41939769</v>
      </c>
      <c r="D93" s="24">
        <v>1331055</v>
      </c>
      <c r="E93" s="25"/>
      <c r="F93" s="22"/>
      <c r="G93" s="26">
        <v>1.9E-2</v>
      </c>
      <c r="H93" s="26">
        <f t="shared" si="3"/>
        <v>0.12666666666666668</v>
      </c>
      <c r="I93" s="26"/>
      <c r="J93" s="26"/>
      <c r="K93" s="26">
        <v>6.9871667237754878</v>
      </c>
      <c r="L93" s="26">
        <v>0.63120090517571803</v>
      </c>
      <c r="M93" s="26">
        <v>0.03</v>
      </c>
      <c r="N93" s="26">
        <v>0.01</v>
      </c>
      <c r="O93" s="26">
        <v>0.08</v>
      </c>
      <c r="P93" s="26">
        <v>0.06</v>
      </c>
      <c r="Q93" s="27">
        <v>190000</v>
      </c>
      <c r="R93" s="27">
        <v>27693970</v>
      </c>
      <c r="S93" s="27">
        <v>241468</v>
      </c>
      <c r="T93" s="27">
        <v>0</v>
      </c>
      <c r="U93" s="27">
        <v>796628</v>
      </c>
      <c r="V93" s="27">
        <f>(49447189+V92)/2</f>
        <v>41899717.1875</v>
      </c>
    </row>
    <row r="94" spans="1:22" x14ac:dyDescent="0.2">
      <c r="A94" s="22" t="s">
        <v>16</v>
      </c>
      <c r="B94" s="23">
        <v>2016</v>
      </c>
      <c r="C94" s="24">
        <f>((1199607+4221401+2240810+38506723+14099861+770215)+(1181602+6014891+190000+27693970+10625889+1136992))/2</f>
        <v>53940980.5</v>
      </c>
      <c r="D94" s="24">
        <v>1660680</v>
      </c>
      <c r="E94" s="25"/>
      <c r="F94" s="22"/>
      <c r="G94" s="26">
        <f>(105821+94852+474825)/38506723</f>
        <v>1.7542339294881051E-2</v>
      </c>
      <c r="H94" s="26">
        <f t="shared" si="3"/>
        <v>0.12666666666666668</v>
      </c>
      <c r="I94" s="26"/>
      <c r="J94" s="26"/>
      <c r="K94" s="26">
        <v>6.6900092133089402</v>
      </c>
      <c r="L94" s="26">
        <v>2.66824816969083</v>
      </c>
      <c r="M94" s="26">
        <v>0.03</v>
      </c>
      <c r="N94" s="26">
        <v>0.01</v>
      </c>
      <c r="O94" s="26">
        <v>0.08</v>
      </c>
      <c r="P94" s="26">
        <v>0.06</v>
      </c>
      <c r="Q94" s="27">
        <v>2240810</v>
      </c>
      <c r="R94" s="27">
        <v>38506723</v>
      </c>
      <c r="S94" s="27">
        <v>331679</v>
      </c>
      <c r="T94" s="27">
        <v>0</v>
      </c>
      <c r="U94" s="27">
        <v>1046526</v>
      </c>
      <c r="V94" s="27">
        <f>(63815087+V93)/2</f>
        <v>52857402.09375</v>
      </c>
    </row>
    <row r="95" spans="1:22" x14ac:dyDescent="0.2">
      <c r="A95" s="22" t="s">
        <v>16</v>
      </c>
      <c r="B95" s="23">
        <v>2017</v>
      </c>
      <c r="C95" s="24">
        <f>((3106795+9466146+915169+3288593+48182976+16093181+727599)+(1199607+4221401+2240810+38506723+14099861+770215))/2</f>
        <v>71409538</v>
      </c>
      <c r="D95" s="24">
        <v>2401143</v>
      </c>
      <c r="E95" s="25"/>
      <c r="F95" s="22"/>
      <c r="G95" s="26">
        <f>(162410+130311+571852)/48182976</f>
        <v>1.7943536737954915E-2</v>
      </c>
      <c r="H95" s="26">
        <f t="shared" si="3"/>
        <v>0.12666666666666668</v>
      </c>
      <c r="I95" s="26"/>
      <c r="J95" s="26"/>
      <c r="K95" s="26">
        <v>6.9401877821904918</v>
      </c>
      <c r="L95" s="26">
        <v>3.5202568881161902</v>
      </c>
      <c r="M95" s="26">
        <v>0.03</v>
      </c>
      <c r="N95" s="26">
        <v>0.01</v>
      </c>
      <c r="O95" s="26">
        <v>0.08</v>
      </c>
      <c r="P95" s="26">
        <v>0.06</v>
      </c>
      <c r="Q95" s="27">
        <v>915169</v>
      </c>
      <c r="R95" s="27">
        <v>48182976</v>
      </c>
      <c r="S95" s="27">
        <v>404115</v>
      </c>
      <c r="T95" s="27">
        <v>0</v>
      </c>
      <c r="U95" s="27">
        <v>1445956</v>
      </c>
      <c r="V95" s="27">
        <f>(84300169+V94)/2</f>
        <v>68578785.546875</v>
      </c>
    </row>
    <row r="96" spans="1:22" x14ac:dyDescent="0.2">
      <c r="A96" s="22" t="s">
        <v>16</v>
      </c>
      <c r="B96" s="23">
        <v>2018</v>
      </c>
      <c r="C96" s="24">
        <f>((1275368+12738177+709469+56316351+24444023)+(3106795+9466146+915169+3288593+48182976+16093181+727599))/2</f>
        <v>88631923.5</v>
      </c>
      <c r="D96" s="24">
        <v>3435969</v>
      </c>
      <c r="E96" s="25"/>
      <c r="F96" s="22"/>
      <c r="G96" s="26">
        <f>(432493+180204+675628)/56316351</f>
        <v>2.2876570962490093E-2</v>
      </c>
      <c r="H96" s="26">
        <f t="shared" si="3"/>
        <v>0.12666666666666668</v>
      </c>
      <c r="I96" s="26"/>
      <c r="J96" s="26"/>
      <c r="K96" s="26">
        <v>7.4649912574460018</v>
      </c>
      <c r="L96" s="26">
        <v>3.53962805942641</v>
      </c>
      <c r="M96" s="26">
        <v>0.03</v>
      </c>
      <c r="N96" s="26">
        <v>0.01</v>
      </c>
      <c r="O96" s="26">
        <v>0.08</v>
      </c>
      <c r="P96" s="26">
        <v>0.06</v>
      </c>
      <c r="Q96" s="27">
        <v>709469</v>
      </c>
      <c r="R96" s="27">
        <v>56316351</v>
      </c>
      <c r="S96" s="27">
        <v>565344</v>
      </c>
      <c r="T96" s="27">
        <v>0</v>
      </c>
      <c r="U96" s="27">
        <v>1869767</v>
      </c>
      <c r="V96" s="27">
        <f>(99964107+V95)/2</f>
        <v>84271446.2734375</v>
      </c>
    </row>
    <row r="97" spans="1:22" x14ac:dyDescent="0.2">
      <c r="A97" s="22" t="s">
        <v>16</v>
      </c>
      <c r="B97" s="23">
        <v>2019</v>
      </c>
      <c r="C97" s="24">
        <f>((2072665+14352506+3141125+496581+71090741+22934127)+(1275368+12738177+709469+56316351+24444023))/2</f>
        <v>104785566.5</v>
      </c>
      <c r="D97" s="24">
        <v>4101162</v>
      </c>
      <c r="E97" s="25"/>
      <c r="F97" s="22"/>
      <c r="G97" s="26">
        <f>(351415+225490+732330)/71090741</f>
        <v>1.841639264950129E-2</v>
      </c>
      <c r="H97" s="26">
        <f t="shared" si="3"/>
        <v>0.12666666666666668</v>
      </c>
      <c r="I97" s="26"/>
      <c r="J97" s="26"/>
      <c r="K97" s="26">
        <v>7.3592809998546045</v>
      </c>
      <c r="L97" s="26">
        <v>2.7958236745224401</v>
      </c>
      <c r="M97" s="26">
        <v>0.03</v>
      </c>
      <c r="N97" s="26">
        <v>0.01</v>
      </c>
      <c r="O97" s="26">
        <v>0.08</v>
      </c>
      <c r="P97" s="26">
        <v>0.06</v>
      </c>
      <c r="Q97" s="27">
        <v>3141125</v>
      </c>
      <c r="R97" s="27">
        <v>71090741</v>
      </c>
      <c r="S97" s="27">
        <v>724735</v>
      </c>
      <c r="T97" s="27">
        <v>0</v>
      </c>
      <c r="U97" s="27">
        <v>2449236</v>
      </c>
      <c r="V97" s="27">
        <f>(118159970+V96)/2</f>
        <v>101215708.13671875</v>
      </c>
    </row>
    <row r="98" spans="1:22" x14ac:dyDescent="0.2">
      <c r="A98" s="22" t="s">
        <v>16</v>
      </c>
      <c r="B98" s="23">
        <v>2020</v>
      </c>
      <c r="C98" s="24">
        <f>((4087881+15188220+1195620+929409+89237886+33607191)+(2072665+14352506+3141125+496581+71090741+22934127))/2</f>
        <v>129166976</v>
      </c>
      <c r="D98" s="24">
        <v>4981711</v>
      </c>
      <c r="E98" s="25"/>
      <c r="F98" s="22"/>
      <c r="G98" s="26">
        <f>(488697+322577+697195)/89237886</f>
        <v>1.690390783125454E-2</v>
      </c>
      <c r="H98" s="26">
        <v>0.129</v>
      </c>
      <c r="I98" s="26"/>
      <c r="J98" s="26"/>
      <c r="K98" s="26">
        <v>2.8654119461210428</v>
      </c>
      <c r="L98" s="26">
        <v>3.2209343665251402</v>
      </c>
      <c r="M98" s="26">
        <v>0.03</v>
      </c>
      <c r="N98" s="26">
        <v>0.01</v>
      </c>
      <c r="O98" s="26">
        <v>0.08</v>
      </c>
      <c r="P98" s="26">
        <v>0.06</v>
      </c>
      <c r="Q98" s="27">
        <v>1195620</v>
      </c>
      <c r="R98" s="27">
        <v>89237886</v>
      </c>
      <c r="S98" s="27">
        <v>937375</v>
      </c>
      <c r="T98" s="27">
        <v>0</v>
      </c>
      <c r="U98" s="27">
        <v>2330118</v>
      </c>
      <c r="V98" s="27">
        <f>(152528878+V97)/2</f>
        <v>126872293.06835938</v>
      </c>
    </row>
    <row r="99" spans="1:22" x14ac:dyDescent="0.2">
      <c r="A99" s="22" t="s">
        <v>16</v>
      </c>
      <c r="B99" s="23">
        <v>2021</v>
      </c>
      <c r="C99" s="24">
        <f>((3852855+21131422+1463116+4565000+102050733+40980428)+(4087881+15188220+1195620+929409+89237886+33607191))/2</f>
        <v>159144880.5</v>
      </c>
      <c r="D99" s="24">
        <v>5765584</v>
      </c>
      <c r="E99" s="25"/>
      <c r="F99" s="22"/>
      <c r="G99" s="26">
        <f>(325973+290448+733118)/102050733</f>
        <v>1.322419702757059E-2</v>
      </c>
      <c r="H99" s="26">
        <v>0.123</v>
      </c>
      <c r="I99" s="26"/>
      <c r="J99" s="26"/>
      <c r="K99" s="26">
        <v>2.5615511423249444</v>
      </c>
      <c r="L99" s="26">
        <v>1.83471554810462</v>
      </c>
      <c r="M99" s="26">
        <v>0.03</v>
      </c>
      <c r="N99" s="26">
        <v>0.01</v>
      </c>
      <c r="O99" s="26">
        <v>0.08</v>
      </c>
      <c r="P99" s="26">
        <v>0.06</v>
      </c>
      <c r="Q99" s="27">
        <v>1463116</v>
      </c>
      <c r="R99" s="27">
        <v>102050733</v>
      </c>
      <c r="S99" s="27">
        <v>1116100</v>
      </c>
      <c r="T99" s="27">
        <v>0</v>
      </c>
      <c r="U99" s="27">
        <v>12402923</v>
      </c>
      <c r="V99" s="27">
        <f>(184491035+V98)/2</f>
        <v>155681664.03417969</v>
      </c>
    </row>
    <row r="100" spans="1:22" x14ac:dyDescent="0.2">
      <c r="A100" s="22" t="s">
        <v>16</v>
      </c>
      <c r="B100" s="23">
        <v>2022</v>
      </c>
      <c r="C100" s="24">
        <f>((3225386+18426225+2210030+142837+119802569+37367365)+(3852855+21131422+1463116+4565000+102050733+40980428))/2</f>
        <v>177608983</v>
      </c>
      <c r="D100" s="24">
        <v>6947583</v>
      </c>
      <c r="E100" s="25"/>
      <c r="F100" s="22"/>
      <c r="G100" s="26">
        <f>(670539+625718+1374723)/119802569</f>
        <v>2.2294847450224545E-2</v>
      </c>
      <c r="H100" s="26">
        <v>0.128</v>
      </c>
      <c r="I100" s="26"/>
      <c r="J100" s="26"/>
      <c r="K100" s="26">
        <v>8.02</v>
      </c>
      <c r="L100" s="26">
        <v>3.1565074996311102</v>
      </c>
      <c r="M100" s="26">
        <v>0.03</v>
      </c>
      <c r="N100" s="26">
        <v>0.01</v>
      </c>
      <c r="O100" s="26">
        <v>0.08</v>
      </c>
      <c r="P100" s="26">
        <v>0.06</v>
      </c>
      <c r="Q100" s="27">
        <v>2210030</v>
      </c>
      <c r="R100" s="27">
        <v>119802569</v>
      </c>
      <c r="S100" s="27">
        <v>1582259</v>
      </c>
      <c r="T100" s="27">
        <v>0</v>
      </c>
      <c r="U100" s="27">
        <v>3076802</v>
      </c>
      <c r="V100" s="27">
        <f>(193994237+V99)/2</f>
        <v>174837950.51708984</v>
      </c>
    </row>
    <row r="101" spans="1:22" x14ac:dyDescent="0.2">
      <c r="A101" s="28" t="s">
        <v>17</v>
      </c>
      <c r="B101" s="29">
        <v>2012</v>
      </c>
      <c r="C101" s="30">
        <f>((4499702+17955227+11084589+93201+28943630+30388907)+(964132+28477581+290000+89186+37752939+34123344))/2</f>
        <v>97331219</v>
      </c>
      <c r="D101" s="30">
        <v>2009926</v>
      </c>
      <c r="E101" s="31"/>
      <c r="F101" s="28"/>
      <c r="G101" s="32">
        <f>(52829+163014+549800)/28943630</f>
        <v>2.6452901726562977E-2</v>
      </c>
      <c r="H101" s="32">
        <v>0.113</v>
      </c>
      <c r="I101" s="32"/>
      <c r="J101" s="32"/>
      <c r="K101" s="32">
        <v>5.5045456198033094</v>
      </c>
      <c r="L101" s="32">
        <v>9.0947033955719299</v>
      </c>
      <c r="M101" s="32">
        <v>0.03</v>
      </c>
      <c r="N101" s="32">
        <v>0.01</v>
      </c>
      <c r="O101" s="32">
        <v>0.08</v>
      </c>
      <c r="P101" s="32">
        <v>0.06</v>
      </c>
      <c r="Q101" s="33">
        <v>11084589</v>
      </c>
      <c r="R101" s="33">
        <v>28943630</v>
      </c>
      <c r="S101" s="33">
        <v>750602</v>
      </c>
      <c r="T101" s="33">
        <v>54413</v>
      </c>
      <c r="U101" s="33">
        <v>1855326</v>
      </c>
      <c r="V101" s="33">
        <f>(109923376+114374998)/2</f>
        <v>112149187</v>
      </c>
    </row>
    <row r="102" spans="1:22" x14ac:dyDescent="0.2">
      <c r="A102" s="28" t="s">
        <v>17</v>
      </c>
      <c r="B102" s="29">
        <v>2013</v>
      </c>
      <c r="C102" s="30">
        <f>((551929+5297345+19581061+191543+27409337+32940694+506208)+(4499702+17955227+11084589+93201+28943630+30388907))/2</f>
        <v>89721686.5</v>
      </c>
      <c r="D102" s="30">
        <v>1614390</v>
      </c>
      <c r="E102" s="31"/>
      <c r="F102" s="28"/>
      <c r="G102" s="32">
        <f>(229512+125314+387311)/27409337</f>
        <v>2.7076065356852665E-2</v>
      </c>
      <c r="H102" s="32">
        <v>0.106</v>
      </c>
      <c r="I102" s="32"/>
      <c r="J102" s="32"/>
      <c r="K102" s="32">
        <v>5.553500244795103</v>
      </c>
      <c r="L102" s="32">
        <v>6.5926747589919099</v>
      </c>
      <c r="M102" s="32">
        <v>0.03</v>
      </c>
      <c r="N102" s="32">
        <v>0.01</v>
      </c>
      <c r="O102" s="32">
        <v>0.08</v>
      </c>
      <c r="P102" s="32">
        <v>0.06</v>
      </c>
      <c r="Q102" s="33">
        <v>19581061</v>
      </c>
      <c r="R102" s="33">
        <v>27409337</v>
      </c>
      <c r="S102" s="33">
        <v>733227</v>
      </c>
      <c r="T102" s="33">
        <v>185227</v>
      </c>
      <c r="U102" s="33">
        <v>1689410</v>
      </c>
      <c r="V102" s="33">
        <f>(107114882+V101)/2</f>
        <v>109632034.5</v>
      </c>
    </row>
    <row r="103" spans="1:22" x14ac:dyDescent="0.2">
      <c r="A103" s="28" t="s">
        <v>17</v>
      </c>
      <c r="B103" s="29">
        <v>2014</v>
      </c>
      <c r="C103" s="30">
        <f>((2751518+3780026+12332742+200896+23509425+37641184+3952524)+(551929+5297345+19581061+191543+27409337+32940694+506208))/2</f>
        <v>85323216</v>
      </c>
      <c r="D103" s="30">
        <v>1173401</v>
      </c>
      <c r="E103" s="31"/>
      <c r="F103" s="28"/>
      <c r="G103" s="32">
        <f>(181499+71533+959778)/23509425</f>
        <v>5.1588245990703725E-2</v>
      </c>
      <c r="H103" s="32">
        <v>0.157</v>
      </c>
      <c r="I103" s="32"/>
      <c r="J103" s="32"/>
      <c r="K103" s="32">
        <v>6.4222466560102589</v>
      </c>
      <c r="L103" s="32">
        <v>4.0845544663762201</v>
      </c>
      <c r="M103" s="32">
        <v>0.03</v>
      </c>
      <c r="N103" s="32">
        <v>0.01</v>
      </c>
      <c r="O103" s="32">
        <v>0.08</v>
      </c>
      <c r="P103" s="32">
        <v>0.06</v>
      </c>
      <c r="Q103" s="33">
        <v>12332742</v>
      </c>
      <c r="R103" s="33">
        <v>23509425</v>
      </c>
      <c r="S103" s="33">
        <v>542918</v>
      </c>
      <c r="T103" s="33">
        <v>107590</v>
      </c>
      <c r="U103" s="33">
        <v>1452301</v>
      </c>
      <c r="V103" s="33">
        <f>(104368741+V102)/2</f>
        <v>107000387.75</v>
      </c>
    </row>
    <row r="104" spans="1:22" x14ac:dyDescent="0.2">
      <c r="A104" s="28" t="s">
        <v>17</v>
      </c>
      <c r="B104" s="29">
        <v>2015</v>
      </c>
      <c r="C104" s="30">
        <f>((2212421+3480252+8085210+196922+28091320+39092073+10283551)+(2751518+3780026+12332742+200896+23509425+37641184+3952524))/2</f>
        <v>87805032</v>
      </c>
      <c r="D104" s="30">
        <v>1586915</v>
      </c>
      <c r="E104" s="31"/>
      <c r="F104" s="28"/>
      <c r="G104" s="32">
        <f>(92388+182632+683094)/28091320</f>
        <v>3.4107119209777256E-2</v>
      </c>
      <c r="H104" s="32">
        <f>AVERAGE(H105:H111)</f>
        <v>0.14271428571428571</v>
      </c>
      <c r="I104" s="32"/>
      <c r="J104" s="32"/>
      <c r="K104" s="32">
        <v>6.9871667237754878</v>
      </c>
      <c r="L104" s="32">
        <v>0.63120090517571803</v>
      </c>
      <c r="M104" s="32">
        <v>0.03</v>
      </c>
      <c r="N104" s="32">
        <v>0.01</v>
      </c>
      <c r="O104" s="32">
        <v>0.08</v>
      </c>
      <c r="P104" s="32">
        <v>0.06</v>
      </c>
      <c r="Q104" s="33">
        <v>8085210</v>
      </c>
      <c r="R104" s="33">
        <v>28091320</v>
      </c>
      <c r="S104" s="33">
        <v>601152</v>
      </c>
      <c r="T104" s="33">
        <v>109725</v>
      </c>
      <c r="U104" s="33">
        <v>1808858</v>
      </c>
      <c r="V104" s="33">
        <f>(104311276+V103)/2</f>
        <v>105655831.875</v>
      </c>
    </row>
    <row r="105" spans="1:22" x14ac:dyDescent="0.2">
      <c r="A105" s="28" t="s">
        <v>17</v>
      </c>
      <c r="B105" s="29">
        <v>2016</v>
      </c>
      <c r="C105" s="30">
        <f>((1545647+4054740+3618251+164014+35118872+24558953+8873669)+(2212421+3480252+8085210+196922+28091320+39092073+10283551))/2</f>
        <v>84687947.5</v>
      </c>
      <c r="D105" s="30">
        <v>2252642</v>
      </c>
      <c r="E105" s="31"/>
      <c r="F105" s="28"/>
      <c r="G105" s="32">
        <f>(81464+72948+675955)/R105</f>
        <v>2.3644466712939984E-2</v>
      </c>
      <c r="H105" s="32">
        <v>0.23599999999999999</v>
      </c>
      <c r="I105" s="32"/>
      <c r="J105" s="32"/>
      <c r="K105" s="32">
        <v>6.6900092133089402</v>
      </c>
      <c r="L105" s="32">
        <v>2.66824816969083</v>
      </c>
      <c r="M105" s="32">
        <v>0.03</v>
      </c>
      <c r="N105" s="32">
        <v>0.01</v>
      </c>
      <c r="O105" s="32">
        <v>0.08</v>
      </c>
      <c r="P105" s="32">
        <v>0.06</v>
      </c>
      <c r="Q105" s="33">
        <f>3300000+318250</f>
        <v>3618250</v>
      </c>
      <c r="R105" s="33">
        <v>35118872</v>
      </c>
      <c r="S105" s="33">
        <v>452024</v>
      </c>
      <c r="T105" s="33">
        <v>110295</v>
      </c>
      <c r="U105" s="33">
        <v>1897097</v>
      </c>
      <c r="V105" s="33">
        <f>(92605862+V104)/2</f>
        <v>99130846.9375</v>
      </c>
    </row>
    <row r="106" spans="1:22" x14ac:dyDescent="0.2">
      <c r="A106" s="28" t="s">
        <v>17</v>
      </c>
      <c r="B106" s="29">
        <v>2017</v>
      </c>
      <c r="C106" s="30">
        <f>((3448104+7631132+1082257+127927+36212703+36941181+9319142)+(1545647+4054740+3618251+164014+35118872+24558953+8873669))/2</f>
        <v>86348296</v>
      </c>
      <c r="D106" s="30">
        <v>1602077</v>
      </c>
      <c r="E106" s="31"/>
      <c r="F106" s="28"/>
      <c r="G106" s="32">
        <f>(130880+35179+640331)/36212703</f>
        <v>2.2268152697687327E-2</v>
      </c>
      <c r="H106" s="32">
        <v>0.19500000000000001</v>
      </c>
      <c r="I106" s="32"/>
      <c r="J106" s="32"/>
      <c r="K106" s="32">
        <v>6.9401877821904918</v>
      </c>
      <c r="L106" s="32">
        <v>3.5202568881161902</v>
      </c>
      <c r="M106" s="32">
        <v>0.03</v>
      </c>
      <c r="N106" s="32">
        <v>0.01</v>
      </c>
      <c r="O106" s="32">
        <v>0.08</v>
      </c>
      <c r="P106" s="32">
        <v>0.06</v>
      </c>
      <c r="Q106" s="33">
        <f>513550+568707</f>
        <v>1082257</v>
      </c>
      <c r="R106" s="33">
        <v>36212703</v>
      </c>
      <c r="S106" s="33">
        <v>428827</v>
      </c>
      <c r="T106" s="33">
        <v>111083</v>
      </c>
      <c r="U106" s="33">
        <v>2065862</v>
      </c>
      <c r="V106" s="33">
        <f>(112238978+V105)/2</f>
        <v>105684912.46875</v>
      </c>
    </row>
    <row r="107" spans="1:22" x14ac:dyDescent="0.2">
      <c r="A107" s="28" t="s">
        <v>17</v>
      </c>
      <c r="B107" s="29">
        <v>2018</v>
      </c>
      <c r="C107" s="30">
        <f>((2406346+17443367+5367666+127927+48762243+38353625+3313919)+(3448104+7631132+1082257+127927+36212703+36941181+9319142))/2</f>
        <v>105268769.5</v>
      </c>
      <c r="D107" s="30">
        <v>2902271</v>
      </c>
      <c r="E107" s="31"/>
      <c r="F107" s="28"/>
      <c r="G107" s="32">
        <f>(185203+38181+1242518)/48762243</f>
        <v>3.0062234831978504E-2</v>
      </c>
      <c r="H107" s="32">
        <v>0.122</v>
      </c>
      <c r="I107" s="32"/>
      <c r="J107" s="32"/>
      <c r="K107" s="32">
        <v>7.4649912574460018</v>
      </c>
      <c r="L107" s="32">
        <v>3.53962805942641</v>
      </c>
      <c r="M107" s="32">
        <v>0.03</v>
      </c>
      <c r="N107" s="32">
        <v>0.01</v>
      </c>
      <c r="O107" s="32">
        <v>0.08</v>
      </c>
      <c r="P107" s="32">
        <v>0.06</v>
      </c>
      <c r="Q107" s="33">
        <v>5367666</v>
      </c>
      <c r="R107" s="33">
        <v>48762243</v>
      </c>
      <c r="S107" s="33">
        <v>993899</v>
      </c>
      <c r="T107" s="33">
        <v>121701</v>
      </c>
      <c r="U107" s="33">
        <v>2923739</v>
      </c>
      <c r="V107" s="33">
        <f>(137768688+V106)/2</f>
        <v>121726800.234375</v>
      </c>
    </row>
    <row r="108" spans="1:22" x14ac:dyDescent="0.2">
      <c r="A108" s="28" t="s">
        <v>17</v>
      </c>
      <c r="B108" s="29">
        <v>2019</v>
      </c>
      <c r="C108" s="30">
        <f>((4070948+18556328+2135589+127927+63594389+44572060+1533388)+(2406346+17443367+5367666+127927+48762243+38353625+3313919))/2</f>
        <v>125182861</v>
      </c>
      <c r="D108" s="30">
        <v>3062104</v>
      </c>
      <c r="E108" s="31"/>
      <c r="F108" s="28"/>
      <c r="G108" s="32">
        <f>(151287+167823+981332)/63594389</f>
        <v>2.0449005335989628E-2</v>
      </c>
      <c r="H108" s="32">
        <v>0.10199999999999999</v>
      </c>
      <c r="I108" s="32"/>
      <c r="J108" s="32"/>
      <c r="K108" s="32">
        <v>7.3592809998546045</v>
      </c>
      <c r="L108" s="32">
        <v>2.7958236745224401</v>
      </c>
      <c r="M108" s="32">
        <v>0.03</v>
      </c>
      <c r="N108" s="32">
        <v>0.01</v>
      </c>
      <c r="O108" s="32">
        <v>0.08</v>
      </c>
      <c r="P108" s="32">
        <v>0.06</v>
      </c>
      <c r="Q108" s="33">
        <v>2135589</v>
      </c>
      <c r="R108" s="33">
        <v>63594389</v>
      </c>
      <c r="S108" s="33">
        <v>886047</v>
      </c>
      <c r="T108" s="33">
        <v>112920</v>
      </c>
      <c r="U108" s="33">
        <v>2502184</v>
      </c>
      <c r="V108" s="33">
        <f>(156977946+V107)/2</f>
        <v>139352373.1171875</v>
      </c>
    </row>
    <row r="109" spans="1:22" x14ac:dyDescent="0.2">
      <c r="A109" s="28" t="s">
        <v>17</v>
      </c>
      <c r="B109" s="29">
        <v>2020</v>
      </c>
      <c r="C109" s="30">
        <f>((1850921+14730353+2247412+39287+79340579+55845414)+(4070948+18556328+2135589+127927+63594389+44572060+1533388))/2</f>
        <v>144322297.5</v>
      </c>
      <c r="D109" s="30">
        <v>4822389</v>
      </c>
      <c r="E109" s="31"/>
      <c r="F109" s="28"/>
      <c r="G109" s="32">
        <f>(295721+394154+867771)/79340579</f>
        <v>1.9632400212254562E-2</v>
      </c>
      <c r="H109" s="32">
        <v>0.106</v>
      </c>
      <c r="I109" s="32"/>
      <c r="J109" s="32"/>
      <c r="K109" s="32">
        <v>2.8654119461210428</v>
      </c>
      <c r="L109" s="32">
        <v>3.2209343665251402</v>
      </c>
      <c r="M109" s="32">
        <v>0.03</v>
      </c>
      <c r="N109" s="32">
        <v>0.01</v>
      </c>
      <c r="O109" s="32">
        <v>0.08</v>
      </c>
      <c r="P109" s="32">
        <v>0.06</v>
      </c>
      <c r="Q109" s="33">
        <v>2247412</v>
      </c>
      <c r="R109" s="33">
        <v>79340579</v>
      </c>
      <c r="S109" s="33">
        <v>843011</v>
      </c>
      <c r="T109" s="33">
        <v>0</v>
      </c>
      <c r="U109" s="33">
        <v>3585922</v>
      </c>
      <c r="V109" s="33">
        <f>(176697625+V108)/2</f>
        <v>158024999.05859375</v>
      </c>
    </row>
    <row r="110" spans="1:22" x14ac:dyDescent="0.2">
      <c r="A110" s="28" t="s">
        <v>17</v>
      </c>
      <c r="B110" s="29">
        <v>2021</v>
      </c>
      <c r="C110" s="30">
        <f>((3056674+19909194+13532742+39287+101562609+48257483)+(1850921+14730353+2247412+39287+79340579+55845414))/2</f>
        <v>170205977.5</v>
      </c>
      <c r="D110" s="30">
        <v>6216244</v>
      </c>
      <c r="E110" s="31"/>
      <c r="F110" s="28"/>
      <c r="G110" s="32">
        <f>(344979+469210+954604)/101562609</f>
        <v>1.7415789308839042E-2</v>
      </c>
      <c r="H110" s="32">
        <v>0.115</v>
      </c>
      <c r="I110" s="32"/>
      <c r="J110" s="32"/>
      <c r="K110" s="32">
        <v>2.5615511423249444</v>
      </c>
      <c r="L110" s="32">
        <v>1.83471554810462</v>
      </c>
      <c r="M110" s="32">
        <v>0.03</v>
      </c>
      <c r="N110" s="32">
        <v>0.01</v>
      </c>
      <c r="O110" s="32">
        <v>0.08</v>
      </c>
      <c r="P110" s="32">
        <v>0.06</v>
      </c>
      <c r="Q110" s="33">
        <v>13532742</v>
      </c>
      <c r="R110" s="33">
        <v>101562609</v>
      </c>
      <c r="S110" s="33">
        <v>1686808</v>
      </c>
      <c r="T110" s="33">
        <v>0</v>
      </c>
      <c r="U110" s="33">
        <v>3931913</v>
      </c>
      <c r="V110" s="33">
        <f>(203665423+V109)/2</f>
        <v>180845211.02929688</v>
      </c>
    </row>
    <row r="111" spans="1:22" x14ac:dyDescent="0.2">
      <c r="A111" s="28" t="s">
        <v>17</v>
      </c>
      <c r="B111" s="29">
        <v>2022</v>
      </c>
      <c r="C111" s="30">
        <f>((3689730+29363640+9879960+39287+120643542+31554087)+(3056674+19909194+13532742+39287+101562609+48257483))/2</f>
        <v>190764117.5</v>
      </c>
      <c r="D111" s="30">
        <v>8321791</v>
      </c>
      <c r="E111" s="31"/>
      <c r="F111" s="28"/>
      <c r="G111" s="32">
        <f>(616555+442851+1009347)/120643542</f>
        <v>1.7147648068887102E-2</v>
      </c>
      <c r="H111" s="32">
        <v>0.123</v>
      </c>
      <c r="I111" s="32"/>
      <c r="J111" s="32"/>
      <c r="K111" s="32">
        <v>8.02</v>
      </c>
      <c r="L111" s="32">
        <v>3.1565074996311102</v>
      </c>
      <c r="M111" s="32">
        <v>0.03</v>
      </c>
      <c r="N111" s="32">
        <v>0.01</v>
      </c>
      <c r="O111" s="32">
        <v>0.08</v>
      </c>
      <c r="P111" s="32">
        <v>0.06</v>
      </c>
      <c r="Q111" s="33">
        <v>39243600</v>
      </c>
      <c r="R111" s="33">
        <v>120643542</v>
      </c>
      <c r="S111" s="33">
        <v>1430921</v>
      </c>
      <c r="T111" s="33">
        <v>0</v>
      </c>
      <c r="U111" s="33">
        <v>4427964</v>
      </c>
      <c r="V111" s="33">
        <f>(212775858+V110)/2</f>
        <v>196810534.51464844</v>
      </c>
    </row>
    <row r="112" spans="1:22" x14ac:dyDescent="0.2">
      <c r="A112" s="34" t="s">
        <v>18</v>
      </c>
      <c r="B112" s="35">
        <v>2012</v>
      </c>
      <c r="C112" s="36">
        <f>((15732095+60509084+5320515+521239+241162675+73945195+4843173)+(10616759+71822547+33197058+825372+209417633+26027134+3750522))/2</f>
        <v>378845500.5</v>
      </c>
      <c r="D112" s="36">
        <v>10954093</v>
      </c>
      <c r="E112" s="37"/>
      <c r="F112" s="34"/>
      <c r="G112" s="38">
        <f>(3126126+1213720+1451461)/241162675</f>
        <v>2.4014109977839648E-2</v>
      </c>
      <c r="H112" s="38">
        <v>0.14799999999999999</v>
      </c>
      <c r="I112" s="38"/>
      <c r="J112" s="38"/>
      <c r="K112" s="38">
        <v>5.5045456198033094</v>
      </c>
      <c r="L112" s="38">
        <v>9.0947033955719299</v>
      </c>
      <c r="M112" s="38">
        <v>0.03</v>
      </c>
      <c r="N112" s="38">
        <v>0.01</v>
      </c>
      <c r="O112" s="38">
        <v>0.08</v>
      </c>
      <c r="P112" s="38">
        <v>0.06</v>
      </c>
      <c r="Q112" s="39">
        <v>5320515</v>
      </c>
      <c r="R112" s="39">
        <v>241162675</v>
      </c>
      <c r="S112" s="39">
        <v>5292698</v>
      </c>
      <c r="T112" s="39">
        <v>116873</v>
      </c>
      <c r="U112" s="39">
        <v>6015636</v>
      </c>
      <c r="V112" s="39">
        <f>(414475073+414488317)/2</f>
        <v>414481695</v>
      </c>
    </row>
    <row r="113" spans="1:22" x14ac:dyDescent="0.2">
      <c r="A113" s="34" t="s">
        <v>18</v>
      </c>
      <c r="B113" s="35">
        <v>2013</v>
      </c>
      <c r="C113" s="36">
        <f>((24843632+83810806+7992267+196158+274314209+47127209+17360833)+(15732095+60509084+5320515+521239+241162675+73945195+4843173))/2</f>
        <v>428839545</v>
      </c>
      <c r="D113" s="36">
        <v>10782402</v>
      </c>
      <c r="E113" s="37"/>
      <c r="F113" s="34"/>
      <c r="G113" s="38">
        <f>(2713574+1969791+2791995)/274314209</f>
        <v>2.7251085633701169E-2</v>
      </c>
      <c r="H113" s="38">
        <v>0.13100000000000001</v>
      </c>
      <c r="I113" s="38"/>
      <c r="J113" s="38"/>
      <c r="K113" s="38">
        <v>5.553500244795103</v>
      </c>
      <c r="L113" s="38">
        <v>6.5926747589919099</v>
      </c>
      <c r="M113" s="38">
        <v>0.03</v>
      </c>
      <c r="N113" s="38">
        <v>0.01</v>
      </c>
      <c r="O113" s="38">
        <v>0.08</v>
      </c>
      <c r="P113" s="38">
        <v>0.06</v>
      </c>
      <c r="Q113" s="39">
        <v>7992267</v>
      </c>
      <c r="R113" s="39">
        <v>274314209</v>
      </c>
      <c r="S113" s="39">
        <v>6450805</v>
      </c>
      <c r="T113" s="39">
        <v>66024</v>
      </c>
      <c r="U113" s="39">
        <v>6244061</v>
      </c>
      <c r="V113" s="39">
        <f>(468994032+V112)/2</f>
        <v>441737863.5</v>
      </c>
    </row>
    <row r="114" spans="1:22" x14ac:dyDescent="0.2">
      <c r="A114" s="34" t="s">
        <v>18</v>
      </c>
      <c r="B114" s="35">
        <v>2014</v>
      </c>
      <c r="C114" s="36">
        <f>((13267101+88909474+57189924+10126592+323332037+49197775+18180227)+(24843632+83810806+7992267+196158+274314209+47127209+17360833))/2</f>
        <v>507924122</v>
      </c>
      <c r="D114" s="36">
        <v>11774453</v>
      </c>
      <c r="E114" s="37"/>
      <c r="F114" s="34"/>
      <c r="G114" s="38">
        <f>(2135698+1770773+3552210)/323332037</f>
        <v>2.3068178053757167E-2</v>
      </c>
      <c r="H114" s="38">
        <v>0.11600000000000001</v>
      </c>
      <c r="I114" s="38"/>
      <c r="J114" s="38"/>
      <c r="K114" s="38">
        <v>6.4222466560102589</v>
      </c>
      <c r="L114" s="38">
        <v>4.0845544663762201</v>
      </c>
      <c r="M114" s="38">
        <v>0.03</v>
      </c>
      <c r="N114" s="38">
        <v>0.01</v>
      </c>
      <c r="O114" s="38">
        <v>0.08</v>
      </c>
      <c r="P114" s="38">
        <v>0.06</v>
      </c>
      <c r="Q114" s="39">
        <v>57189924</v>
      </c>
      <c r="R114" s="39">
        <v>323332037</v>
      </c>
      <c r="S114" s="39">
        <v>7042994</v>
      </c>
      <c r="T114" s="39">
        <v>32479</v>
      </c>
      <c r="U114" s="39">
        <v>6861927</v>
      </c>
      <c r="V114" s="39">
        <f>(576988837+V113)/2</f>
        <v>509363350.25</v>
      </c>
    </row>
    <row r="115" spans="1:22" x14ac:dyDescent="0.2">
      <c r="A115" s="34" t="s">
        <v>18</v>
      </c>
      <c r="B115" s="35">
        <v>2015</v>
      </c>
      <c r="C115" s="36">
        <f>((19715035+92587537+38939836+9468255+387151704+42941175+65818278)+(13267101+88909474+57189924+10126592+323332037+49197775+18180227))/2</f>
        <v>608412475</v>
      </c>
      <c r="D115" s="36">
        <v>15305023</v>
      </c>
      <c r="E115" s="37"/>
      <c r="F115" s="34"/>
      <c r="G115" s="38">
        <f>(795481+749780+5550409)/384643654</f>
        <v>1.8447386109741979E-2</v>
      </c>
      <c r="H115" s="38">
        <v>0.11</v>
      </c>
      <c r="I115" s="38"/>
      <c r="J115" s="38"/>
      <c r="K115" s="38">
        <v>6.9871667237754878</v>
      </c>
      <c r="L115" s="38">
        <v>0.63120090517571803</v>
      </c>
      <c r="M115" s="38">
        <v>0.03</v>
      </c>
      <c r="N115" s="38">
        <v>0.01</v>
      </c>
      <c r="O115" s="38">
        <v>0.08</v>
      </c>
      <c r="P115" s="38">
        <v>0.06</v>
      </c>
      <c r="Q115" s="39">
        <v>41167572</v>
      </c>
      <c r="R115" s="39">
        <v>384643654</v>
      </c>
      <c r="S115" s="39">
        <v>8564602</v>
      </c>
      <c r="T115" s="39">
        <v>0</v>
      </c>
      <c r="U115" s="39">
        <v>8161247</v>
      </c>
      <c r="V115" s="39">
        <f>(672928482+V114)/2</f>
        <v>591145916.125</v>
      </c>
    </row>
    <row r="116" spans="1:22" x14ac:dyDescent="0.2">
      <c r="A116" s="34" t="s">
        <v>18</v>
      </c>
      <c r="B116" s="35">
        <v>2016</v>
      </c>
      <c r="C116" s="36">
        <f>((17382418+103236053+48609517+4271362+460808468+51931950+80019284)+(19715035+92587537+38939836+9468255+387151704+42941175+65818278))/2</f>
        <v>711440436</v>
      </c>
      <c r="D116" s="36">
        <v>18527711</v>
      </c>
      <c r="E116" s="37"/>
      <c r="F116" s="34"/>
      <c r="G116" s="38">
        <f>(1359294+1330025+4247064)/460808468</f>
        <v>1.5052637878173715E-2</v>
      </c>
      <c r="H116" s="38">
        <v>0.111</v>
      </c>
      <c r="I116" s="38"/>
      <c r="J116" s="38"/>
      <c r="K116" s="38">
        <v>6.6900092133089402</v>
      </c>
      <c r="L116" s="38">
        <v>2.66824816969083</v>
      </c>
      <c r="M116" s="38">
        <v>0.03</v>
      </c>
      <c r="N116" s="38">
        <v>0.01</v>
      </c>
      <c r="O116" s="38">
        <v>0.08</v>
      </c>
      <c r="P116" s="38">
        <v>0.06</v>
      </c>
      <c r="Q116" s="39">
        <v>48609517</v>
      </c>
      <c r="R116" s="39">
        <v>460808468</v>
      </c>
      <c r="S116" s="39">
        <v>8124152</v>
      </c>
      <c r="T116" s="39">
        <v>0</v>
      </c>
      <c r="U116" s="39">
        <v>9950443</v>
      </c>
      <c r="V116" s="39">
        <f>(787906892+V115)/2</f>
        <v>689526404.0625</v>
      </c>
    </row>
    <row r="117" spans="1:22" x14ac:dyDescent="0.2">
      <c r="A117" s="34" t="s">
        <v>18</v>
      </c>
      <c r="B117" s="35">
        <v>2017</v>
      </c>
      <c r="C117" s="36">
        <f>((93615618+159043345+73930058+9750244+543434460+34688298+95404021)+(17382418+103236053+48609517+4271362+460808468+51931950+80019284))/2</f>
        <v>888062548</v>
      </c>
      <c r="D117" s="36">
        <v>21937546</v>
      </c>
      <c r="E117" s="37"/>
      <c r="F117" s="34"/>
      <c r="G117" s="38">
        <f>(684223+3584263+1940203)/543434460</f>
        <v>1.1424908534508466E-2</v>
      </c>
      <c r="H117" s="38">
        <v>0.11600000000000001</v>
      </c>
      <c r="I117" s="38"/>
      <c r="J117" s="38"/>
      <c r="K117" s="38">
        <v>6.9401877821904918</v>
      </c>
      <c r="L117" s="38">
        <v>3.5202568881161902</v>
      </c>
      <c r="M117" s="38">
        <v>0.03</v>
      </c>
      <c r="N117" s="38">
        <v>0.01</v>
      </c>
      <c r="O117" s="38">
        <v>0.08</v>
      </c>
      <c r="P117" s="38">
        <v>0.06</v>
      </c>
      <c r="Q117" s="39">
        <v>73930058</v>
      </c>
      <c r="R117" s="39">
        <v>543434460</v>
      </c>
      <c r="S117" s="39">
        <v>8113056</v>
      </c>
      <c r="T117" s="39">
        <v>0</v>
      </c>
      <c r="U117" s="39">
        <v>11866345</v>
      </c>
      <c r="V117" s="39">
        <f>(1035293283+V116)/2</f>
        <v>862409843.53125</v>
      </c>
    </row>
    <row r="118" spans="1:22" x14ac:dyDescent="0.2">
      <c r="A118" s="34" t="s">
        <v>18</v>
      </c>
      <c r="B118" s="35">
        <v>2018</v>
      </c>
      <c r="C118" s="36">
        <f>((10845701+187352500+63875537+2725051+631866758+35321259+114251030)+(93615618+159043345+73930058+9750244+543434460+34688298+95404021))/2</f>
        <v>1028051940</v>
      </c>
      <c r="D118" s="36">
        <v>28408516</v>
      </c>
      <c r="E118" s="37"/>
      <c r="F118" s="34"/>
      <c r="G118" s="38">
        <f>(291788+1160507+4770698)/631866758</f>
        <v>9.8485842485165204E-3</v>
      </c>
      <c r="H118" s="38">
        <v>0.121</v>
      </c>
      <c r="I118" s="38"/>
      <c r="J118" s="38"/>
      <c r="K118" s="38">
        <v>7.4649912574460018</v>
      </c>
      <c r="L118" s="38">
        <v>3.53962805942641</v>
      </c>
      <c r="M118" s="38">
        <v>0.03</v>
      </c>
      <c r="N118" s="38">
        <v>0.01</v>
      </c>
      <c r="O118" s="38">
        <v>0.08</v>
      </c>
      <c r="P118" s="38">
        <v>0.06</v>
      </c>
      <c r="Q118" s="39">
        <v>63875537</v>
      </c>
      <c r="R118" s="39">
        <v>631866758</v>
      </c>
      <c r="S118" s="39">
        <v>10293509</v>
      </c>
      <c r="T118" s="39">
        <v>1000000</v>
      </c>
      <c r="U118" s="39">
        <v>13611094</v>
      </c>
      <c r="V118" s="39">
        <f>(1074026560+V117)/2</f>
        <v>968218201.765625</v>
      </c>
    </row>
    <row r="119" spans="1:22" x14ac:dyDescent="0.2">
      <c r="A119" s="34" t="s">
        <v>18</v>
      </c>
      <c r="B119" s="35">
        <v>2019</v>
      </c>
      <c r="C119" s="36">
        <f>((34684091+190100329+62370043+1889628+734706891+35699090+132271302)+(10845701+187352500+63875537+2725051+631866758+35321259+114251030))/2</f>
        <v>1118979605</v>
      </c>
      <c r="D119" s="36">
        <v>34577350</v>
      </c>
      <c r="E119" s="37"/>
      <c r="F119" s="34"/>
      <c r="G119" s="38">
        <f>(686839+587253+4529841)/734706891</f>
        <v>7.899657769781283E-3</v>
      </c>
      <c r="H119" s="38">
        <v>9.2999999999999999E-2</v>
      </c>
      <c r="I119" s="38"/>
      <c r="J119" s="38"/>
      <c r="K119" s="38">
        <v>7.3592809998546045</v>
      </c>
      <c r="L119" s="38">
        <v>2.7958236745224401</v>
      </c>
      <c r="M119" s="38">
        <v>0.03</v>
      </c>
      <c r="N119" s="38">
        <v>0.01</v>
      </c>
      <c r="O119" s="38">
        <v>0.08</v>
      </c>
      <c r="P119" s="38">
        <v>0.06</v>
      </c>
      <c r="Q119" s="39">
        <v>62370043</v>
      </c>
      <c r="R119" s="39">
        <v>734706891</v>
      </c>
      <c r="S119" s="39">
        <v>10416789</v>
      </c>
      <c r="T119" s="39">
        <v>3000000</v>
      </c>
      <c r="U119" s="39">
        <v>15817575</v>
      </c>
      <c r="V119" s="39">
        <f>(1222718858+V118)/2</f>
        <v>1095468529.8828125</v>
      </c>
    </row>
    <row r="120" spans="1:22" x14ac:dyDescent="0.2">
      <c r="A120" s="34" t="s">
        <v>18</v>
      </c>
      <c r="B120" s="35">
        <v>2020</v>
      </c>
      <c r="C120" s="36">
        <f>((33139373+204713783+64255862+1991861+839788261+42148831+115382544)+(34684091+190100329+62370043+1889628+734706891+35699090+132271302))/2</f>
        <v>1246570944.5</v>
      </c>
      <c r="D120" s="36">
        <v>35773415</v>
      </c>
      <c r="E120" s="37"/>
      <c r="F120" s="34"/>
      <c r="G120" s="38">
        <f>(668690+223161+4298132)/832876112</f>
        <v>6.2313985540264844E-3</v>
      </c>
      <c r="H120" s="38">
        <v>9.6000000000000002E-2</v>
      </c>
      <c r="I120" s="38"/>
      <c r="J120" s="38"/>
      <c r="K120" s="38">
        <v>2.8654119461210428</v>
      </c>
      <c r="L120" s="38">
        <v>3.2209343665251402</v>
      </c>
      <c r="M120" s="38">
        <v>0.03</v>
      </c>
      <c r="N120" s="38">
        <v>0.01</v>
      </c>
      <c r="O120" s="38">
        <v>0.08</v>
      </c>
      <c r="P120" s="38">
        <v>0.06</v>
      </c>
      <c r="Q120" s="39">
        <v>68042362</v>
      </c>
      <c r="R120" s="39">
        <v>832876112</v>
      </c>
      <c r="S120" s="39">
        <v>19175109</v>
      </c>
      <c r="T120" s="39">
        <v>1000000</v>
      </c>
      <c r="U120" s="39">
        <v>15747767</v>
      </c>
      <c r="V120" s="39">
        <f>(1320802577+V119)/2</f>
        <v>1208135553.4414062</v>
      </c>
    </row>
    <row r="121" spans="1:22" x14ac:dyDescent="0.2">
      <c r="A121" s="34" t="s">
        <v>18</v>
      </c>
      <c r="B121" s="35">
        <v>2021</v>
      </c>
      <c r="C121" s="36">
        <f>((22506711+181036981+48727565+2822531+960749955+71122502+99657595)+(33139373+204713783+64255862+1991861+839788261+42148831+115382544))/2</f>
        <v>1344022177.5</v>
      </c>
      <c r="D121" s="36">
        <v>42399617</v>
      </c>
      <c r="E121" s="37"/>
      <c r="F121" s="34"/>
      <c r="G121" s="38">
        <f>(743995+965987+4411146)/960749955</f>
        <v>6.3711978003683587E-3</v>
      </c>
      <c r="H121" s="38">
        <v>9.2999999999999999E-2</v>
      </c>
      <c r="I121" s="38"/>
      <c r="J121" s="38"/>
      <c r="K121" s="38">
        <v>2.5615511423249444</v>
      </c>
      <c r="L121" s="38">
        <v>1.83471554810462</v>
      </c>
      <c r="M121" s="38">
        <v>0.03</v>
      </c>
      <c r="N121" s="38">
        <v>0.01</v>
      </c>
      <c r="O121" s="38">
        <v>0.08</v>
      </c>
      <c r="P121" s="38">
        <v>0.06</v>
      </c>
      <c r="Q121" s="39">
        <v>48727565</v>
      </c>
      <c r="R121" s="39">
        <v>960749955</v>
      </c>
      <c r="S121" s="39">
        <v>25975668</v>
      </c>
      <c r="T121" s="39">
        <v>4000000</v>
      </c>
      <c r="U121" s="39">
        <v>17574188</v>
      </c>
      <c r="V121" s="39">
        <f>(1414672587+V120)/2</f>
        <v>1311404070.2207031</v>
      </c>
    </row>
    <row r="122" spans="1:22" x14ac:dyDescent="0.2">
      <c r="A122" s="34" t="s">
        <v>18</v>
      </c>
      <c r="B122" s="35">
        <v>2022</v>
      </c>
      <c r="C122" s="36">
        <f>((92557809+283727719+40749725+1543575+1145066250+100739670+95513376)+(22506711+181036981+48727565+2822531+960749955+71122502+99657595))/2</f>
        <v>1573260982</v>
      </c>
      <c r="D122" s="36">
        <v>52553551</v>
      </c>
      <c r="E122" s="37"/>
      <c r="F122" s="34"/>
      <c r="G122" s="38">
        <f>(406136+772146+6596985)/1136203902</f>
        <v>6.8431968824553468E-3</v>
      </c>
      <c r="H122" s="38">
        <v>9.9000000000000005E-2</v>
      </c>
      <c r="I122" s="38"/>
      <c r="J122" s="38"/>
      <c r="K122" s="38">
        <v>8.02</v>
      </c>
      <c r="L122" s="38">
        <v>3.1565074996311102</v>
      </c>
      <c r="M122" s="38">
        <v>0.03</v>
      </c>
      <c r="N122" s="38">
        <v>0.01</v>
      </c>
      <c r="O122" s="38">
        <v>0.08</v>
      </c>
      <c r="P122" s="38">
        <v>0.06</v>
      </c>
      <c r="Q122" s="39">
        <v>44964665</v>
      </c>
      <c r="R122" s="39">
        <v>1136203902</v>
      </c>
      <c r="S122" s="39">
        <v>24679838</v>
      </c>
      <c r="T122" s="39">
        <v>10840000</v>
      </c>
      <c r="U122" s="39">
        <v>20803391</v>
      </c>
      <c r="V122" s="39">
        <f>(1808207511+V121)/2</f>
        <v>1559805790.6103516</v>
      </c>
    </row>
    <row r="123" spans="1:22" x14ac:dyDescent="0.2">
      <c r="A123" s="40" t="s">
        <v>19</v>
      </c>
      <c r="B123" s="41">
        <v>2012</v>
      </c>
      <c r="C123" s="42">
        <f>((12234145+21457717+36432503+284267+333356092+71081582+2450000)+(12101060+61795229+3500000+557358+293434312+65320966+2400000))/2</f>
        <v>458202615.5</v>
      </c>
      <c r="D123" s="42">
        <v>18420024</v>
      </c>
      <c r="E123" s="43"/>
      <c r="F123" s="40"/>
      <c r="G123" s="44">
        <f>(994983+1789074+2105939)/333356092</f>
        <v>1.4668986460280437E-2</v>
      </c>
      <c r="H123" s="44">
        <v>0.10299999999999999</v>
      </c>
      <c r="I123" s="44"/>
      <c r="J123" s="44"/>
      <c r="K123" s="44">
        <v>5.5045456198033094</v>
      </c>
      <c r="L123" s="44">
        <v>9.0947033955719299</v>
      </c>
      <c r="M123" s="44">
        <v>0.03</v>
      </c>
      <c r="N123" s="44">
        <v>0.01</v>
      </c>
      <c r="O123" s="44">
        <v>0.08</v>
      </c>
      <c r="P123" s="44">
        <v>0.06</v>
      </c>
      <c r="Q123" s="45">
        <v>36432503</v>
      </c>
      <c r="R123" s="45">
        <v>333356092</v>
      </c>
      <c r="S123" s="45">
        <v>3673254</v>
      </c>
      <c r="T123" s="45">
        <v>181918</v>
      </c>
      <c r="U123" s="45">
        <v>9435673</v>
      </c>
      <c r="V123" s="45">
        <f>(503530259+460420078)/2</f>
        <v>481975168.5</v>
      </c>
    </row>
    <row r="124" spans="1:22" x14ac:dyDescent="0.2">
      <c r="A124" s="40" t="s">
        <v>19</v>
      </c>
      <c r="B124" s="41">
        <v>2013</v>
      </c>
      <c r="C124" s="42">
        <f>((10159564+59520681+13661254+657693+376288968+80627909+2586748)+(12234145+21457717+36432503+284267+333356092+71081582+2450000))/2</f>
        <v>510399561.5</v>
      </c>
      <c r="D124" s="42">
        <v>18277255</v>
      </c>
      <c r="E124" s="43"/>
      <c r="F124" s="40"/>
      <c r="G124" s="44">
        <f>(515442+1005801+2249050)/376288968</f>
        <v>1.0019674560323544E-2</v>
      </c>
      <c r="H124" s="44">
        <v>0.13200000000000001</v>
      </c>
      <c r="I124" s="44"/>
      <c r="J124" s="44"/>
      <c r="K124" s="44">
        <v>5.553500244795103</v>
      </c>
      <c r="L124" s="44">
        <v>6.5926747589919099</v>
      </c>
      <c r="M124" s="44">
        <v>0.03</v>
      </c>
      <c r="N124" s="44">
        <v>0.01</v>
      </c>
      <c r="O124" s="44">
        <v>0.08</v>
      </c>
      <c r="P124" s="44">
        <v>0.06</v>
      </c>
      <c r="Q124" s="45">
        <f>9066000+4595254</f>
        <v>13661254</v>
      </c>
      <c r="R124" s="45">
        <v>376288968</v>
      </c>
      <c r="S124" s="45">
        <v>3300226</v>
      </c>
      <c r="T124" s="45">
        <v>102459</v>
      </c>
      <c r="U124" s="45">
        <v>9909654</v>
      </c>
      <c r="V124" s="45">
        <f>(576368416+V123)/2</f>
        <v>529171792.25</v>
      </c>
    </row>
    <row r="125" spans="1:22" x14ac:dyDescent="0.2">
      <c r="A125" s="40" t="s">
        <v>19</v>
      </c>
      <c r="B125" s="41">
        <v>2014</v>
      </c>
      <c r="C125" s="42">
        <f>((9876451+67162062+8271562+3654333+439869027+87338962+6708858)+(10159564+59520681+13661254+657693+376288968+80627909+2586748))/2</f>
        <v>583192036</v>
      </c>
      <c r="D125" s="42">
        <v>17580186</v>
      </c>
      <c r="E125" s="43"/>
      <c r="F125" s="40"/>
      <c r="G125" s="44">
        <f>(351923+2468319+2084909)/439869027</f>
        <v>1.1151389843140741E-2</v>
      </c>
      <c r="H125" s="44">
        <v>0.104</v>
      </c>
      <c r="I125" s="44"/>
      <c r="J125" s="44"/>
      <c r="K125" s="44">
        <v>6.4222466560102589</v>
      </c>
      <c r="L125" s="44">
        <v>4.0845544663762201</v>
      </c>
      <c r="M125" s="44">
        <v>0.03</v>
      </c>
      <c r="N125" s="44">
        <v>0.01</v>
      </c>
      <c r="O125" s="44">
        <v>0.08</v>
      </c>
      <c r="P125" s="44">
        <v>0.06</v>
      </c>
      <c r="Q125" s="45">
        <v>8271562</v>
      </c>
      <c r="R125" s="45">
        <v>439869027</v>
      </c>
      <c r="S125" s="45">
        <v>4345948</v>
      </c>
      <c r="T125" s="45">
        <v>0</v>
      </c>
      <c r="U125" s="45">
        <v>9826686</v>
      </c>
      <c r="V125" s="45">
        <f>(661131589+V124)/2</f>
        <v>595151690.625</v>
      </c>
    </row>
    <row r="126" spans="1:22" x14ac:dyDescent="0.2">
      <c r="A126" s="40" t="s">
        <v>19</v>
      </c>
      <c r="B126" s="41">
        <v>2015</v>
      </c>
      <c r="C126" s="42">
        <f>((11892969+64385375+1633414+3373406+538079829+108940288+12928649)+(9876451+67162062+8271562+3654333+439869027+87338962+6708858))/2</f>
        <v>682057592.5</v>
      </c>
      <c r="D126" s="42">
        <v>18838985</v>
      </c>
      <c r="E126" s="43"/>
      <c r="F126" s="40"/>
      <c r="G126" s="44">
        <f>(1411357+735343+2795540)/538079829</f>
        <v>9.1849568291473716E-3</v>
      </c>
      <c r="H126" s="44">
        <v>0.106</v>
      </c>
      <c r="I126" s="44"/>
      <c r="J126" s="44"/>
      <c r="K126" s="44">
        <v>6.9871667237754878</v>
      </c>
      <c r="L126" s="44">
        <v>0.63120090517571803</v>
      </c>
      <c r="M126" s="44">
        <v>0.03</v>
      </c>
      <c r="N126" s="44">
        <v>0.01</v>
      </c>
      <c r="O126" s="44">
        <v>0.08</v>
      </c>
      <c r="P126" s="44">
        <v>0.06</v>
      </c>
      <c r="Q126" s="45">
        <v>1633414</v>
      </c>
      <c r="R126" s="45">
        <v>538079829</v>
      </c>
      <c r="S126" s="45">
        <v>4549711</v>
      </c>
      <c r="T126" s="45">
        <v>0</v>
      </c>
      <c r="U126" s="45">
        <v>10719457</v>
      </c>
      <c r="V126" s="45">
        <f>(779483487+V125)/2</f>
        <v>687317588.8125</v>
      </c>
    </row>
    <row r="127" spans="1:22" x14ac:dyDescent="0.2">
      <c r="A127" s="40" t="s">
        <v>19</v>
      </c>
      <c r="B127" s="41">
        <v>2016</v>
      </c>
      <c r="C127" s="42">
        <f>((13502594+91031828+3437453+1974670+661987797+125573894+11743021)+(11892969+64385375+1633414+3373406+538079829+108940288+12928649))/2</f>
        <v>825242593.5</v>
      </c>
      <c r="D127" s="42">
        <v>22404992</v>
      </c>
      <c r="E127" s="43"/>
      <c r="F127" s="40"/>
      <c r="G127" s="44">
        <f>(2111187+811972+3819641)/661987797</f>
        <v>1.018568624762731E-2</v>
      </c>
      <c r="H127" s="44">
        <v>0.104</v>
      </c>
      <c r="I127" s="44"/>
      <c r="J127" s="44"/>
      <c r="K127" s="44">
        <v>6.6900092133089402</v>
      </c>
      <c r="L127" s="44">
        <v>2.66824816969083</v>
      </c>
      <c r="M127" s="44">
        <v>0.03</v>
      </c>
      <c r="N127" s="44">
        <v>0.01</v>
      </c>
      <c r="O127" s="44">
        <v>0.08</v>
      </c>
      <c r="P127" s="44">
        <v>0.06</v>
      </c>
      <c r="Q127" s="45">
        <v>3437453</v>
      </c>
      <c r="R127" s="45">
        <v>661987797</v>
      </c>
      <c r="S127" s="45">
        <v>6862066</v>
      </c>
      <c r="T127" s="45">
        <v>0</v>
      </c>
      <c r="U127" s="45">
        <v>12870682</v>
      </c>
      <c r="V127" s="45">
        <f>(948599023+V126)/2</f>
        <v>817958305.90625</v>
      </c>
    </row>
    <row r="128" spans="1:22" x14ac:dyDescent="0.2">
      <c r="A128" s="40" t="s">
        <v>19</v>
      </c>
      <c r="B128" s="41">
        <v>2017</v>
      </c>
      <c r="C128" s="42">
        <f>((20756531+101938284+5572203+3602443+790688059+125759661+5133392)+(13502594+91031828+3437453+1974670+661987797+125573894+11743021))/2</f>
        <v>981350915</v>
      </c>
      <c r="D128" s="42">
        <v>27072987</v>
      </c>
      <c r="E128" s="43"/>
      <c r="F128" s="40"/>
      <c r="G128" s="44">
        <f>(1243379+2550738+5217014)/790688059</f>
        <v>1.1396568972341089E-2</v>
      </c>
      <c r="H128" s="44">
        <v>9.0999999999999998E-2</v>
      </c>
      <c r="I128" s="44"/>
      <c r="J128" s="44"/>
      <c r="K128" s="44">
        <v>6.9401877821904918</v>
      </c>
      <c r="L128" s="44">
        <v>3.5202568881161902</v>
      </c>
      <c r="M128" s="44">
        <v>0.03</v>
      </c>
      <c r="N128" s="44">
        <v>0.01</v>
      </c>
      <c r="O128" s="44">
        <v>0.08</v>
      </c>
      <c r="P128" s="44">
        <v>0.06</v>
      </c>
      <c r="Q128" s="45">
        <v>5572203</v>
      </c>
      <c r="R128" s="45">
        <v>790688059</v>
      </c>
      <c r="S128" s="45">
        <v>8302823</v>
      </c>
      <c r="T128" s="45">
        <v>0</v>
      </c>
      <c r="U128" s="45">
        <v>15069777</v>
      </c>
      <c r="V128" s="45">
        <f>(1095060842+V127)/2</f>
        <v>956509573.953125</v>
      </c>
    </row>
    <row r="129" spans="1:22" x14ac:dyDescent="0.2">
      <c r="A129" s="40" t="s">
        <v>19</v>
      </c>
      <c r="B129" s="41">
        <v>2018</v>
      </c>
      <c r="C129" s="42">
        <f>((23182208+126276846+4235166+3279561+864925948+88586344+16207592)+(20756531+101938284+5572203+3602443+790688059+125759661+5133392))/2</f>
        <v>1090072119</v>
      </c>
      <c r="D129" s="42">
        <v>22518086</v>
      </c>
      <c r="E129" s="43"/>
      <c r="F129" s="40"/>
      <c r="G129" s="44">
        <f>(2135701+2085475+9469776)/864925948</f>
        <v>1.5829045286082689E-2</v>
      </c>
      <c r="H129" s="44">
        <v>9.0999999999999998E-2</v>
      </c>
      <c r="I129" s="44"/>
      <c r="J129" s="44"/>
      <c r="K129" s="44">
        <v>7.4649912574460018</v>
      </c>
      <c r="L129" s="44">
        <v>3.53962805942641</v>
      </c>
      <c r="M129" s="44">
        <v>0.03</v>
      </c>
      <c r="N129" s="44">
        <v>0.01</v>
      </c>
      <c r="O129" s="44">
        <v>0.08</v>
      </c>
      <c r="P129" s="44">
        <v>0.06</v>
      </c>
      <c r="Q129" s="45">
        <v>4235166</v>
      </c>
      <c r="R129" s="45">
        <v>864925948</v>
      </c>
      <c r="S129" s="45">
        <v>13008383</v>
      </c>
      <c r="T129" s="45">
        <v>0</v>
      </c>
      <c r="U129" s="45">
        <v>14256251</v>
      </c>
      <c r="V129" s="45">
        <f>(1164434735+V128)/2</f>
        <v>1060472154.4765625</v>
      </c>
    </row>
    <row r="130" spans="1:22" x14ac:dyDescent="0.2">
      <c r="A130" s="40" t="s">
        <v>19</v>
      </c>
      <c r="B130" s="41">
        <v>2019</v>
      </c>
      <c r="C130" s="42">
        <f>((24873714+123084758+6303760+4051245+935270945+97131629+15367993)+(23182208+126276846+4235166+3279561+864925948+88586344+16207592))/2</f>
        <v>1166388854.5</v>
      </c>
      <c r="D130" s="42">
        <v>33199037</v>
      </c>
      <c r="E130" s="43"/>
      <c r="F130" s="40"/>
      <c r="G130" s="44">
        <f>(2062615+1546701+7204095)/935270945</f>
        <v>1.1561795068914495E-2</v>
      </c>
      <c r="H130" s="44">
        <v>9.0999999999999998E-2</v>
      </c>
      <c r="I130" s="44"/>
      <c r="J130" s="44"/>
      <c r="K130" s="44">
        <v>7.3592809998546045</v>
      </c>
      <c r="L130" s="44">
        <v>2.7958236745224401</v>
      </c>
      <c r="M130" s="44">
        <v>0.03</v>
      </c>
      <c r="N130" s="44">
        <v>0.01</v>
      </c>
      <c r="O130" s="44">
        <v>0.08</v>
      </c>
      <c r="P130" s="44">
        <v>0.06</v>
      </c>
      <c r="Q130" s="45">
        <v>6303760</v>
      </c>
      <c r="R130" s="45">
        <v>935270945</v>
      </c>
      <c r="S130" s="45">
        <v>12945694</v>
      </c>
      <c r="T130" s="45">
        <v>0</v>
      </c>
      <c r="U130" s="45">
        <v>15734862</v>
      </c>
      <c r="V130" s="45">
        <f>(1240711475+V129)/2</f>
        <v>1150591814.7382812</v>
      </c>
    </row>
    <row r="131" spans="1:22" x14ac:dyDescent="0.2">
      <c r="A131" s="40" t="s">
        <v>19</v>
      </c>
      <c r="B131" s="41">
        <v>2020</v>
      </c>
      <c r="C131" s="42">
        <f>((57616650+92628245+9004673+5723160+1015333270+112677836+2616778)+(24873714+123084758+6303760+4051245+935270945+97131629+15367993))/2</f>
        <v>1250842328</v>
      </c>
      <c r="D131" s="42">
        <v>35580829</v>
      </c>
      <c r="E131" s="43"/>
      <c r="F131" s="40"/>
      <c r="G131" s="44">
        <f>(1857241+1611589+6050271)/1015333270</f>
        <v>9.3753462840826633E-3</v>
      </c>
      <c r="H131" s="44">
        <v>9.0999999999999998E-2</v>
      </c>
      <c r="I131" s="44"/>
      <c r="J131" s="44"/>
      <c r="K131" s="44">
        <v>2.8654119461210428</v>
      </c>
      <c r="L131" s="44">
        <v>3.2209343665251402</v>
      </c>
      <c r="M131" s="44">
        <v>0.03</v>
      </c>
      <c r="N131" s="44">
        <v>0.01</v>
      </c>
      <c r="O131" s="44">
        <v>0.08</v>
      </c>
      <c r="P131" s="44">
        <v>0.06</v>
      </c>
      <c r="Q131" s="45">
        <v>9904573</v>
      </c>
      <c r="R131" s="45">
        <v>1015333270</v>
      </c>
      <c r="S131" s="45">
        <v>12561402</v>
      </c>
      <c r="T131" s="45">
        <v>0</v>
      </c>
      <c r="U131" s="45">
        <v>16085348</v>
      </c>
      <c r="V131" s="45">
        <f>(1341436468+V130)/2</f>
        <v>1246014141.3691406</v>
      </c>
    </row>
    <row r="132" spans="1:22" x14ac:dyDescent="0.2">
      <c r="A132" s="40" t="s">
        <v>19</v>
      </c>
      <c r="B132" s="41">
        <v>2021</v>
      </c>
      <c r="C132" s="42">
        <f>((23383443+129799364+19517282+2522807+1130667767+174973469+2696832)+(57616650+92628245+9004673+5723160+1015333270+112677836+2616778))/2</f>
        <v>1389580788</v>
      </c>
      <c r="D132" s="42">
        <v>41788465</v>
      </c>
      <c r="E132" s="43"/>
      <c r="F132" s="40"/>
      <c r="G132" s="44">
        <f>(7095731+2003066+5201668)/1130667767</f>
        <v>1.2647804613678352E-2</v>
      </c>
      <c r="H132" s="44">
        <v>9.0999999999999998E-2</v>
      </c>
      <c r="I132" s="44"/>
      <c r="J132" s="44"/>
      <c r="K132" s="44">
        <v>2.5615511423249444</v>
      </c>
      <c r="L132" s="44">
        <v>1.83471554810462</v>
      </c>
      <c r="M132" s="44">
        <v>0.03</v>
      </c>
      <c r="N132" s="44">
        <v>0.01</v>
      </c>
      <c r="O132" s="44">
        <v>0.08</v>
      </c>
      <c r="P132" s="44">
        <v>0.06</v>
      </c>
      <c r="Q132" s="45">
        <v>19517282</v>
      </c>
      <c r="R132" s="45">
        <v>1130667767</v>
      </c>
      <c r="S132" s="45">
        <v>25795102</v>
      </c>
      <c r="T132" s="45">
        <v>0</v>
      </c>
      <c r="U132" s="45">
        <v>17185850</v>
      </c>
      <c r="V132" s="45">
        <f>(1531587398+V131)/2</f>
        <v>1388800769.6845703</v>
      </c>
    </row>
    <row r="133" spans="1:22" x14ac:dyDescent="0.2">
      <c r="A133" s="40" t="s">
        <v>19</v>
      </c>
      <c r="B133" s="41">
        <v>2022</v>
      </c>
      <c r="C133" s="42">
        <f>((29727110+222454660+19977293+1622967+1274821709+178685028+1696778)+(23383443+129799364+19517282+2522807+1130667767+174973469+2696832))/2</f>
        <v>1606273254.5</v>
      </c>
      <c r="D133" s="42">
        <v>47791955</v>
      </c>
      <c r="E133" s="43"/>
      <c r="F133" s="40"/>
      <c r="G133" s="44">
        <f>(7305070+2261011+6234899)/1274821709</f>
        <v>1.2394658710663673E-2</v>
      </c>
      <c r="H133" s="44">
        <v>9.0999999999999998E-2</v>
      </c>
      <c r="I133" s="44"/>
      <c r="J133" s="44"/>
      <c r="K133" s="44">
        <v>8.02</v>
      </c>
      <c r="L133" s="44">
        <v>3.1565074996311102</v>
      </c>
      <c r="M133" s="44">
        <v>0.03</v>
      </c>
      <c r="N133" s="44">
        <v>0.01</v>
      </c>
      <c r="O133" s="44">
        <v>0.08</v>
      </c>
      <c r="P133" s="44">
        <v>0.06</v>
      </c>
      <c r="Q133" s="45">
        <v>19977293</v>
      </c>
      <c r="R133" s="45">
        <v>1274821709</v>
      </c>
      <c r="S133" s="45">
        <v>29763833</v>
      </c>
      <c r="T133" s="45">
        <v>0</v>
      </c>
      <c r="U133" s="45">
        <v>19007454</v>
      </c>
      <c r="V133" s="45">
        <f>(1808429764+V132)/2</f>
        <v>1598615266.8422852</v>
      </c>
    </row>
    <row r="134" spans="1:22" x14ac:dyDescent="0.2">
      <c r="A134" s="52" t="s">
        <v>20</v>
      </c>
      <c r="B134" s="53">
        <v>2012</v>
      </c>
      <c r="C134" s="54">
        <f>((6239058+18345651+24759337+490923+74478564+37946378+4097809)+(6029092+41056573+610190+1194306+59044836+14868663+5003694))/2</f>
        <v>147082537</v>
      </c>
      <c r="D134" s="54">
        <v>6602558</v>
      </c>
      <c r="E134" s="55"/>
      <c r="F134" s="52"/>
      <c r="G134" s="56">
        <f>(299126+432905+639606)/74478564</f>
        <v>1.8416533917061023E-2</v>
      </c>
      <c r="H134" s="56">
        <v>0.112</v>
      </c>
      <c r="I134" s="56"/>
      <c r="J134" s="56"/>
      <c r="K134" s="56">
        <v>5.5045456198033094</v>
      </c>
      <c r="L134" s="56">
        <v>9.0947033955719299</v>
      </c>
      <c r="M134" s="56">
        <v>0.03</v>
      </c>
      <c r="N134" s="56">
        <v>0.01</v>
      </c>
      <c r="O134" s="56">
        <v>0.08</v>
      </c>
      <c r="P134" s="56">
        <v>0.06</v>
      </c>
      <c r="Q134" s="57">
        <f>18535931+6223406</f>
        <v>24759337</v>
      </c>
      <c r="R134" s="57">
        <v>74478564</v>
      </c>
      <c r="S134" s="57">
        <v>1820599</v>
      </c>
      <c r="T134" s="57">
        <v>162605</v>
      </c>
      <c r="U134" s="57">
        <v>2696658</v>
      </c>
      <c r="V134" s="57">
        <f>(175609964+138831492)/2</f>
        <v>157220728</v>
      </c>
    </row>
    <row r="135" spans="1:22" x14ac:dyDescent="0.2">
      <c r="A135" s="52" t="s">
        <v>20</v>
      </c>
      <c r="B135" s="53">
        <v>2013</v>
      </c>
      <c r="C135" s="54">
        <f>((3615772+6928627+20040522+3994477+87742914+41473512+4724877)+(6239058+18345651+24759337+490923+74478564+37946378+4097809))/2</f>
        <v>167439210.5</v>
      </c>
      <c r="D135" s="54">
        <v>6124370</v>
      </c>
      <c r="E135" s="55"/>
      <c r="F135" s="52"/>
      <c r="G135" s="56">
        <f>(653037+674369+818667)/87742914</f>
        <v>2.445864745271624E-2</v>
      </c>
      <c r="H135" s="56">
        <v>0.11</v>
      </c>
      <c r="I135" s="56"/>
      <c r="J135" s="56"/>
      <c r="K135" s="56">
        <v>5.553500244795103</v>
      </c>
      <c r="L135" s="56">
        <v>6.5926747589919099</v>
      </c>
      <c r="M135" s="56">
        <v>0.03</v>
      </c>
      <c r="N135" s="56">
        <v>0.01</v>
      </c>
      <c r="O135" s="56">
        <v>0.08</v>
      </c>
      <c r="P135" s="56">
        <v>0.06</v>
      </c>
      <c r="Q135" s="57">
        <f>16254042+3786480</f>
        <v>20040522</v>
      </c>
      <c r="R135" s="57">
        <v>87742914</v>
      </c>
      <c r="S135" s="57">
        <v>1770148</v>
      </c>
      <c r="T135" s="57">
        <v>181898</v>
      </c>
      <c r="U135" s="57">
        <v>2746473</v>
      </c>
      <c r="V135" s="57">
        <f>(180381063+V134)/2</f>
        <v>168800895.5</v>
      </c>
    </row>
    <row r="136" spans="1:22" x14ac:dyDescent="0.2">
      <c r="A136" s="52" t="s">
        <v>20</v>
      </c>
      <c r="B136" s="53">
        <v>2014</v>
      </c>
      <c r="C136" s="54">
        <f>((6067481+11104280+10753476+10545686+100569006+44647646+6457264)+(3615772+6928627+20040522+3994477+87742914+41473512+4724877))/2</f>
        <v>179332770</v>
      </c>
      <c r="D136" s="54">
        <v>6540074</v>
      </c>
      <c r="E136" s="55"/>
      <c r="F136" s="52"/>
      <c r="G136" s="56">
        <f>(478087+902867+1364495)/100569006</f>
        <v>2.7299156163480425E-2</v>
      </c>
      <c r="H136" s="56">
        <v>0.1</v>
      </c>
      <c r="I136" s="56"/>
      <c r="J136" s="56"/>
      <c r="K136" s="56">
        <v>6.4222466560102589</v>
      </c>
      <c r="L136" s="56">
        <v>4.0845544663762201</v>
      </c>
      <c r="M136" s="56">
        <v>0.03</v>
      </c>
      <c r="N136" s="56">
        <v>0.01</v>
      </c>
      <c r="O136" s="56">
        <v>0.08</v>
      </c>
      <c r="P136" s="56">
        <v>0.06</v>
      </c>
      <c r="Q136" s="57">
        <f>9516959+1236517</f>
        <v>10753476</v>
      </c>
      <c r="R136" s="57">
        <v>100569006</v>
      </c>
      <c r="S136" s="57">
        <v>2462740</v>
      </c>
      <c r="T136" s="57">
        <v>442499</v>
      </c>
      <c r="U136" s="57">
        <v>3114201</v>
      </c>
      <c r="V136" s="57">
        <f>(200489173+V135)/2</f>
        <v>184645034.25</v>
      </c>
    </row>
    <row r="137" spans="1:22" x14ac:dyDescent="0.2">
      <c r="A137" s="52" t="s">
        <v>20</v>
      </c>
      <c r="B137" s="53">
        <v>2015</v>
      </c>
      <c r="C137" s="54">
        <f>((8181894+17784947+11143003+3614309+121348630+39513026+8070136)+(6067481+11104280+10753476+10545686+100569006+44647646+6457264))/2</f>
        <v>199900392</v>
      </c>
      <c r="D137" s="54">
        <v>7318530</v>
      </c>
      <c r="E137" s="55"/>
      <c r="F137" s="52"/>
      <c r="G137" s="56">
        <f>(425343+442136+1082115)/121348630</f>
        <v>1.6066056946831622E-2</v>
      </c>
      <c r="H137" s="56">
        <f>AVERAGE(H138:H144)</f>
        <v>0.11328571428571428</v>
      </c>
      <c r="I137" s="56"/>
      <c r="J137" s="56"/>
      <c r="K137" s="56">
        <v>6.9871667237754878</v>
      </c>
      <c r="L137" s="56">
        <v>0.63120090517571803</v>
      </c>
      <c r="M137" s="56">
        <v>0.03</v>
      </c>
      <c r="N137" s="56">
        <v>0.01</v>
      </c>
      <c r="O137" s="56">
        <v>0.08</v>
      </c>
      <c r="P137" s="56">
        <v>0.06</v>
      </c>
      <c r="Q137" s="57">
        <f>9617139+1525864</f>
        <v>11143003</v>
      </c>
      <c r="R137" s="57">
        <v>121348630</v>
      </c>
      <c r="S137" s="57">
        <v>1976382</v>
      </c>
      <c r="T137" s="57">
        <v>269000</v>
      </c>
      <c r="U137" s="57">
        <v>3449129</v>
      </c>
      <c r="V137" s="57">
        <f>(221041993+V136)/2</f>
        <v>202843513.625</v>
      </c>
    </row>
    <row r="138" spans="1:22" x14ac:dyDescent="0.2">
      <c r="A138" s="52" t="s">
        <v>20</v>
      </c>
      <c r="B138" s="53">
        <v>2016</v>
      </c>
      <c r="C138" s="54">
        <f>((10002478+12885093+14263922+1060665+150737702+46225522+8681353)+(8181894+17784947+11143003+3614309+121348630+39513026+8070136))/2</f>
        <v>226756340</v>
      </c>
      <c r="D138" s="54">
        <v>7978944</v>
      </c>
      <c r="E138" s="55"/>
      <c r="F138" s="52"/>
      <c r="G138" s="56">
        <f>(896027+476547+614623)/150737702</f>
        <v>1.318314511654158E-2</v>
      </c>
      <c r="H138" s="56">
        <v>0.125</v>
      </c>
      <c r="I138" s="56"/>
      <c r="J138" s="56"/>
      <c r="K138" s="56">
        <v>6.6900092133089402</v>
      </c>
      <c r="L138" s="56">
        <v>2.66824816969083</v>
      </c>
      <c r="M138" s="56">
        <v>0.03</v>
      </c>
      <c r="N138" s="56">
        <v>0.01</v>
      </c>
      <c r="O138" s="56">
        <v>0.08</v>
      </c>
      <c r="P138" s="56">
        <v>0.06</v>
      </c>
      <c r="Q138" s="57">
        <f>13678613+585309</f>
        <v>14263922</v>
      </c>
      <c r="R138" s="57">
        <v>150737702</v>
      </c>
      <c r="S138" s="57">
        <v>2050313</v>
      </c>
      <c r="T138" s="57">
        <v>196216</v>
      </c>
      <c r="U138" s="57">
        <v>4174668</v>
      </c>
      <c r="V138" s="57">
        <f>(256258500+V137)/2</f>
        <v>229551006.8125</v>
      </c>
    </row>
    <row r="139" spans="1:22" x14ac:dyDescent="0.2">
      <c r="A139" s="52" t="s">
        <v>20</v>
      </c>
      <c r="B139" s="53">
        <v>2017</v>
      </c>
      <c r="C139" s="54">
        <f>((6683682+38765361+14928041+2839964+184188142+43091877+7945077)+(10002478+12885093+14263922+1060665+150737702+46225522+8681353))/2</f>
        <v>271149439.5</v>
      </c>
      <c r="D139" s="54">
        <v>11218952</v>
      </c>
      <c r="E139" s="55"/>
      <c r="F139" s="52"/>
      <c r="G139" s="56">
        <f>(735553+668431+813673)/184188142</f>
        <v>1.2040172488411334E-2</v>
      </c>
      <c r="H139" s="56">
        <v>0.12</v>
      </c>
      <c r="I139" s="56"/>
      <c r="J139" s="56"/>
      <c r="K139" s="56">
        <v>6.9401877821904918</v>
      </c>
      <c r="L139" s="56">
        <v>3.5202568881161902</v>
      </c>
      <c r="M139" s="56">
        <v>0.03</v>
      </c>
      <c r="N139" s="56">
        <v>0.01</v>
      </c>
      <c r="O139" s="56">
        <v>0.08</v>
      </c>
      <c r="P139" s="56">
        <v>0.06</v>
      </c>
      <c r="Q139" s="57">
        <v>14928041</v>
      </c>
      <c r="R139" s="57">
        <v>184188142</v>
      </c>
      <c r="S139" s="57">
        <v>2125684</v>
      </c>
      <c r="T139" s="57">
        <v>196000</v>
      </c>
      <c r="U139" s="57">
        <v>5999239</v>
      </c>
      <c r="V139" s="57">
        <f>(313877828+V138)/2</f>
        <v>271714417.40625</v>
      </c>
    </row>
    <row r="140" spans="1:22" x14ac:dyDescent="0.2">
      <c r="A140" s="52" t="s">
        <v>20</v>
      </c>
      <c r="B140" s="53">
        <v>2018</v>
      </c>
      <c r="C140" s="54">
        <f>((10548084+35363429+9894199+684035+214685958+70467404+3522144)+(6683682+38765361+14928041+2839964+184188142+43091877+7945077))/2</f>
        <v>321803698.5</v>
      </c>
      <c r="D140" s="54">
        <v>14583497</v>
      </c>
      <c r="E140" s="55"/>
      <c r="F140" s="52"/>
      <c r="G140" s="56">
        <f>(1099661+797692+962335)/214685958</f>
        <v>1.3320330899331571E-2</v>
      </c>
      <c r="H140" s="56">
        <v>0.109</v>
      </c>
      <c r="I140" s="56"/>
      <c r="J140" s="56"/>
      <c r="K140" s="56">
        <v>7.4649912574460018</v>
      </c>
      <c r="L140" s="56">
        <v>3.53962805942641</v>
      </c>
      <c r="M140" s="56">
        <v>0.03</v>
      </c>
      <c r="N140" s="56">
        <v>0.01</v>
      </c>
      <c r="O140" s="56">
        <v>0.08</v>
      </c>
      <c r="P140" s="56">
        <v>0.06</v>
      </c>
      <c r="Q140" s="57">
        <v>9894199</v>
      </c>
      <c r="R140" s="57">
        <v>214685958</v>
      </c>
      <c r="S140" s="57">
        <v>3211005</v>
      </c>
      <c r="T140" s="57">
        <v>196000</v>
      </c>
      <c r="U140" s="57">
        <v>8733802</v>
      </c>
      <c r="V140" s="57">
        <f>(362325062+V139)/2</f>
        <v>317019739.703125</v>
      </c>
    </row>
    <row r="141" spans="1:22" x14ac:dyDescent="0.2">
      <c r="A141" s="52" t="s">
        <v>20</v>
      </c>
      <c r="B141" s="53">
        <v>2019</v>
      </c>
      <c r="C141" s="54">
        <f>((14347180+29338805+10548559+1196887+250330623+82723727+3196877)+(10548084+35363429+9894199+684035+214685958+70467404+3522144))/2</f>
        <v>368423955.5</v>
      </c>
      <c r="D141" s="54">
        <v>17999997</v>
      </c>
      <c r="E141" s="55"/>
      <c r="F141" s="52"/>
      <c r="G141" s="56">
        <f>(1380392+899344+617902)/250330623</f>
        <v>1.1575243832633293E-2</v>
      </c>
      <c r="H141" s="56">
        <v>0.107</v>
      </c>
      <c r="I141" s="56"/>
      <c r="J141" s="56"/>
      <c r="K141" s="56">
        <v>7.3592809998546045</v>
      </c>
      <c r="L141" s="56">
        <v>2.7958236745224401</v>
      </c>
      <c r="M141" s="56">
        <v>0.03</v>
      </c>
      <c r="N141" s="56">
        <v>0.01</v>
      </c>
      <c r="O141" s="56">
        <v>0.08</v>
      </c>
      <c r="P141" s="56">
        <v>0.06</v>
      </c>
      <c r="Q141" s="57">
        <v>10548559</v>
      </c>
      <c r="R141" s="57">
        <v>250330623</v>
      </c>
      <c r="S141" s="57">
        <v>3200913</v>
      </c>
      <c r="T141" s="57">
        <v>196000</v>
      </c>
      <c r="U141" s="57">
        <v>9723706</v>
      </c>
      <c r="V141" s="57">
        <f>(411487575+V140)/2</f>
        <v>364253657.3515625</v>
      </c>
    </row>
    <row r="142" spans="1:22" x14ac:dyDescent="0.2">
      <c r="A142" s="52" t="s">
        <v>20</v>
      </c>
      <c r="B142" s="53">
        <v>2020</v>
      </c>
      <c r="C142" s="54">
        <f>((17296506+41939499+5949303+3102030+298296983+96775364+3374241)+(14347180+29338805+10548559+1196887+250330623+82723727+3196877))/2</f>
        <v>429208292</v>
      </c>
      <c r="D142" s="54">
        <v>20277795</v>
      </c>
      <c r="E142" s="55"/>
      <c r="F142" s="52"/>
      <c r="G142" s="56">
        <f>(889768+973564+1384484)/298296983</f>
        <v>1.0887860706254611E-2</v>
      </c>
      <c r="H142" s="56">
        <v>0.104</v>
      </c>
      <c r="I142" s="56"/>
      <c r="J142" s="56"/>
      <c r="K142" s="56">
        <v>2.8654119461210428</v>
      </c>
      <c r="L142" s="56">
        <v>3.2209343665251402</v>
      </c>
      <c r="M142" s="56">
        <v>0.03</v>
      </c>
      <c r="N142" s="56">
        <v>0.01</v>
      </c>
      <c r="O142" s="56">
        <v>0.08</v>
      </c>
      <c r="P142" s="56">
        <v>0.06</v>
      </c>
      <c r="Q142" s="57">
        <v>5949303</v>
      </c>
      <c r="R142" s="57">
        <f>298296983</f>
        <v>298296983</v>
      </c>
      <c r="S142" s="57">
        <v>4354219</v>
      </c>
      <c r="T142" s="57">
        <v>0</v>
      </c>
      <c r="U142" s="57">
        <v>10555457</v>
      </c>
      <c r="V142" s="57">
        <f>(494982162+V141)/2</f>
        <v>429617909.67578125</v>
      </c>
    </row>
    <row r="143" spans="1:22" x14ac:dyDescent="0.2">
      <c r="A143" s="52" t="s">
        <v>20</v>
      </c>
      <c r="B143" s="53">
        <v>2021</v>
      </c>
      <c r="C143" s="54">
        <f>((38051039+24155189+11908860+7582673+363554778+124551916+4677084)+(17296506+41939499+5949303+3102030+298296983+96775364+3374241))/2</f>
        <v>520607732.5</v>
      </c>
      <c r="D143" s="54">
        <v>26199554</v>
      </c>
      <c r="E143" s="55"/>
      <c r="F143" s="52"/>
      <c r="G143" s="56">
        <f>(1433433+1015111+819491)/363554778</f>
        <v>8.989113051898881E-3</v>
      </c>
      <c r="H143" s="56">
        <v>0.113</v>
      </c>
      <c r="I143" s="56"/>
      <c r="J143" s="56"/>
      <c r="K143" s="56">
        <v>2.5615511423249444</v>
      </c>
      <c r="L143" s="56">
        <v>1.83471554810462</v>
      </c>
      <c r="M143" s="56">
        <v>0.03</v>
      </c>
      <c r="N143" s="56">
        <v>0.01</v>
      </c>
      <c r="O143" s="56">
        <v>0.08</v>
      </c>
      <c r="P143" s="56">
        <v>0.06</v>
      </c>
      <c r="Q143" s="57">
        <v>11908860</v>
      </c>
      <c r="R143" s="57">
        <f>363554778</f>
        <v>363554778</v>
      </c>
      <c r="S143" s="57">
        <v>8757684</v>
      </c>
      <c r="T143" s="57">
        <v>80856</v>
      </c>
      <c r="U143" s="57">
        <v>12377188</v>
      </c>
      <c r="V143" s="57">
        <f>(607140419+V142)/2</f>
        <v>518379164.33789062</v>
      </c>
    </row>
    <row r="144" spans="1:22" x14ac:dyDescent="0.2">
      <c r="A144" s="52" t="s">
        <v>20</v>
      </c>
      <c r="B144" s="53">
        <v>2022</v>
      </c>
      <c r="C144" s="54">
        <f>((39654541+24835507+8102398+4107470+460574482+154506192+5475361)+(38051039+24155189+11908860+7582673+363554778+124551916+4677084))/2</f>
        <v>635868745</v>
      </c>
      <c r="D144" s="54">
        <v>36023122</v>
      </c>
      <c r="E144" s="55"/>
      <c r="F144" s="52"/>
      <c r="G144" s="56">
        <f>(1517212+1220770+2293312)/460574482</f>
        <v>1.0923953012229627E-2</v>
      </c>
      <c r="H144" s="56">
        <v>0.115</v>
      </c>
      <c r="I144" s="56"/>
      <c r="J144" s="56"/>
      <c r="K144" s="56">
        <v>8.02</v>
      </c>
      <c r="L144" s="56">
        <v>3.1565074996311102</v>
      </c>
      <c r="M144" s="56">
        <v>0.03</v>
      </c>
      <c r="N144" s="56">
        <v>0.01</v>
      </c>
      <c r="O144" s="56">
        <v>0.08</v>
      </c>
      <c r="P144" s="56">
        <v>0.06</v>
      </c>
      <c r="Q144" s="57">
        <v>8102398</v>
      </c>
      <c r="R144" s="57">
        <v>460574482</v>
      </c>
      <c r="S144" s="57">
        <v>11975860</v>
      </c>
      <c r="T144" s="57">
        <v>695</v>
      </c>
      <c r="U144" s="57">
        <v>14815628</v>
      </c>
      <c r="V144" s="57">
        <f>(728532373+V143)/2</f>
        <v>623455768.66894531</v>
      </c>
    </row>
    <row r="145" spans="1:22" x14ac:dyDescent="0.2">
      <c r="A145" s="58" t="s">
        <v>21</v>
      </c>
      <c r="B145" s="59">
        <v>2012</v>
      </c>
      <c r="C145" s="60">
        <f>((40631314+20568944+1480186+480616369+47286367+3590000)+(17857625+37550879+112844+440895421+35124647+3590000))/2</f>
        <v>564652298</v>
      </c>
      <c r="D145" s="60">
        <v>25392437</v>
      </c>
      <c r="E145" s="61"/>
      <c r="F145" s="58"/>
      <c r="G145" s="62">
        <v>5.8000000000000003E-2</v>
      </c>
      <c r="H145" s="62">
        <f>AVERAGE($H$148:$H$155)</f>
        <v>0.10024999999999999</v>
      </c>
      <c r="I145" s="62"/>
      <c r="J145" s="62"/>
      <c r="K145" s="62">
        <v>5.5045456198033094</v>
      </c>
      <c r="L145" s="62">
        <v>9.0947033955719299</v>
      </c>
      <c r="M145" s="62">
        <v>0.01</v>
      </c>
      <c r="N145" s="62">
        <v>0.01</v>
      </c>
      <c r="O145" s="62">
        <v>7.0000000000000007E-2</v>
      </c>
      <c r="P145" s="62">
        <v>0.05</v>
      </c>
      <c r="Q145" s="63">
        <v>7943000</v>
      </c>
      <c r="R145" s="63">
        <v>487041580</v>
      </c>
      <c r="S145" s="63">
        <v>15913286</v>
      </c>
      <c r="T145" s="63">
        <v>147622</v>
      </c>
      <c r="U145" s="63">
        <v>26330576</v>
      </c>
      <c r="V145" s="63">
        <f>(614946541+556269883)/2</f>
        <v>585608212</v>
      </c>
    </row>
    <row r="146" spans="1:22" x14ac:dyDescent="0.2">
      <c r="A146" s="58" t="s">
        <v>21</v>
      </c>
      <c r="B146" s="59">
        <v>2013</v>
      </c>
      <c r="C146" s="60">
        <f>((31547403+14587146+17359776+27312294+535921710+39867506+12220575)+(40834670+12990600+7943000+10488221+487041580+37068697+3590130))/2</f>
        <v>639386654</v>
      </c>
      <c r="D146" s="60">
        <v>20734805</v>
      </c>
      <c r="E146" s="61"/>
      <c r="F146" s="58"/>
      <c r="G146" s="62">
        <v>5.8000000000000003E-2</v>
      </c>
      <c r="H146" s="62">
        <f t="shared" ref="H146:H147" si="4">AVERAGE($H$148:$H$155)</f>
        <v>0.10024999999999999</v>
      </c>
      <c r="I146" s="62"/>
      <c r="J146" s="62"/>
      <c r="K146" s="62">
        <v>5.553500244795103</v>
      </c>
      <c r="L146" s="62">
        <v>6.5926747589919099</v>
      </c>
      <c r="M146" s="62">
        <v>0.01</v>
      </c>
      <c r="N146" s="62">
        <v>0.01</v>
      </c>
      <c r="O146" s="62">
        <v>7.0000000000000007E-2</v>
      </c>
      <c r="P146" s="62">
        <v>0.05</v>
      </c>
      <c r="Q146" s="63">
        <v>17359776</v>
      </c>
      <c r="R146" s="63">
        <v>535921710</v>
      </c>
      <c r="S146" s="63">
        <v>17068510</v>
      </c>
      <c r="T146" s="63">
        <v>43231</v>
      </c>
      <c r="U146" s="63">
        <v>15005686</v>
      </c>
      <c r="V146" s="63">
        <f>(696781016+V145)/2</f>
        <v>641194614</v>
      </c>
    </row>
    <row r="147" spans="1:22" x14ac:dyDescent="0.2">
      <c r="A147" s="58" t="s">
        <v>21</v>
      </c>
      <c r="B147" s="59">
        <v>2014</v>
      </c>
      <c r="C147" s="60">
        <f>((14268021+15936274+26112460+430513+558658784+101025957+29413848)+(31547403+14587146+17359776+27312294+535921710+39867506+12220575))/2</f>
        <v>712331133.5</v>
      </c>
      <c r="D147" s="60">
        <v>21658260</v>
      </c>
      <c r="E147" s="61"/>
      <c r="F147" s="58"/>
      <c r="G147" s="62">
        <f>(3883305+4214084+19924362)/558658784</f>
        <v>5.0158973245464984E-2</v>
      </c>
      <c r="H147" s="62">
        <f t="shared" si="4"/>
        <v>0.10024999999999999</v>
      </c>
      <c r="I147" s="62"/>
      <c r="J147" s="62"/>
      <c r="K147" s="62">
        <v>6.4222466560102589</v>
      </c>
      <c r="L147" s="62">
        <v>4.0845544663762201</v>
      </c>
      <c r="M147" s="62">
        <v>0.01</v>
      </c>
      <c r="N147" s="62">
        <v>0.01</v>
      </c>
      <c r="O147" s="62">
        <v>7.0000000000000007E-2</v>
      </c>
      <c r="P147" s="62">
        <v>0.05</v>
      </c>
      <c r="Q147" s="63">
        <v>26112460</v>
      </c>
      <c r="R147" s="63">
        <v>558658784</v>
      </c>
      <c r="S147" s="63">
        <v>15307034</v>
      </c>
      <c r="T147" s="63">
        <v>0</v>
      </c>
      <c r="U147" s="63">
        <v>14897783</v>
      </c>
      <c r="V147" s="63">
        <f>(763589797+V146)/2</f>
        <v>702392205.5</v>
      </c>
    </row>
    <row r="148" spans="1:22" x14ac:dyDescent="0.2">
      <c r="A148" s="58" t="s">
        <v>21</v>
      </c>
      <c r="B148" s="59">
        <v>2015</v>
      </c>
      <c r="C148" s="60">
        <f>((43165771+18684154+42788844+111677+630478892+72669829+49849420)+(14268021+15936274+26112460+430513+558658784+101025957+29413848))/2</f>
        <v>801797222</v>
      </c>
      <c r="D148" s="60">
        <v>24652693</v>
      </c>
      <c r="E148" s="61"/>
      <c r="F148" s="58"/>
      <c r="G148" s="62">
        <f>(3244561+2753618+11139921)/627437356</f>
        <v>2.7314439977335361E-2</v>
      </c>
      <c r="H148" s="62">
        <v>9.1999999999999998E-2</v>
      </c>
      <c r="I148" s="62"/>
      <c r="J148" s="62"/>
      <c r="K148" s="62">
        <v>6.9871667237754878</v>
      </c>
      <c r="L148" s="62">
        <v>0.63120090517571803</v>
      </c>
      <c r="M148" s="62">
        <v>0.01</v>
      </c>
      <c r="N148" s="62">
        <v>0.01</v>
      </c>
      <c r="O148" s="62">
        <v>7.0000000000000007E-2</v>
      </c>
      <c r="P148" s="62">
        <v>0.05</v>
      </c>
      <c r="Q148" s="63">
        <v>42788844</v>
      </c>
      <c r="R148" s="63">
        <f>627437356</f>
        <v>627437356</v>
      </c>
      <c r="S148" s="63">
        <v>12364807</v>
      </c>
      <c r="T148" s="63">
        <v>0</v>
      </c>
      <c r="U148" s="63">
        <v>16006100</v>
      </c>
      <c r="V148" s="63">
        <f>(874807327+V147)/2</f>
        <v>788599766.25</v>
      </c>
    </row>
    <row r="149" spans="1:22" x14ac:dyDescent="0.2">
      <c r="A149" s="58" t="s">
        <v>21</v>
      </c>
      <c r="B149" s="59">
        <v>2016</v>
      </c>
      <c r="C149" s="60">
        <f>((21510898+19167837+32183943+377651+749091083+120230903+50098593)+(43165771+18684154+42788844+111677+630478892+72669829+49849420))/2</f>
        <v>925204747.5</v>
      </c>
      <c r="D149" s="60">
        <v>28337932</v>
      </c>
      <c r="E149" s="61"/>
      <c r="F149" s="58"/>
      <c r="G149" s="62">
        <f>(1520242+3341667+10612392)/744814617</f>
        <v>2.0776043658122783E-2</v>
      </c>
      <c r="H149" s="62">
        <v>0.11</v>
      </c>
      <c r="I149" s="62"/>
      <c r="J149" s="62"/>
      <c r="K149" s="62">
        <v>6.6900092133089402</v>
      </c>
      <c r="L149" s="62">
        <v>2.66824816969083</v>
      </c>
      <c r="M149" s="62">
        <v>0.01</v>
      </c>
      <c r="N149" s="62">
        <v>0.01</v>
      </c>
      <c r="O149" s="62">
        <v>7.0000000000000007E-2</v>
      </c>
      <c r="P149" s="62">
        <v>0.05</v>
      </c>
      <c r="Q149" s="63">
        <v>32183943</v>
      </c>
      <c r="R149" s="63">
        <v>744814617</v>
      </c>
      <c r="S149" s="63">
        <v>15769461</v>
      </c>
      <c r="T149" s="63">
        <v>0</v>
      </c>
      <c r="U149" s="63">
        <v>18410421</v>
      </c>
      <c r="V149" s="63">
        <f>(1002463235+V148)/2</f>
        <v>895531500.625</v>
      </c>
    </row>
    <row r="150" spans="1:22" x14ac:dyDescent="0.2">
      <c r="A150" s="58" t="s">
        <v>21</v>
      </c>
      <c r="B150" s="59">
        <v>2017</v>
      </c>
      <c r="C150" s="60">
        <f>((25881205+21245492+52366271+98652+880396143+127515952+45342285)+(21510898+19167837+32183943+377651+749091083+120230903+50098593))/2</f>
        <v>1072753454</v>
      </c>
      <c r="D150" s="60">
        <v>34021501</v>
      </c>
      <c r="E150" s="61"/>
      <c r="F150" s="58"/>
      <c r="G150" s="62">
        <f>(4484808+2463014+11052440)/876237910</f>
        <v>2.0542665176401693E-2</v>
      </c>
      <c r="H150" s="62">
        <v>0.10199999999999999</v>
      </c>
      <c r="I150" s="62"/>
      <c r="J150" s="62"/>
      <c r="K150" s="62">
        <v>6.9401877821904918</v>
      </c>
      <c r="L150" s="62">
        <v>3.5202568881161902</v>
      </c>
      <c r="M150" s="62">
        <v>0.01</v>
      </c>
      <c r="N150" s="62">
        <v>0.01</v>
      </c>
      <c r="O150" s="62">
        <v>7.0000000000000007E-2</v>
      </c>
      <c r="P150" s="62">
        <v>0.05</v>
      </c>
      <c r="Q150" s="63">
        <v>52636271</v>
      </c>
      <c r="R150" s="63">
        <v>876237910</v>
      </c>
      <c r="S150" s="63">
        <v>15934984</v>
      </c>
      <c r="T150" s="63">
        <v>33374</v>
      </c>
      <c r="U150" s="63">
        <v>19502732</v>
      </c>
      <c r="V150" s="63">
        <f>(1152904140+V149)/2</f>
        <v>1024217820.3125</v>
      </c>
    </row>
    <row r="151" spans="1:22" x14ac:dyDescent="0.2">
      <c r="A151" s="58" t="s">
        <v>21</v>
      </c>
      <c r="B151" s="59">
        <v>2018</v>
      </c>
      <c r="C151" s="60">
        <f>((31406723+40317629+33847779+11828+1006442014+133903521+12209046)+(25881205+21245492+52366271+98652+880396143+127515952+45342285))/2</f>
        <v>1205492270</v>
      </c>
      <c r="D151" s="60">
        <v>40877317</v>
      </c>
      <c r="E151" s="61"/>
      <c r="F151" s="58"/>
      <c r="G151" s="62">
        <f>(3147489+3705432+9230412)/1004571750</f>
        <v>1.6010138648633113E-2</v>
      </c>
      <c r="H151" s="62">
        <v>9.5000000000000001E-2</v>
      </c>
      <c r="I151" s="62"/>
      <c r="J151" s="62"/>
      <c r="K151" s="62">
        <v>7.4649912574460018</v>
      </c>
      <c r="L151" s="62">
        <v>3.53962805942641</v>
      </c>
      <c r="M151" s="62">
        <v>0.01</v>
      </c>
      <c r="N151" s="62">
        <v>0.01</v>
      </c>
      <c r="O151" s="62">
        <v>7.0000000000000007E-2</v>
      </c>
      <c r="P151" s="62">
        <v>0.05</v>
      </c>
      <c r="Q151" s="63">
        <v>33847779</v>
      </c>
      <c r="R151" s="63">
        <v>1004571750</v>
      </c>
      <c r="S151" s="63">
        <v>13654624</v>
      </c>
      <c r="T151" s="63">
        <v>0</v>
      </c>
      <c r="U151" s="63">
        <v>24078246</v>
      </c>
      <c r="V151" s="63">
        <f>(1282448640+V150)/2</f>
        <v>1153333230.15625</v>
      </c>
    </row>
    <row r="152" spans="1:22" x14ac:dyDescent="0.2">
      <c r="A152" s="58" t="s">
        <v>21</v>
      </c>
      <c r="B152" s="59">
        <v>2019</v>
      </c>
      <c r="C152" s="60">
        <f>((93635974+46002467+28431072+11846+1123403404+126396648+4658938)+(31406723+40317629+33847779+11828+1006442014+133903521+12209046))/2</f>
        <v>1340339444.5</v>
      </c>
      <c r="D152" s="60">
        <v>42660644</v>
      </c>
      <c r="E152" s="61"/>
      <c r="F152" s="58"/>
      <c r="G152" s="62">
        <f>(3186502+1956084+12398484)/1121900297</f>
        <v>1.5635141595831133E-2</v>
      </c>
      <c r="H152" s="62">
        <v>9.1999999999999998E-2</v>
      </c>
      <c r="I152" s="62"/>
      <c r="J152" s="62"/>
      <c r="K152" s="62">
        <v>7.3592809998546045</v>
      </c>
      <c r="L152" s="62">
        <v>2.7958236745224401</v>
      </c>
      <c r="M152" s="62">
        <v>0.01</v>
      </c>
      <c r="N152" s="62">
        <v>0.01</v>
      </c>
      <c r="O152" s="62">
        <v>7.0000000000000007E-2</v>
      </c>
      <c r="P152" s="62">
        <v>0.05</v>
      </c>
      <c r="Q152" s="63">
        <v>28431072</v>
      </c>
      <c r="R152" s="63">
        <v>1121900297</v>
      </c>
      <c r="S152" s="63">
        <v>19777989</v>
      </c>
      <c r="T152" s="63">
        <v>0</v>
      </c>
      <c r="U152" s="63">
        <v>24594101</v>
      </c>
      <c r="V152" s="63">
        <f>(1452380867+V151)/2</f>
        <v>1302857048.578125</v>
      </c>
    </row>
    <row r="153" spans="1:22" x14ac:dyDescent="0.2">
      <c r="A153" s="58" t="s">
        <v>21</v>
      </c>
      <c r="B153" s="59">
        <v>2020</v>
      </c>
      <c r="C153" s="60">
        <f>((108843729+81792073+36159329+25453+1213958245+96652410+4758684)+(93635974+46002467+28431072+11846+1123403404+126396648+4658938))/2</f>
        <v>1482365136</v>
      </c>
      <c r="D153" s="60">
        <v>43660623</v>
      </c>
      <c r="E153" s="61"/>
      <c r="F153" s="58"/>
      <c r="G153" s="62">
        <f>(2744748+2425499+16356701)/1212624713</f>
        <v>1.7752357979529319E-2</v>
      </c>
      <c r="H153" s="62">
        <v>0.10299999999999999</v>
      </c>
      <c r="I153" s="62"/>
      <c r="J153" s="62"/>
      <c r="K153" s="62">
        <v>2.8654119461210428</v>
      </c>
      <c r="L153" s="62">
        <v>3.2209343665251402</v>
      </c>
      <c r="M153" s="62">
        <v>0.01</v>
      </c>
      <c r="N153" s="62">
        <v>0.01</v>
      </c>
      <c r="O153" s="62">
        <v>7.0000000000000007E-2</v>
      </c>
      <c r="P153" s="62">
        <v>0.05</v>
      </c>
      <c r="Q153" s="63">
        <v>36159329</v>
      </c>
      <c r="R153" s="63">
        <v>1212624713</v>
      </c>
      <c r="S153" s="63">
        <v>24457489</v>
      </c>
      <c r="T153" s="63">
        <v>0</v>
      </c>
      <c r="U153" s="63">
        <v>26117208</v>
      </c>
      <c r="V153" s="63">
        <f>(1568126913+V152)/2</f>
        <v>1435491980.7890625</v>
      </c>
    </row>
    <row r="154" spans="1:22" x14ac:dyDescent="0.2">
      <c r="A154" s="58" t="s">
        <v>21</v>
      </c>
      <c r="B154" s="59">
        <v>2021</v>
      </c>
      <c r="C154" s="60">
        <f>((148144147+93803134+60959348+68234+1316448964+58403666+4758684)+(108843729+81792073+36159329+25453+1213958245+96652410+4758684))/2</f>
        <v>1612388050</v>
      </c>
      <c r="D154" s="60">
        <v>47041165</v>
      </c>
      <c r="E154" s="61"/>
      <c r="F154" s="58"/>
      <c r="G154" s="62">
        <f>(3141256+3379431+18033338)/1316448964</f>
        <v>1.8651710526926282E-2</v>
      </c>
      <c r="H154" s="62">
        <v>0.10199999999999999</v>
      </c>
      <c r="I154" s="62"/>
      <c r="J154" s="62"/>
      <c r="K154" s="62">
        <v>2.5615511423249444</v>
      </c>
      <c r="L154" s="62">
        <v>1.83471554810462</v>
      </c>
      <c r="M154" s="62">
        <v>0.01</v>
      </c>
      <c r="N154" s="62">
        <v>0.01</v>
      </c>
      <c r="O154" s="62">
        <v>7.0000000000000007E-2</v>
      </c>
      <c r="P154" s="62">
        <v>0.05</v>
      </c>
      <c r="Q154" s="63">
        <v>60959348</v>
      </c>
      <c r="R154" s="63">
        <v>1316448964</v>
      </c>
      <c r="S154" s="63">
        <v>34583474</v>
      </c>
      <c r="T154" s="63">
        <v>0</v>
      </c>
      <c r="U154" s="63">
        <v>24801001</v>
      </c>
      <c r="V154" s="63">
        <f>(1695932701+V153)/2</f>
        <v>1565712340.8945312</v>
      </c>
    </row>
    <row r="155" spans="1:22" x14ac:dyDescent="0.2">
      <c r="A155" s="58" t="s">
        <v>21</v>
      </c>
      <c r="B155" s="59">
        <v>2022</v>
      </c>
      <c r="C155" s="60">
        <f>((7954314+191797535+1442625+9910+1444801761+154788395+59873942)+(148144147+93803134+60959348+68234+1316448964+58403666+4758684))/2</f>
        <v>1771627329.5</v>
      </c>
      <c r="D155" s="60">
        <v>60189542</v>
      </c>
      <c r="E155" s="61"/>
      <c r="F155" s="58"/>
      <c r="G155" s="62">
        <v>1.6400000000000001E-2</v>
      </c>
      <c r="H155" s="62">
        <v>0.106</v>
      </c>
      <c r="I155" s="62"/>
      <c r="J155" s="62"/>
      <c r="K155" s="62">
        <v>8.02</v>
      </c>
      <c r="L155" s="62">
        <v>3.1565074996311102</v>
      </c>
      <c r="M155" s="62">
        <v>0.01</v>
      </c>
      <c r="N155" s="62">
        <v>0.01</v>
      </c>
      <c r="O155" s="62">
        <v>7.0000000000000007E-2</v>
      </c>
      <c r="P155" s="62">
        <v>0.05</v>
      </c>
      <c r="Q155" s="63">
        <v>1442625</v>
      </c>
      <c r="R155" s="63">
        <v>1444801761</v>
      </c>
      <c r="S155" s="63">
        <v>36835702</v>
      </c>
      <c r="T155" s="63">
        <v>0</v>
      </c>
      <c r="U155" s="63">
        <v>28150016</v>
      </c>
      <c r="V155" s="63">
        <f>(1874839155+V154)/2</f>
        <v>1720275747.9472656</v>
      </c>
    </row>
  </sheetData>
  <customSheetViews>
    <customSheetView guid="{25C7A83E-09CA-1044-ACAB-DD3B4E0B42EA}" topLeftCell="A18">
      <pane xSplit="1" topLeftCell="B1" activePane="topRight" state="frozen"/>
      <selection pane="topRight" activeCell="B18" sqref="B1:B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FD16-B48E-5444-9B07-E0C7DA12F053}">
  <dimension ref="A1"/>
  <sheetViews>
    <sheetView workbookViewId="0"/>
  </sheetViews>
  <sheetFormatPr baseColWidth="10" defaultRowHeight="16" x14ac:dyDescent="0.2"/>
  <sheetData/>
  <customSheetViews>
    <customSheetView guid="{25C7A83E-09CA-1044-ACAB-DD3B4E0B42EA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2023-05-01T21:05:49Z</dcterms:created>
  <dcterms:modified xsi:type="dcterms:W3CDTF">2023-05-30T21:23:19Z</dcterms:modified>
</cp:coreProperties>
</file>