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Documents\华中杯2025\A题： 晶硅片产销策略优化\A题 晶硅片产销策略优化\附件\"/>
    </mc:Choice>
  </mc:AlternateContent>
  <xr:revisionPtr revIDLastSave="0" documentId="13_ncr:1_{98CEF46C-9445-4A07-B269-58B4066E170F}" xr6:coauthVersionLast="47" xr6:coauthVersionMax="47" xr10:uidLastSave="{00000000-0000-0000-0000-000000000000}"/>
  <bookViews>
    <workbookView xWindow="-98" yWindow="-98" windowWidth="21795" windowHeight="12975" tabRatio="825" activeTab="3" xr2:uid="{00000000-000D-0000-FFFF-FFFF00000000}"/>
  </bookViews>
  <sheets>
    <sheet name="汇总" sheetId="18" r:id="rId1"/>
    <sheet name="硅料单耗计算" sheetId="12" r:id="rId2"/>
    <sheet name="耗材价格" sheetId="13" r:id="rId3"/>
    <sheet name="销售收入" sheetId="14" r:id="rId4"/>
    <sheet name="生产变动成本" sheetId="10" r:id="rId5"/>
    <sheet name="生产公用成本" sheetId="9" r:id="rId6"/>
    <sheet name="人工成本" sheetId="4" r:id="rId7"/>
    <sheet name="销售费用" sheetId="15" r:id="rId8"/>
    <sheet name="管理费用" sheetId="21" r:id="rId9"/>
    <sheet name="财务费用" sheetId="2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0" l="1"/>
  <c r="I5" i="22" l="1"/>
  <c r="H5" i="22"/>
  <c r="G5" i="22"/>
  <c r="F5" i="22"/>
  <c r="E5" i="22"/>
  <c r="D5" i="22"/>
  <c r="C5" i="22"/>
  <c r="B5" i="22"/>
  <c r="I20" i="15"/>
  <c r="H20" i="15"/>
  <c r="G20" i="15"/>
  <c r="F20" i="15"/>
  <c r="F8" i="18" s="1"/>
  <c r="E20" i="15"/>
  <c r="E8" i="18" s="1"/>
  <c r="D20" i="15"/>
  <c r="D8" i="18" s="1"/>
  <c r="C20" i="15"/>
  <c r="C8" i="18" s="1"/>
  <c r="B20" i="15"/>
  <c r="B8" i="18" s="1"/>
  <c r="B126" i="4"/>
  <c r="E125" i="4"/>
  <c r="D125" i="4"/>
  <c r="C125" i="4"/>
  <c r="B125" i="4"/>
  <c r="F116" i="4" s="1"/>
  <c r="E122" i="4"/>
  <c r="D122" i="4"/>
  <c r="C122" i="4"/>
  <c r="B122" i="4"/>
  <c r="D119" i="4"/>
  <c r="D118" i="4"/>
  <c r="B118" i="4"/>
  <c r="D117" i="4"/>
  <c r="F115" i="4" s="1"/>
  <c r="F117" i="4" s="1"/>
  <c r="I5" i="18" s="1"/>
  <c r="D116" i="4"/>
  <c r="F118" i="4" s="1"/>
  <c r="D115" i="4"/>
  <c r="D120" i="4" s="1"/>
  <c r="F120" i="4" s="1"/>
  <c r="B110" i="4"/>
  <c r="E109" i="4"/>
  <c r="D109" i="4"/>
  <c r="C109" i="4"/>
  <c r="F100" i="4" s="1"/>
  <c r="B109" i="4"/>
  <c r="F103" i="4" s="1"/>
  <c r="E106" i="4"/>
  <c r="D106" i="4"/>
  <c r="C106" i="4"/>
  <c r="B106" i="4"/>
  <c r="D103" i="4"/>
  <c r="D102" i="4"/>
  <c r="B102" i="4"/>
  <c r="D101" i="4"/>
  <c r="D100" i="4"/>
  <c r="F99" i="4" s="1"/>
  <c r="F101" i="4" s="1"/>
  <c r="H5" i="18" s="1"/>
  <c r="D99" i="4"/>
  <c r="B94" i="4"/>
  <c r="E93" i="4"/>
  <c r="D93" i="4"/>
  <c r="C93" i="4"/>
  <c r="E90" i="4"/>
  <c r="D90" i="4"/>
  <c r="C90" i="4"/>
  <c r="B90" i="4"/>
  <c r="B93" i="4" s="1"/>
  <c r="D87" i="4"/>
  <c r="D86" i="4"/>
  <c r="B86" i="4"/>
  <c r="D85" i="4"/>
  <c r="F86" i="4" s="1"/>
  <c r="D84" i="4"/>
  <c r="F83" i="4" s="1"/>
  <c r="D83" i="4"/>
  <c r="B78" i="4"/>
  <c r="E77" i="4"/>
  <c r="D77" i="4"/>
  <c r="C77" i="4"/>
  <c r="E74" i="4"/>
  <c r="D74" i="4"/>
  <c r="C74" i="4"/>
  <c r="B74" i="4"/>
  <c r="B77" i="4" s="1"/>
  <c r="D71" i="4"/>
  <c r="D70" i="4"/>
  <c r="B70" i="4"/>
  <c r="D69" i="4"/>
  <c r="D72" i="4" s="1"/>
  <c r="D68" i="4"/>
  <c r="D67" i="4"/>
  <c r="B62" i="4"/>
  <c r="E61" i="4"/>
  <c r="D61" i="4"/>
  <c r="C61" i="4"/>
  <c r="E58" i="4"/>
  <c r="D58" i="4"/>
  <c r="C58" i="4"/>
  <c r="B58" i="4"/>
  <c r="B61" i="4" s="1"/>
  <c r="D55" i="4"/>
  <c r="D54" i="4"/>
  <c r="D56" i="4" s="1"/>
  <c r="F56" i="4" s="1"/>
  <c r="B54" i="4"/>
  <c r="D53" i="4"/>
  <c r="D52" i="4"/>
  <c r="F51" i="4" s="1"/>
  <c r="D51" i="4"/>
  <c r="C46" i="4"/>
  <c r="B46" i="4"/>
  <c r="E45" i="4"/>
  <c r="D45" i="4"/>
  <c r="E42" i="4"/>
  <c r="D42" i="4"/>
  <c r="C42" i="4"/>
  <c r="C45" i="4" s="1"/>
  <c r="B42" i="4"/>
  <c r="B45" i="4" s="1"/>
  <c r="D39" i="4"/>
  <c r="D38" i="4"/>
  <c r="D40" i="4" s="1"/>
  <c r="B38" i="4"/>
  <c r="D37" i="4"/>
  <c r="D36" i="4"/>
  <c r="D35" i="4"/>
  <c r="F35" i="4" s="1"/>
  <c r="B30" i="4"/>
  <c r="E29" i="4"/>
  <c r="E26" i="4"/>
  <c r="D26" i="4"/>
  <c r="D29" i="4" s="1"/>
  <c r="C26" i="4"/>
  <c r="C29" i="4" s="1"/>
  <c r="B26" i="4"/>
  <c r="B29" i="4" s="1"/>
  <c r="D23" i="4"/>
  <c r="D22" i="4"/>
  <c r="D24" i="4" s="1"/>
  <c r="F24" i="4" s="1"/>
  <c r="B22" i="4"/>
  <c r="D21" i="4"/>
  <c r="D20" i="4"/>
  <c r="D19" i="4"/>
  <c r="F19" i="4" s="1"/>
  <c r="B14" i="4"/>
  <c r="E10" i="4"/>
  <c r="E13" i="4" s="1"/>
  <c r="D10" i="4"/>
  <c r="D13" i="4" s="1"/>
  <c r="C10" i="4"/>
  <c r="C13" i="4" s="1"/>
  <c r="B10" i="4"/>
  <c r="B13" i="4" s="1"/>
  <c r="D7" i="4"/>
  <c r="D8" i="4" s="1"/>
  <c r="F6" i="4"/>
  <c r="D6" i="4"/>
  <c r="F3" i="4" s="1"/>
  <c r="B6" i="4"/>
  <c r="D5" i="4"/>
  <c r="D4" i="4"/>
  <c r="D3" i="4"/>
  <c r="C79" i="9"/>
  <c r="E79" i="9" s="1"/>
  <c r="C78" i="9"/>
  <c r="E78" i="9" s="1"/>
  <c r="C77" i="9"/>
  <c r="E77" i="9" s="1"/>
  <c r="E76" i="9"/>
  <c r="C76" i="9"/>
  <c r="C75" i="9"/>
  <c r="E75" i="9" s="1"/>
  <c r="E74" i="9"/>
  <c r="C74" i="9"/>
  <c r="E73" i="9"/>
  <c r="C69" i="9"/>
  <c r="E69" i="9" s="1"/>
  <c r="C68" i="9"/>
  <c r="E68" i="9" s="1"/>
  <c r="C67" i="9"/>
  <c r="E67" i="9" s="1"/>
  <c r="C66" i="9"/>
  <c r="E66" i="9" s="1"/>
  <c r="E65" i="9"/>
  <c r="C65" i="9"/>
  <c r="C64" i="9"/>
  <c r="E64" i="9" s="1"/>
  <c r="E70" i="9" s="1"/>
  <c r="H4" i="18" s="1"/>
  <c r="E63" i="9"/>
  <c r="C59" i="9"/>
  <c r="E59" i="9" s="1"/>
  <c r="C58" i="9"/>
  <c r="E58" i="9" s="1"/>
  <c r="C57" i="9"/>
  <c r="E57" i="9" s="1"/>
  <c r="C56" i="9"/>
  <c r="E56" i="9" s="1"/>
  <c r="C55" i="9"/>
  <c r="E55" i="9" s="1"/>
  <c r="E54" i="9"/>
  <c r="C54" i="9"/>
  <c r="E53" i="9"/>
  <c r="E49" i="9"/>
  <c r="C49" i="9"/>
  <c r="C48" i="9"/>
  <c r="E48" i="9" s="1"/>
  <c r="C47" i="9"/>
  <c r="E47" i="9" s="1"/>
  <c r="C46" i="9"/>
  <c r="E46" i="9" s="1"/>
  <c r="C45" i="9"/>
  <c r="E45" i="9" s="1"/>
  <c r="C44" i="9"/>
  <c r="E44" i="9" s="1"/>
  <c r="E43" i="9"/>
  <c r="E50" i="9" s="1"/>
  <c r="F4" i="18" s="1"/>
  <c r="C39" i="9"/>
  <c r="E39" i="9" s="1"/>
  <c r="E38" i="9"/>
  <c r="C38" i="9"/>
  <c r="C37" i="9"/>
  <c r="E37" i="9" s="1"/>
  <c r="C36" i="9"/>
  <c r="E36" i="9" s="1"/>
  <c r="C35" i="9"/>
  <c r="E35" i="9" s="1"/>
  <c r="C34" i="9"/>
  <c r="E34" i="9" s="1"/>
  <c r="E33" i="9"/>
  <c r="E29" i="9"/>
  <c r="C29" i="9"/>
  <c r="C28" i="9"/>
  <c r="E28" i="9" s="1"/>
  <c r="E27" i="9"/>
  <c r="C27" i="9"/>
  <c r="C26" i="9"/>
  <c r="E26" i="9" s="1"/>
  <c r="C25" i="9"/>
  <c r="E25" i="9" s="1"/>
  <c r="C24" i="9"/>
  <c r="E24" i="9" s="1"/>
  <c r="E30" i="9" s="1"/>
  <c r="E23" i="9"/>
  <c r="C19" i="9"/>
  <c r="E19" i="9" s="1"/>
  <c r="E18" i="9"/>
  <c r="C18" i="9"/>
  <c r="C17" i="9"/>
  <c r="E17" i="9" s="1"/>
  <c r="E16" i="9"/>
  <c r="C16" i="9"/>
  <c r="C15" i="9"/>
  <c r="E15" i="9" s="1"/>
  <c r="C14" i="9"/>
  <c r="E14" i="9" s="1"/>
  <c r="E13" i="9"/>
  <c r="C9" i="9"/>
  <c r="E9" i="9" s="1"/>
  <c r="C8" i="9"/>
  <c r="E8" i="9" s="1"/>
  <c r="E7" i="9"/>
  <c r="C7" i="9"/>
  <c r="C6" i="9"/>
  <c r="E6" i="9" s="1"/>
  <c r="E5" i="9"/>
  <c r="C5" i="9"/>
  <c r="C4" i="9"/>
  <c r="E4" i="9" s="1"/>
  <c r="E3" i="9"/>
  <c r="M251" i="10"/>
  <c r="M254" i="10" s="1"/>
  <c r="K251" i="10"/>
  <c r="I251" i="10"/>
  <c r="G251" i="10"/>
  <c r="M249" i="10"/>
  <c r="K249" i="10"/>
  <c r="I249" i="10"/>
  <c r="G249" i="10"/>
  <c r="M248" i="10"/>
  <c r="K248" i="10"/>
  <c r="I248" i="10"/>
  <c r="G248" i="10"/>
  <c r="M247" i="10"/>
  <c r="K247" i="10"/>
  <c r="I247" i="10"/>
  <c r="G247" i="10"/>
  <c r="M246" i="10"/>
  <c r="K246" i="10"/>
  <c r="I246" i="10"/>
  <c r="G246" i="10"/>
  <c r="M245" i="10"/>
  <c r="K245" i="10"/>
  <c r="I245" i="10"/>
  <c r="G245" i="10"/>
  <c r="M244" i="10"/>
  <c r="K244" i="10"/>
  <c r="I244" i="10"/>
  <c r="G244" i="10"/>
  <c r="M243" i="10"/>
  <c r="K243" i="10"/>
  <c r="I243" i="10"/>
  <c r="G243" i="10"/>
  <c r="M242" i="10"/>
  <c r="K242" i="10"/>
  <c r="I242" i="10"/>
  <c r="G242" i="10"/>
  <c r="M241" i="10"/>
  <c r="K241" i="10"/>
  <c r="I241" i="10"/>
  <c r="G241" i="10"/>
  <c r="M240" i="10"/>
  <c r="K240" i="10"/>
  <c r="I240" i="10"/>
  <c r="G240" i="10"/>
  <c r="M239" i="10"/>
  <c r="K239" i="10"/>
  <c r="I239" i="10"/>
  <c r="G239" i="10"/>
  <c r="M238" i="10"/>
  <c r="K238" i="10"/>
  <c r="I238" i="10"/>
  <c r="G238" i="10"/>
  <c r="M237" i="10"/>
  <c r="K237" i="10"/>
  <c r="I237" i="10"/>
  <c r="G237" i="10"/>
  <c r="M236" i="10"/>
  <c r="K236" i="10"/>
  <c r="I236" i="10"/>
  <c r="G236" i="10"/>
  <c r="M235" i="10"/>
  <c r="K235" i="10"/>
  <c r="I235" i="10"/>
  <c r="G235" i="10"/>
  <c r="M234" i="10"/>
  <c r="K234" i="10"/>
  <c r="I234" i="10"/>
  <c r="G234" i="10"/>
  <c r="M233" i="10"/>
  <c r="K233" i="10"/>
  <c r="I233" i="10"/>
  <c r="G233" i="10"/>
  <c r="M232" i="10"/>
  <c r="K232" i="10"/>
  <c r="I232" i="10"/>
  <c r="G232" i="10"/>
  <c r="M231" i="10"/>
  <c r="K231" i="10"/>
  <c r="I231" i="10"/>
  <c r="G231" i="10"/>
  <c r="M230" i="10"/>
  <c r="K230" i="10"/>
  <c r="I230" i="10"/>
  <c r="G230" i="10"/>
  <c r="M229" i="10"/>
  <c r="K229" i="10"/>
  <c r="I229" i="10"/>
  <c r="G229" i="10"/>
  <c r="M228" i="10"/>
  <c r="K228" i="10"/>
  <c r="I228" i="10"/>
  <c r="G228" i="10"/>
  <c r="M219" i="10"/>
  <c r="K219" i="10"/>
  <c r="M222" i="10" s="1"/>
  <c r="I219" i="10"/>
  <c r="G219" i="10"/>
  <c r="M217" i="10"/>
  <c r="K217" i="10"/>
  <c r="I217" i="10"/>
  <c r="G217" i="10"/>
  <c r="M216" i="10"/>
  <c r="K216" i="10"/>
  <c r="I216" i="10"/>
  <c r="G216" i="10"/>
  <c r="M215" i="10"/>
  <c r="K215" i="10"/>
  <c r="I215" i="10"/>
  <c r="G215" i="10"/>
  <c r="M214" i="10"/>
  <c r="K214" i="10"/>
  <c r="I214" i="10"/>
  <c r="G214" i="10"/>
  <c r="M213" i="10"/>
  <c r="K213" i="10"/>
  <c r="I213" i="10"/>
  <c r="G213" i="10"/>
  <c r="M212" i="10"/>
  <c r="K212" i="10"/>
  <c r="I212" i="10"/>
  <c r="G212" i="10"/>
  <c r="M211" i="10"/>
  <c r="K211" i="10"/>
  <c r="I211" i="10"/>
  <c r="G211" i="10"/>
  <c r="M210" i="10"/>
  <c r="K210" i="10"/>
  <c r="I210" i="10"/>
  <c r="G210" i="10"/>
  <c r="M209" i="10"/>
  <c r="K209" i="10"/>
  <c r="I209" i="10"/>
  <c r="G209" i="10"/>
  <c r="M208" i="10"/>
  <c r="K208" i="10"/>
  <c r="I208" i="10"/>
  <c r="G208" i="10"/>
  <c r="M207" i="10"/>
  <c r="K207" i="10"/>
  <c r="I207" i="10"/>
  <c r="G207" i="10"/>
  <c r="M206" i="10"/>
  <c r="K206" i="10"/>
  <c r="I206" i="10"/>
  <c r="G206" i="10"/>
  <c r="M205" i="10"/>
  <c r="K205" i="10"/>
  <c r="I205" i="10"/>
  <c r="G205" i="10"/>
  <c r="M204" i="10"/>
  <c r="K204" i="10"/>
  <c r="I204" i="10"/>
  <c r="G204" i="10"/>
  <c r="M203" i="10"/>
  <c r="K203" i="10"/>
  <c r="I203" i="10"/>
  <c r="G203" i="10"/>
  <c r="M202" i="10"/>
  <c r="K202" i="10"/>
  <c r="I202" i="10"/>
  <c r="G202" i="10"/>
  <c r="M201" i="10"/>
  <c r="K201" i="10"/>
  <c r="I201" i="10"/>
  <c r="G201" i="10"/>
  <c r="M200" i="10"/>
  <c r="K200" i="10"/>
  <c r="I200" i="10"/>
  <c r="G200" i="10"/>
  <c r="M199" i="10"/>
  <c r="K199" i="10"/>
  <c r="I199" i="10"/>
  <c r="G199" i="10"/>
  <c r="M198" i="10"/>
  <c r="K198" i="10"/>
  <c r="I198" i="10"/>
  <c r="G198" i="10"/>
  <c r="M197" i="10"/>
  <c r="K197" i="10"/>
  <c r="I197" i="10"/>
  <c r="G197" i="10"/>
  <c r="M196" i="10"/>
  <c r="K196" i="10"/>
  <c r="I196" i="10"/>
  <c r="G196" i="10"/>
  <c r="L195" i="10"/>
  <c r="M195" i="10" s="1"/>
  <c r="M218" i="10" s="1"/>
  <c r="M220" i="10" s="1"/>
  <c r="M187" i="10"/>
  <c r="K187" i="10"/>
  <c r="I187" i="10"/>
  <c r="M190" i="10" s="1"/>
  <c r="G187" i="10"/>
  <c r="M185" i="10"/>
  <c r="K185" i="10"/>
  <c r="I185" i="10"/>
  <c r="G185" i="10"/>
  <c r="M184" i="10"/>
  <c r="K184" i="10"/>
  <c r="I184" i="10"/>
  <c r="G184" i="10"/>
  <c r="M183" i="10"/>
  <c r="K183" i="10"/>
  <c r="I183" i="10"/>
  <c r="G183" i="10"/>
  <c r="M182" i="10"/>
  <c r="K182" i="10"/>
  <c r="I182" i="10"/>
  <c r="G182" i="10"/>
  <c r="M181" i="10"/>
  <c r="K181" i="10"/>
  <c r="I181" i="10"/>
  <c r="G181" i="10"/>
  <c r="M180" i="10"/>
  <c r="K180" i="10"/>
  <c r="I180" i="10"/>
  <c r="G180" i="10"/>
  <c r="M179" i="10"/>
  <c r="K179" i="10"/>
  <c r="I179" i="10"/>
  <c r="G179" i="10"/>
  <c r="M178" i="10"/>
  <c r="K178" i="10"/>
  <c r="I178" i="10"/>
  <c r="G178" i="10"/>
  <c r="M177" i="10"/>
  <c r="K177" i="10"/>
  <c r="I177" i="10"/>
  <c r="G177" i="10"/>
  <c r="M176" i="10"/>
  <c r="K176" i="10"/>
  <c r="I176" i="10"/>
  <c r="G176" i="10"/>
  <c r="M175" i="10"/>
  <c r="K175" i="10"/>
  <c r="I175" i="10"/>
  <c r="G175" i="10"/>
  <c r="M174" i="10"/>
  <c r="K174" i="10"/>
  <c r="I174" i="10"/>
  <c r="G174" i="10"/>
  <c r="M173" i="10"/>
  <c r="K173" i="10"/>
  <c r="I173" i="10"/>
  <c r="G173" i="10"/>
  <c r="M172" i="10"/>
  <c r="K172" i="10"/>
  <c r="I172" i="10"/>
  <c r="G172" i="10"/>
  <c r="M171" i="10"/>
  <c r="K171" i="10"/>
  <c r="I171" i="10"/>
  <c r="G171" i="10"/>
  <c r="M170" i="10"/>
  <c r="K170" i="10"/>
  <c r="I170" i="10"/>
  <c r="G170" i="10"/>
  <c r="M169" i="10"/>
  <c r="K169" i="10"/>
  <c r="I169" i="10"/>
  <c r="G169" i="10"/>
  <c r="M168" i="10"/>
  <c r="K168" i="10"/>
  <c r="I168" i="10"/>
  <c r="G168" i="10"/>
  <c r="M167" i="10"/>
  <c r="K167" i="10"/>
  <c r="I167" i="10"/>
  <c r="G167" i="10"/>
  <c r="M166" i="10"/>
  <c r="K166" i="10"/>
  <c r="I166" i="10"/>
  <c r="G166" i="10"/>
  <c r="M165" i="10"/>
  <c r="K165" i="10"/>
  <c r="I165" i="10"/>
  <c r="G165" i="10"/>
  <c r="M164" i="10"/>
  <c r="K164" i="10"/>
  <c r="I164" i="10"/>
  <c r="G164" i="10"/>
  <c r="L163" i="10"/>
  <c r="M163" i="10" s="1"/>
  <c r="M186" i="10" s="1"/>
  <c r="M188" i="10" s="1"/>
  <c r="M155" i="10"/>
  <c r="K155" i="10"/>
  <c r="I155" i="10"/>
  <c r="G155" i="10"/>
  <c r="M158" i="10" s="1"/>
  <c r="M153" i="10"/>
  <c r="K153" i="10"/>
  <c r="I153" i="10"/>
  <c r="G153" i="10"/>
  <c r="M152" i="10"/>
  <c r="K152" i="10"/>
  <c r="I152" i="10"/>
  <c r="G152" i="10"/>
  <c r="M151" i="10"/>
  <c r="K151" i="10"/>
  <c r="I151" i="10"/>
  <c r="G151" i="10"/>
  <c r="M150" i="10"/>
  <c r="K150" i="10"/>
  <c r="I150" i="10"/>
  <c r="G150" i="10"/>
  <c r="M149" i="10"/>
  <c r="K149" i="10"/>
  <c r="I149" i="10"/>
  <c r="G149" i="10"/>
  <c r="M148" i="10"/>
  <c r="K148" i="10"/>
  <c r="I148" i="10"/>
  <c r="G148" i="10"/>
  <c r="M147" i="10"/>
  <c r="K147" i="10"/>
  <c r="I147" i="10"/>
  <c r="G147" i="10"/>
  <c r="M146" i="10"/>
  <c r="K146" i="10"/>
  <c r="I146" i="10"/>
  <c r="G146" i="10"/>
  <c r="M145" i="10"/>
  <c r="K145" i="10"/>
  <c r="I145" i="10"/>
  <c r="G145" i="10"/>
  <c r="M144" i="10"/>
  <c r="K144" i="10"/>
  <c r="I144" i="10"/>
  <c r="G144" i="10"/>
  <c r="M143" i="10"/>
  <c r="K143" i="10"/>
  <c r="I143" i="10"/>
  <c r="G143" i="10"/>
  <c r="M142" i="10"/>
  <c r="K142" i="10"/>
  <c r="I142" i="10"/>
  <c r="G142" i="10"/>
  <c r="M141" i="10"/>
  <c r="K141" i="10"/>
  <c r="I141" i="10"/>
  <c r="G141" i="10"/>
  <c r="M140" i="10"/>
  <c r="K140" i="10"/>
  <c r="I140" i="10"/>
  <c r="G140" i="10"/>
  <c r="M139" i="10"/>
  <c r="K139" i="10"/>
  <c r="I139" i="10"/>
  <c r="G139" i="10"/>
  <c r="M138" i="10"/>
  <c r="K138" i="10"/>
  <c r="I138" i="10"/>
  <c r="G138" i="10"/>
  <c r="M137" i="10"/>
  <c r="K137" i="10"/>
  <c r="I137" i="10"/>
  <c r="G137" i="10"/>
  <c r="M136" i="10"/>
  <c r="K136" i="10"/>
  <c r="I136" i="10"/>
  <c r="G136" i="10"/>
  <c r="M135" i="10"/>
  <c r="K135" i="10"/>
  <c r="I135" i="10"/>
  <c r="G135" i="10"/>
  <c r="M134" i="10"/>
  <c r="K134" i="10"/>
  <c r="I134" i="10"/>
  <c r="G134" i="10"/>
  <c r="M133" i="10"/>
  <c r="K133" i="10"/>
  <c r="I133" i="10"/>
  <c r="G133" i="10"/>
  <c r="M132" i="10"/>
  <c r="K132" i="10"/>
  <c r="I132" i="10"/>
  <c r="G132" i="10"/>
  <c r="L131" i="10"/>
  <c r="M131" i="10" s="1"/>
  <c r="M154" i="10" s="1"/>
  <c r="M156" i="10" s="1"/>
  <c r="J131" i="10"/>
  <c r="K131" i="10" s="1"/>
  <c r="K154" i="10" s="1"/>
  <c r="K156" i="10" s="1"/>
  <c r="M123" i="10"/>
  <c r="K123" i="10"/>
  <c r="I123" i="10"/>
  <c r="G123" i="10"/>
  <c r="M126" i="10" s="1"/>
  <c r="M121" i="10"/>
  <c r="K121" i="10"/>
  <c r="I121" i="10"/>
  <c r="G121" i="10"/>
  <c r="M120" i="10"/>
  <c r="K120" i="10"/>
  <c r="I120" i="10"/>
  <c r="G120" i="10"/>
  <c r="M119" i="10"/>
  <c r="K119" i="10"/>
  <c r="I119" i="10"/>
  <c r="G119" i="10"/>
  <c r="M118" i="10"/>
  <c r="K118" i="10"/>
  <c r="I118" i="10"/>
  <c r="G118" i="10"/>
  <c r="M117" i="10"/>
  <c r="K117" i="10"/>
  <c r="I117" i="10"/>
  <c r="G117" i="10"/>
  <c r="M116" i="10"/>
  <c r="K116" i="10"/>
  <c r="I116" i="10"/>
  <c r="G116" i="10"/>
  <c r="M115" i="10"/>
  <c r="K115" i="10"/>
  <c r="I115" i="10"/>
  <c r="G115" i="10"/>
  <c r="M114" i="10"/>
  <c r="K114" i="10"/>
  <c r="I114" i="10"/>
  <c r="G114" i="10"/>
  <c r="M113" i="10"/>
  <c r="K113" i="10"/>
  <c r="I113" i="10"/>
  <c r="G113" i="10"/>
  <c r="M112" i="10"/>
  <c r="K112" i="10"/>
  <c r="I112" i="10"/>
  <c r="G112" i="10"/>
  <c r="M111" i="10"/>
  <c r="K111" i="10"/>
  <c r="I111" i="10"/>
  <c r="G111" i="10"/>
  <c r="M110" i="10"/>
  <c r="K110" i="10"/>
  <c r="I110" i="10"/>
  <c r="G110" i="10"/>
  <c r="M109" i="10"/>
  <c r="K109" i="10"/>
  <c r="I109" i="10"/>
  <c r="G109" i="10"/>
  <c r="M108" i="10"/>
  <c r="K108" i="10"/>
  <c r="I108" i="10"/>
  <c r="G108" i="10"/>
  <c r="M107" i="10"/>
  <c r="K107" i="10"/>
  <c r="I107" i="10"/>
  <c r="G107" i="10"/>
  <c r="M106" i="10"/>
  <c r="K106" i="10"/>
  <c r="I106" i="10"/>
  <c r="G106" i="10"/>
  <c r="M105" i="10"/>
  <c r="K105" i="10"/>
  <c r="I105" i="10"/>
  <c r="G105" i="10"/>
  <c r="M104" i="10"/>
  <c r="K104" i="10"/>
  <c r="I104" i="10"/>
  <c r="G104" i="10"/>
  <c r="M103" i="10"/>
  <c r="K103" i="10"/>
  <c r="I103" i="10"/>
  <c r="G103" i="10"/>
  <c r="M102" i="10"/>
  <c r="K102" i="10"/>
  <c r="I102" i="10"/>
  <c r="G102" i="10"/>
  <c r="M101" i="10"/>
  <c r="K101" i="10"/>
  <c r="I101" i="10"/>
  <c r="G101" i="10"/>
  <c r="M100" i="10"/>
  <c r="K100" i="10"/>
  <c r="I100" i="10"/>
  <c r="G100" i="10"/>
  <c r="J99" i="10"/>
  <c r="K99" i="10" s="1"/>
  <c r="K122" i="10" s="1"/>
  <c r="K124" i="10" s="1"/>
  <c r="M91" i="10"/>
  <c r="K91" i="10"/>
  <c r="I91" i="10"/>
  <c r="G91" i="10"/>
  <c r="M94" i="10" s="1"/>
  <c r="M89" i="10"/>
  <c r="K89" i="10"/>
  <c r="I89" i="10"/>
  <c r="G89" i="10"/>
  <c r="M88" i="10"/>
  <c r="K88" i="10"/>
  <c r="I88" i="10"/>
  <c r="G88" i="10"/>
  <c r="M87" i="10"/>
  <c r="K87" i="10"/>
  <c r="I87" i="10"/>
  <c r="G87" i="10"/>
  <c r="M86" i="10"/>
  <c r="K86" i="10"/>
  <c r="I86" i="10"/>
  <c r="G86" i="10"/>
  <c r="M85" i="10"/>
  <c r="K85" i="10"/>
  <c r="I85" i="10"/>
  <c r="G85" i="10"/>
  <c r="M84" i="10"/>
  <c r="K84" i="10"/>
  <c r="I84" i="10"/>
  <c r="G84" i="10"/>
  <c r="M83" i="10"/>
  <c r="K83" i="10"/>
  <c r="I83" i="10"/>
  <c r="G83" i="10"/>
  <c r="M82" i="10"/>
  <c r="K82" i="10"/>
  <c r="I82" i="10"/>
  <c r="G82" i="10"/>
  <c r="M81" i="10"/>
  <c r="K81" i="10"/>
  <c r="I81" i="10"/>
  <c r="G81" i="10"/>
  <c r="M80" i="10"/>
  <c r="K80" i="10"/>
  <c r="I80" i="10"/>
  <c r="G80" i="10"/>
  <c r="M79" i="10"/>
  <c r="K79" i="10"/>
  <c r="I79" i="10"/>
  <c r="G79" i="10"/>
  <c r="M78" i="10"/>
  <c r="K78" i="10"/>
  <c r="I78" i="10"/>
  <c r="G78" i="10"/>
  <c r="M77" i="10"/>
  <c r="K77" i="10"/>
  <c r="I77" i="10"/>
  <c r="G77" i="10"/>
  <c r="M76" i="10"/>
  <c r="K76" i="10"/>
  <c r="I76" i="10"/>
  <c r="G76" i="10"/>
  <c r="M75" i="10"/>
  <c r="K75" i="10"/>
  <c r="I75" i="10"/>
  <c r="G75" i="10"/>
  <c r="M74" i="10"/>
  <c r="K74" i="10"/>
  <c r="I74" i="10"/>
  <c r="G74" i="10"/>
  <c r="M73" i="10"/>
  <c r="K73" i="10"/>
  <c r="I73" i="10"/>
  <c r="G73" i="10"/>
  <c r="M72" i="10"/>
  <c r="K72" i="10"/>
  <c r="I72" i="10"/>
  <c r="G72" i="10"/>
  <c r="M71" i="10"/>
  <c r="K71" i="10"/>
  <c r="I71" i="10"/>
  <c r="G71" i="10"/>
  <c r="M70" i="10"/>
  <c r="K70" i="10"/>
  <c r="I70" i="10"/>
  <c r="G70" i="10"/>
  <c r="M69" i="10"/>
  <c r="K69" i="10"/>
  <c r="I69" i="10"/>
  <c r="G69" i="10"/>
  <c r="M68" i="10"/>
  <c r="K68" i="10"/>
  <c r="I68" i="10"/>
  <c r="G68" i="10"/>
  <c r="J67" i="10"/>
  <c r="K67" i="10" s="1"/>
  <c r="K90" i="10" s="1"/>
  <c r="K92" i="10" s="1"/>
  <c r="H67" i="10"/>
  <c r="I67" i="10" s="1"/>
  <c r="I90" i="10" s="1"/>
  <c r="I92" i="10" s="1"/>
  <c r="M59" i="10"/>
  <c r="K59" i="10"/>
  <c r="I59" i="10"/>
  <c r="G59" i="10"/>
  <c r="M62" i="10" s="1"/>
  <c r="M57" i="10"/>
  <c r="K57" i="10"/>
  <c r="I57" i="10"/>
  <c r="G57" i="10"/>
  <c r="M56" i="10"/>
  <c r="K56" i="10"/>
  <c r="I56" i="10"/>
  <c r="G56" i="10"/>
  <c r="M55" i="10"/>
  <c r="K55" i="10"/>
  <c r="I55" i="10"/>
  <c r="G55" i="10"/>
  <c r="M54" i="10"/>
  <c r="K54" i="10"/>
  <c r="I54" i="10"/>
  <c r="G54" i="10"/>
  <c r="M53" i="10"/>
  <c r="K53" i="10"/>
  <c r="I53" i="10"/>
  <c r="G53" i="10"/>
  <c r="M52" i="10"/>
  <c r="K52" i="10"/>
  <c r="I52" i="10"/>
  <c r="G52" i="10"/>
  <c r="M51" i="10"/>
  <c r="K51" i="10"/>
  <c r="I51" i="10"/>
  <c r="G51" i="10"/>
  <c r="M50" i="10"/>
  <c r="K50" i="10"/>
  <c r="I50" i="10"/>
  <c r="G50" i="10"/>
  <c r="M49" i="10"/>
  <c r="K49" i="10"/>
  <c r="I49" i="10"/>
  <c r="G49" i="10"/>
  <c r="M48" i="10"/>
  <c r="K48" i="10"/>
  <c r="I48" i="10"/>
  <c r="G48" i="10"/>
  <c r="M47" i="10"/>
  <c r="K47" i="10"/>
  <c r="I47" i="10"/>
  <c r="G47" i="10"/>
  <c r="M46" i="10"/>
  <c r="K46" i="10"/>
  <c r="I46" i="10"/>
  <c r="G46" i="10"/>
  <c r="M45" i="10"/>
  <c r="K45" i="10"/>
  <c r="I45" i="10"/>
  <c r="G45" i="10"/>
  <c r="M44" i="10"/>
  <c r="K44" i="10"/>
  <c r="I44" i="10"/>
  <c r="G44" i="10"/>
  <c r="M43" i="10"/>
  <c r="K43" i="10"/>
  <c r="I43" i="10"/>
  <c r="G43" i="10"/>
  <c r="M42" i="10"/>
  <c r="K42" i="10"/>
  <c r="I42" i="10"/>
  <c r="G42" i="10"/>
  <c r="M41" i="10"/>
  <c r="K41" i="10"/>
  <c r="I41" i="10"/>
  <c r="G41" i="10"/>
  <c r="M40" i="10"/>
  <c r="K40" i="10"/>
  <c r="I40" i="10"/>
  <c r="G40" i="10"/>
  <c r="M39" i="10"/>
  <c r="K39" i="10"/>
  <c r="I39" i="10"/>
  <c r="G39" i="10"/>
  <c r="M38" i="10"/>
  <c r="K38" i="10"/>
  <c r="I38" i="10"/>
  <c r="G38" i="10"/>
  <c r="M37" i="10"/>
  <c r="K37" i="10"/>
  <c r="I37" i="10"/>
  <c r="G37" i="10"/>
  <c r="M36" i="10"/>
  <c r="K36" i="10"/>
  <c r="I36" i="10"/>
  <c r="G36" i="10"/>
  <c r="J35" i="10"/>
  <c r="K35" i="10" s="1"/>
  <c r="K58" i="10" s="1"/>
  <c r="K60" i="10" s="1"/>
  <c r="H35" i="10"/>
  <c r="I35" i="10" s="1"/>
  <c r="I58" i="10" s="1"/>
  <c r="I60" i="10" s="1"/>
  <c r="M30" i="10"/>
  <c r="M27" i="10"/>
  <c r="K27" i="10"/>
  <c r="I27" i="10"/>
  <c r="G27" i="10"/>
  <c r="M25" i="10"/>
  <c r="K25" i="10"/>
  <c r="I25" i="10"/>
  <c r="G25" i="10"/>
  <c r="M24" i="10"/>
  <c r="K24" i="10"/>
  <c r="I24" i="10"/>
  <c r="G24" i="10"/>
  <c r="M23" i="10"/>
  <c r="K23" i="10"/>
  <c r="I23" i="10"/>
  <c r="G23" i="10"/>
  <c r="M22" i="10"/>
  <c r="K22" i="10"/>
  <c r="I22" i="10"/>
  <c r="G22" i="10"/>
  <c r="M21" i="10"/>
  <c r="K21" i="10"/>
  <c r="I21" i="10"/>
  <c r="G21" i="10"/>
  <c r="M20" i="10"/>
  <c r="K20" i="10"/>
  <c r="I20" i="10"/>
  <c r="G20" i="10"/>
  <c r="M19" i="10"/>
  <c r="K19" i="10"/>
  <c r="I19" i="10"/>
  <c r="G19" i="10"/>
  <c r="M18" i="10"/>
  <c r="K18" i="10"/>
  <c r="I18" i="10"/>
  <c r="G18" i="10"/>
  <c r="M17" i="10"/>
  <c r="K17" i="10"/>
  <c r="I17" i="10"/>
  <c r="G17" i="10"/>
  <c r="M16" i="10"/>
  <c r="K16" i="10"/>
  <c r="I16" i="10"/>
  <c r="G16" i="10"/>
  <c r="M15" i="10"/>
  <c r="K15" i="10"/>
  <c r="I15" i="10"/>
  <c r="G15" i="10"/>
  <c r="M14" i="10"/>
  <c r="K14" i="10"/>
  <c r="I14" i="10"/>
  <c r="G14" i="10"/>
  <c r="M13" i="10"/>
  <c r="K13" i="10"/>
  <c r="I13" i="10"/>
  <c r="G13" i="10"/>
  <c r="M12" i="10"/>
  <c r="K12" i="10"/>
  <c r="I12" i="10"/>
  <c r="G12" i="10"/>
  <c r="M11" i="10"/>
  <c r="K11" i="10"/>
  <c r="I11" i="10"/>
  <c r="G11" i="10"/>
  <c r="K10" i="10"/>
  <c r="I10" i="10"/>
  <c r="G10" i="10"/>
  <c r="M9" i="10"/>
  <c r="K9" i="10"/>
  <c r="I9" i="10"/>
  <c r="G9" i="10"/>
  <c r="M8" i="10"/>
  <c r="K8" i="10"/>
  <c r="I8" i="10"/>
  <c r="G8" i="10"/>
  <c r="M7" i="10"/>
  <c r="K7" i="10"/>
  <c r="I7" i="10"/>
  <c r="G7" i="10"/>
  <c r="M6" i="10"/>
  <c r="K6" i="10"/>
  <c r="I6" i="10"/>
  <c r="G6" i="10"/>
  <c r="M5" i="10"/>
  <c r="K5" i="10"/>
  <c r="I5" i="10"/>
  <c r="G5" i="10"/>
  <c r="M4" i="10"/>
  <c r="K4" i="10"/>
  <c r="I4" i="10"/>
  <c r="G4" i="10"/>
  <c r="F55" i="14"/>
  <c r="F54" i="14"/>
  <c r="F53" i="14"/>
  <c r="F52" i="14"/>
  <c r="F56" i="14" s="1"/>
  <c r="I2" i="18" s="1"/>
  <c r="F48" i="14"/>
  <c r="F47" i="14"/>
  <c r="F49" i="14" s="1"/>
  <c r="H2" i="18" s="1"/>
  <c r="F46" i="14"/>
  <c r="F45" i="14"/>
  <c r="F41" i="14"/>
  <c r="F40" i="14"/>
  <c r="F39" i="14"/>
  <c r="F38" i="14"/>
  <c r="F42" i="14" s="1"/>
  <c r="G2" i="18" s="1"/>
  <c r="F34" i="14"/>
  <c r="F33" i="14"/>
  <c r="F32" i="14"/>
  <c r="F31" i="14"/>
  <c r="F35" i="14" s="1"/>
  <c r="F2" i="18" s="1"/>
  <c r="F27" i="14"/>
  <c r="F26" i="14"/>
  <c r="F25" i="14"/>
  <c r="F28" i="14" s="1"/>
  <c r="E2" i="18" s="1"/>
  <c r="F24" i="14"/>
  <c r="F20" i="14"/>
  <c r="F19" i="14"/>
  <c r="F18" i="14"/>
  <c r="F17" i="14"/>
  <c r="F21" i="14" s="1"/>
  <c r="D2" i="18" s="1"/>
  <c r="F13" i="14"/>
  <c r="F12" i="14"/>
  <c r="F11" i="14"/>
  <c r="F10" i="14"/>
  <c r="F14" i="14" s="1"/>
  <c r="C2" i="18" s="1"/>
  <c r="F6" i="14"/>
  <c r="F5" i="14"/>
  <c r="F4" i="14"/>
  <c r="F3" i="14"/>
  <c r="F7" i="14" s="1"/>
  <c r="B2" i="18" s="1"/>
  <c r="L62" i="12"/>
  <c r="H62" i="12"/>
  <c r="L227" i="10" s="1"/>
  <c r="M227" i="10" s="1"/>
  <c r="M250" i="10" s="1"/>
  <c r="M252" i="10" s="1"/>
  <c r="L61" i="12"/>
  <c r="M61" i="12" s="1"/>
  <c r="D126" i="4" s="1"/>
  <c r="I61" i="12"/>
  <c r="H61" i="12"/>
  <c r="J227" i="10" s="1"/>
  <c r="K227" i="10" s="1"/>
  <c r="K250" i="10" s="1"/>
  <c r="K252" i="10" s="1"/>
  <c r="L60" i="12"/>
  <c r="M60" i="12" s="1"/>
  <c r="C126" i="4" s="1"/>
  <c r="H60" i="12"/>
  <c r="H227" i="10" s="1"/>
  <c r="I227" i="10" s="1"/>
  <c r="I250" i="10" s="1"/>
  <c r="I252" i="10" s="1"/>
  <c r="L59" i="12"/>
  <c r="M62" i="12" s="1"/>
  <c r="E126" i="4" s="1"/>
  <c r="H59" i="12"/>
  <c r="F227" i="10" s="1"/>
  <c r="G227" i="10" s="1"/>
  <c r="G250" i="10" s="1"/>
  <c r="G252" i="10" s="1"/>
  <c r="M54" i="12"/>
  <c r="E110" i="4" s="1"/>
  <c r="L54" i="12"/>
  <c r="H54" i="12"/>
  <c r="I54" i="12" s="1"/>
  <c r="L53" i="12"/>
  <c r="H53" i="12"/>
  <c r="J195" i="10" s="1"/>
  <c r="K195" i="10" s="1"/>
  <c r="K218" i="10" s="1"/>
  <c r="K220" i="10" s="1"/>
  <c r="L52" i="12"/>
  <c r="M52" i="12" s="1"/>
  <c r="C110" i="4" s="1"/>
  <c r="H52" i="12"/>
  <c r="H195" i="10" s="1"/>
  <c r="I195" i="10" s="1"/>
  <c r="I218" i="10" s="1"/>
  <c r="I220" i="10" s="1"/>
  <c r="L51" i="12"/>
  <c r="M53" i="12" s="1"/>
  <c r="D110" i="4" s="1"/>
  <c r="H51" i="12"/>
  <c r="I51" i="12" s="1"/>
  <c r="L46" i="12"/>
  <c r="M46" i="12" s="1"/>
  <c r="E94" i="4" s="1"/>
  <c r="I46" i="12"/>
  <c r="H46" i="12"/>
  <c r="L45" i="12"/>
  <c r="M45" i="12" s="1"/>
  <c r="D94" i="4" s="1"/>
  <c r="H45" i="12"/>
  <c r="J163" i="10" s="1"/>
  <c r="K163" i="10" s="1"/>
  <c r="K186" i="10" s="1"/>
  <c r="K188" i="10" s="1"/>
  <c r="L44" i="12"/>
  <c r="H44" i="12"/>
  <c r="H163" i="10" s="1"/>
  <c r="I163" i="10" s="1"/>
  <c r="I186" i="10" s="1"/>
  <c r="I188" i="10" s="1"/>
  <c r="L43" i="12"/>
  <c r="M44" i="12" s="1"/>
  <c r="C94" i="4" s="1"/>
  <c r="H43" i="12"/>
  <c r="I43" i="12" s="1"/>
  <c r="L38" i="12"/>
  <c r="M38" i="12" s="1"/>
  <c r="E78" i="4" s="1"/>
  <c r="I38" i="12"/>
  <c r="H38" i="12"/>
  <c r="L37" i="12"/>
  <c r="M37" i="12" s="1"/>
  <c r="D78" i="4" s="1"/>
  <c r="I37" i="12"/>
  <c r="H37" i="12"/>
  <c r="L36" i="12"/>
  <c r="M36" i="12" s="1"/>
  <c r="C78" i="4" s="1"/>
  <c r="H36" i="12"/>
  <c r="H131" i="10" s="1"/>
  <c r="I131" i="10" s="1"/>
  <c r="I154" i="10" s="1"/>
  <c r="I156" i="10" s="1"/>
  <c r="L35" i="12"/>
  <c r="H35" i="12"/>
  <c r="F131" i="10" s="1"/>
  <c r="G131" i="10" s="1"/>
  <c r="G154" i="10" s="1"/>
  <c r="G156" i="10" s="1"/>
  <c r="M157" i="10" s="1"/>
  <c r="M159" i="10" s="1"/>
  <c r="F3" i="18" s="1"/>
  <c r="L30" i="12"/>
  <c r="M30" i="12" s="1"/>
  <c r="E62" i="4" s="1"/>
  <c r="H30" i="12"/>
  <c r="I30" i="12" s="1"/>
  <c r="L29" i="12"/>
  <c r="H29" i="12"/>
  <c r="I29" i="12" s="1"/>
  <c r="L28" i="12"/>
  <c r="M28" i="12" s="1"/>
  <c r="C62" i="4" s="1"/>
  <c r="I28" i="12"/>
  <c r="H28" i="12"/>
  <c r="H99" i="10" s="1"/>
  <c r="I99" i="10" s="1"/>
  <c r="I122" i="10" s="1"/>
  <c r="I124" i="10" s="1"/>
  <c r="L27" i="12"/>
  <c r="M29" i="12" s="1"/>
  <c r="D62" i="4" s="1"/>
  <c r="H27" i="12"/>
  <c r="I27" i="12" s="1"/>
  <c r="L22" i="12"/>
  <c r="M22" i="12" s="1"/>
  <c r="E46" i="4" s="1"/>
  <c r="H22" i="12"/>
  <c r="L67" i="10" s="1"/>
  <c r="M67" i="10" s="1"/>
  <c r="M90" i="10" s="1"/>
  <c r="M92" i="10" s="1"/>
  <c r="M21" i="12"/>
  <c r="D46" i="4" s="1"/>
  <c r="L21" i="12"/>
  <c r="H21" i="12"/>
  <c r="I21" i="12" s="1"/>
  <c r="M20" i="12"/>
  <c r="L20" i="12"/>
  <c r="H20" i="12"/>
  <c r="I20" i="12" s="1"/>
  <c r="L19" i="12"/>
  <c r="H19" i="12"/>
  <c r="F67" i="10" s="1"/>
  <c r="G67" i="10" s="1"/>
  <c r="G90" i="10" s="1"/>
  <c r="G92" i="10" s="1"/>
  <c r="L14" i="12"/>
  <c r="M14" i="12" s="1"/>
  <c r="E30" i="4" s="1"/>
  <c r="H14" i="12"/>
  <c r="L35" i="10" s="1"/>
  <c r="M35" i="10" s="1"/>
  <c r="M58" i="10" s="1"/>
  <c r="M60" i="10" s="1"/>
  <c r="L13" i="12"/>
  <c r="M13" i="12" s="1"/>
  <c r="D30" i="4" s="1"/>
  <c r="H13" i="12"/>
  <c r="I13" i="12" s="1"/>
  <c r="L12" i="12"/>
  <c r="M12" i="12" s="1"/>
  <c r="C30" i="4" s="1"/>
  <c r="H12" i="12"/>
  <c r="I12" i="12" s="1"/>
  <c r="L11" i="12"/>
  <c r="H11" i="12"/>
  <c r="F35" i="10" s="1"/>
  <c r="G35" i="10" s="1"/>
  <c r="G58" i="10" s="1"/>
  <c r="G60" i="10" s="1"/>
  <c r="L6" i="12"/>
  <c r="M6" i="12" s="1"/>
  <c r="E14" i="4" s="1"/>
  <c r="H6" i="12"/>
  <c r="L3" i="10" s="1"/>
  <c r="M3" i="10" s="1"/>
  <c r="M26" i="10" s="1"/>
  <c r="M28" i="10" s="1"/>
  <c r="L5" i="12"/>
  <c r="M5" i="12" s="1"/>
  <c r="D14" i="4" s="1"/>
  <c r="I5" i="12"/>
  <c r="H5" i="12"/>
  <c r="J3" i="10" s="1"/>
  <c r="K3" i="10" s="1"/>
  <c r="K26" i="10" s="1"/>
  <c r="K28" i="10" s="1"/>
  <c r="L4" i="12"/>
  <c r="M4" i="12" s="1"/>
  <c r="C14" i="4" s="1"/>
  <c r="I4" i="12"/>
  <c r="H4" i="12"/>
  <c r="H3" i="10" s="1"/>
  <c r="I3" i="10" s="1"/>
  <c r="I26" i="10" s="1"/>
  <c r="I28" i="10" s="1"/>
  <c r="L3" i="12"/>
  <c r="I3" i="12"/>
  <c r="H3" i="12"/>
  <c r="F3" i="10" s="1"/>
  <c r="G3" i="10" s="1"/>
  <c r="G26" i="10" s="1"/>
  <c r="G28" i="10" s="1"/>
  <c r="I10" i="18"/>
  <c r="H10" i="18"/>
  <c r="G10" i="18"/>
  <c r="F10" i="18"/>
  <c r="E10" i="18"/>
  <c r="D10" i="18"/>
  <c r="C10" i="18"/>
  <c r="B10" i="18"/>
  <c r="I9" i="18"/>
  <c r="H9" i="18"/>
  <c r="G9" i="18"/>
  <c r="F9" i="18"/>
  <c r="E9" i="18"/>
  <c r="D9" i="18"/>
  <c r="C9" i="18"/>
  <c r="B9" i="18"/>
  <c r="I8" i="18"/>
  <c r="H8" i="18"/>
  <c r="G8" i="18"/>
  <c r="F23" i="4" l="1"/>
  <c r="F20" i="4"/>
  <c r="F21" i="4" s="1"/>
  <c r="C5" i="18" s="1"/>
  <c r="M61" i="10"/>
  <c r="M63" i="10" s="1"/>
  <c r="C3" i="18" s="1"/>
  <c r="E20" i="9"/>
  <c r="D79" i="4"/>
  <c r="D80" i="4" s="1"/>
  <c r="E63" i="4"/>
  <c r="E64" i="4" s="1"/>
  <c r="C63" i="4"/>
  <c r="C64" i="4" s="1"/>
  <c r="D47" i="4"/>
  <c r="D48" i="4" s="1"/>
  <c r="C95" i="4"/>
  <c r="C96" i="4" s="1"/>
  <c r="D31" i="4"/>
  <c r="D32" i="4" s="1"/>
  <c r="F8" i="4"/>
  <c r="B95" i="4"/>
  <c r="B96" i="4" s="1"/>
  <c r="C79" i="4"/>
  <c r="C80" i="4" s="1"/>
  <c r="B79" i="4"/>
  <c r="B80" i="4" s="1"/>
  <c r="E127" i="4"/>
  <c r="E128" i="4" s="1"/>
  <c r="E31" i="4"/>
  <c r="E32" i="4" s="1"/>
  <c r="B63" i="4"/>
  <c r="B64" i="4" s="1"/>
  <c r="D127" i="4"/>
  <c r="D128" i="4" s="1"/>
  <c r="E111" i="4"/>
  <c r="E112" i="4" s="1"/>
  <c r="D63" i="4"/>
  <c r="D64" i="4" s="1"/>
  <c r="E47" i="4"/>
  <c r="E48" i="4" s="1"/>
  <c r="C47" i="4"/>
  <c r="C48" i="4" s="1"/>
  <c r="E15" i="4"/>
  <c r="E16" i="4" s="1"/>
  <c r="B31" i="4"/>
  <c r="B32" i="4" s="1"/>
  <c r="B15" i="4"/>
  <c r="B16" i="4" s="1"/>
  <c r="C127" i="4"/>
  <c r="C128" i="4" s="1"/>
  <c r="D111" i="4"/>
  <c r="D112" i="4" s="1"/>
  <c r="E95" i="4"/>
  <c r="E96" i="4" s="1"/>
  <c r="B47" i="4"/>
  <c r="B48" i="4" s="1"/>
  <c r="C31" i="4"/>
  <c r="C32" i="4" s="1"/>
  <c r="D15" i="4"/>
  <c r="D16" i="4" s="1"/>
  <c r="C15" i="4"/>
  <c r="C16" i="4" s="1"/>
  <c r="B127" i="4"/>
  <c r="B128" i="4" s="1"/>
  <c r="C111" i="4"/>
  <c r="C112" i="4" s="1"/>
  <c r="D95" i="4"/>
  <c r="D96" i="4" s="1"/>
  <c r="E79" i="4"/>
  <c r="E80" i="4" s="1"/>
  <c r="B111" i="4"/>
  <c r="B112" i="4" s="1"/>
  <c r="F72" i="4"/>
  <c r="E40" i="9"/>
  <c r="E4" i="18" s="1"/>
  <c r="E60" i="9"/>
  <c r="G4" i="18" s="1"/>
  <c r="F7" i="4"/>
  <c r="F4" i="4"/>
  <c r="F5" i="4" s="1"/>
  <c r="B5" i="18" s="1"/>
  <c r="F53" i="4"/>
  <c r="E5" i="18" s="1"/>
  <c r="F37" i="4"/>
  <c r="D5" i="18" s="1"/>
  <c r="F84" i="4"/>
  <c r="F85" i="4" s="1"/>
  <c r="G5" i="18" s="1"/>
  <c r="F87" i="4"/>
  <c r="F36" i="4"/>
  <c r="F39" i="4"/>
  <c r="M253" i="10"/>
  <c r="M255" i="10" s="1"/>
  <c r="I3" i="18" s="1"/>
  <c r="E80" i="9"/>
  <c r="I4" i="18" s="1"/>
  <c r="F68" i="4"/>
  <c r="F71" i="4"/>
  <c r="I12" i="18"/>
  <c r="M93" i="10"/>
  <c r="M95" i="10" s="1"/>
  <c r="D3" i="18" s="1"/>
  <c r="F40" i="4"/>
  <c r="F52" i="4"/>
  <c r="F55" i="4"/>
  <c r="E12" i="18"/>
  <c r="E10" i="9"/>
  <c r="B4" i="18" s="1"/>
  <c r="F70" i="4"/>
  <c r="I60" i="12"/>
  <c r="I11" i="12"/>
  <c r="I36" i="12"/>
  <c r="D88" i="4"/>
  <c r="F88" i="4" s="1"/>
  <c r="I22" i="12"/>
  <c r="I59" i="12"/>
  <c r="I14" i="12"/>
  <c r="L99" i="10"/>
  <c r="M99" i="10" s="1"/>
  <c r="M122" i="10" s="1"/>
  <c r="M124" i="10" s="1"/>
  <c r="I6" i="12"/>
  <c r="I52" i="12"/>
  <c r="D104" i="4"/>
  <c r="F104" i="4" s="1"/>
  <c r="F119" i="4"/>
  <c r="I19" i="12"/>
  <c r="I53" i="12"/>
  <c r="F195" i="10"/>
  <c r="G195" i="10" s="1"/>
  <c r="G218" i="10" s="1"/>
  <c r="G220" i="10" s="1"/>
  <c r="M221" i="10" s="1"/>
  <c r="M223" i="10" s="1"/>
  <c r="H3" i="18" s="1"/>
  <c r="H12" i="18" s="1"/>
  <c r="I35" i="12"/>
  <c r="I44" i="12"/>
  <c r="I45" i="12"/>
  <c r="F163" i="10"/>
  <c r="G163" i="10" s="1"/>
  <c r="G186" i="10" s="1"/>
  <c r="G188" i="10" s="1"/>
  <c r="M189" i="10" s="1"/>
  <c r="M191" i="10" s="1"/>
  <c r="G3" i="18" s="1"/>
  <c r="F22" i="4"/>
  <c r="F38" i="4"/>
  <c r="F54" i="4"/>
  <c r="I62" i="12"/>
  <c r="F99" i="10"/>
  <c r="G99" i="10" s="1"/>
  <c r="G122" i="10" s="1"/>
  <c r="G124" i="10" s="1"/>
  <c r="M125" i="10" s="1"/>
  <c r="M127" i="10" s="1"/>
  <c r="E3" i="18" s="1"/>
  <c r="F67" i="4"/>
  <c r="F69" i="4" s="1"/>
  <c r="F5" i="18" s="1"/>
  <c r="F12" i="18" s="1"/>
  <c r="F102" i="4"/>
  <c r="M29" i="10"/>
  <c r="M31" i="10" s="1"/>
  <c r="B3" i="18" s="1"/>
  <c r="H13" i="18" l="1"/>
  <c r="H14" i="18" s="1"/>
  <c r="G12" i="18"/>
  <c r="F13" i="18"/>
  <c r="F14" i="18"/>
  <c r="E13" i="18"/>
  <c r="E14" i="18" s="1"/>
  <c r="B12" i="18"/>
  <c r="B13" i="18" s="1"/>
  <c r="B14" i="18" s="1"/>
  <c r="I13" i="18"/>
  <c r="I14" i="18" s="1"/>
  <c r="C4" i="18"/>
  <c r="C12" i="18" s="1"/>
  <c r="D4" i="18"/>
  <c r="D12" i="18" s="1"/>
  <c r="D13" i="18" l="1"/>
  <c r="D14" i="18" s="1"/>
  <c r="C14" i="18"/>
  <c r="C13" i="18"/>
  <c r="G13" i="18"/>
  <c r="G1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079892</author>
  </authors>
  <commentList>
    <comment ref="M30" authorId="0" shapeId="0" xr:uid="{00000000-0006-0000-0400-000001000000}">
      <text>
        <r>
          <rPr>
            <sz val="9"/>
            <rFont val="宋体"/>
            <charset val="134"/>
          </rPr>
          <t>1万片产出80KG硅泥，售价2500元/吨。</t>
        </r>
      </text>
    </comment>
    <comment ref="M62" authorId="0" shapeId="0" xr:uid="{00000000-0006-0000-0400-000002000000}">
      <text>
        <r>
          <rPr>
            <sz val="9"/>
            <rFont val="宋体"/>
            <charset val="134"/>
          </rPr>
          <t>1万片产出80KG硅泥，售价2500元/吨。</t>
        </r>
      </text>
    </comment>
    <comment ref="M94" authorId="0" shapeId="0" xr:uid="{00000000-0006-0000-0400-000003000000}">
      <text>
        <r>
          <rPr>
            <sz val="9"/>
            <rFont val="宋体"/>
            <charset val="134"/>
          </rPr>
          <t>1万片产出80KG硅泥，售价2500元/吨。</t>
        </r>
      </text>
    </comment>
    <comment ref="M126" authorId="0" shapeId="0" xr:uid="{00000000-0006-0000-0400-000004000000}">
      <text>
        <r>
          <rPr>
            <sz val="9"/>
            <rFont val="宋体"/>
            <charset val="134"/>
          </rPr>
          <t>1万片产出80KG硅泥，售价2500元/吨。</t>
        </r>
      </text>
    </comment>
    <comment ref="M158" authorId="0" shapeId="0" xr:uid="{00000000-0006-0000-0400-000005000000}">
      <text>
        <r>
          <rPr>
            <sz val="9"/>
            <rFont val="宋体"/>
            <charset val="134"/>
          </rPr>
          <t>1万片产出80KG硅泥，售价2500元/吨。</t>
        </r>
      </text>
    </comment>
    <comment ref="M190" authorId="0" shapeId="0" xr:uid="{00000000-0006-0000-0400-000006000000}">
      <text>
        <r>
          <rPr>
            <sz val="9"/>
            <rFont val="宋体"/>
            <charset val="134"/>
          </rPr>
          <t>1万片产出80KG硅泥，售价2500元/吨。</t>
        </r>
      </text>
    </comment>
    <comment ref="M222" authorId="0" shapeId="0" xr:uid="{00000000-0006-0000-0400-000007000000}">
      <text>
        <r>
          <rPr>
            <sz val="9"/>
            <rFont val="宋体"/>
            <charset val="134"/>
          </rPr>
          <t>1万片产出80KG硅泥，售价2500元/吨。</t>
        </r>
      </text>
    </comment>
    <comment ref="M254" authorId="0" shapeId="0" xr:uid="{00000000-0006-0000-0400-000008000000}">
      <text>
        <r>
          <rPr>
            <sz val="9"/>
            <rFont val="宋体"/>
            <charset val="134"/>
          </rPr>
          <t>1万片产出80KG硅泥，售价2500元/吨。</t>
        </r>
      </text>
    </comment>
  </commentList>
</comments>
</file>

<file path=xl/sharedStrings.xml><?xml version="1.0" encoding="utf-8"?>
<sst xmlns="http://schemas.openxmlformats.org/spreadsheetml/2006/main" count="1527" uniqueCount="195">
  <si>
    <t>分类</t>
  </si>
  <si>
    <t>1月</t>
  </si>
  <si>
    <t>2月</t>
  </si>
  <si>
    <t>3月</t>
  </si>
  <si>
    <t>4月</t>
  </si>
  <si>
    <t>5月</t>
  </si>
  <si>
    <t>6月</t>
  </si>
  <si>
    <t>7月</t>
  </si>
  <si>
    <t>8月</t>
  </si>
  <si>
    <t>一、销售收入</t>
  </si>
  <si>
    <t>减：生产变动成本</t>
  </si>
  <si>
    <t xml:space="preserve">    生产公共成本</t>
  </si>
  <si>
    <t>人工成本</t>
  </si>
  <si>
    <t xml:space="preserve">           折旧</t>
  </si>
  <si>
    <t>营业税费</t>
  </si>
  <si>
    <t>销售费用</t>
  </si>
  <si>
    <t>管理费用</t>
  </si>
  <si>
    <t>财务费用</t>
  </si>
  <si>
    <t>其他收益</t>
  </si>
  <si>
    <t>二、销售利润</t>
  </si>
  <si>
    <t>减：所得税费用</t>
  </si>
  <si>
    <t>三、销售净利润</t>
  </si>
  <si>
    <t>产品名称</t>
  </si>
  <si>
    <t>规格</t>
  </si>
  <si>
    <t>重量KG</t>
  </si>
  <si>
    <t>单价（元）</t>
  </si>
  <si>
    <t>真实折算系数</t>
  </si>
  <si>
    <t>槽距</t>
  </si>
  <si>
    <t>成品率A\A-\B</t>
  </si>
  <si>
    <t>理论单耗</t>
  </si>
  <si>
    <t>理论出片数</t>
  </si>
  <si>
    <t>棒均长MM</t>
  </si>
  <si>
    <t>切割效率(刀/天)</t>
  </si>
  <si>
    <t>每天理论出片数</t>
  </si>
  <si>
    <t>费用分配系数</t>
  </si>
  <si>
    <t>N型单晶硅片</t>
  </si>
  <si>
    <t>182.2*183.75*130</t>
  </si>
  <si>
    <t>210*210*130</t>
  </si>
  <si>
    <t>210*182*130</t>
  </si>
  <si>
    <t>P型单晶硅片</t>
  </si>
  <si>
    <t>210*210*150</t>
  </si>
  <si>
    <t>厘米测量</t>
  </si>
  <si>
    <t>96%A;1%A-;1%B;2%CD</t>
  </si>
  <si>
    <t>96.2%A;1%A-;1%B;1.8%CD</t>
  </si>
  <si>
    <t>96.1%A;1%A-;1%B;1.9%CD</t>
  </si>
  <si>
    <t>96.4%A;1%A-;1%B;1.6%CD</t>
  </si>
  <si>
    <t>96.5%A;1%A-;1%B;1.5%CD</t>
  </si>
  <si>
    <t>96.3%A;1%A-;1%B;1.7%CD</t>
  </si>
  <si>
    <t>96.6%A;1%A-;1%B;1.4%CD</t>
  </si>
  <si>
    <t>原料名称</t>
  </si>
  <si>
    <t>单位</t>
  </si>
  <si>
    <t>电</t>
  </si>
  <si>
    <t>度</t>
  </si>
  <si>
    <t>水</t>
  </si>
  <si>
    <t>吨</t>
  </si>
  <si>
    <t>底板胶</t>
  </si>
  <si>
    <t>KG/万片</t>
  </si>
  <si>
    <t>金刚线粘棒胶水</t>
  </si>
  <si>
    <t>美纹胶带</t>
  </si>
  <si>
    <t>/</t>
  </si>
  <si>
    <t>塑料板</t>
  </si>
  <si>
    <t>PCS/万片</t>
  </si>
  <si>
    <t>无水乙醇</t>
  </si>
  <si>
    <t>电镀金刚线</t>
  </si>
  <si>
    <t>KM/万片</t>
  </si>
  <si>
    <t>水性切割液</t>
  </si>
  <si>
    <t>一体轮</t>
  </si>
  <si>
    <t>主辊-涂布</t>
  </si>
  <si>
    <t>主辊-开槽</t>
  </si>
  <si>
    <t>过滤袋</t>
  </si>
  <si>
    <t>过氧化氢</t>
  </si>
  <si>
    <t>硅片清洗剂</t>
  </si>
  <si>
    <t>氢氧化钾</t>
  </si>
  <si>
    <t>瓶/万片</t>
  </si>
  <si>
    <t>乳酸</t>
  </si>
  <si>
    <t>POF包装袋</t>
  </si>
  <si>
    <t>PP瓦楞板</t>
  </si>
  <si>
    <t>硅片泡沫箱</t>
  </si>
  <si>
    <t>硫酸纸</t>
  </si>
  <si>
    <t>木托盘</t>
  </si>
  <si>
    <t>珍珠棉垫片</t>
  </si>
  <si>
    <t>需求产量</t>
  </si>
  <si>
    <t>销售收入</t>
  </si>
  <si>
    <t>片</t>
  </si>
  <si>
    <t>总销售收入</t>
  </si>
  <si>
    <t>成本分类</t>
  </si>
  <si>
    <t>序号</t>
  </si>
  <si>
    <t>耗材类别</t>
  </si>
  <si>
    <t>备注</t>
  </si>
  <si>
    <t>N型单晶硅片
182.2*183.75*130
（10000片耗用量）</t>
  </si>
  <si>
    <t>N型单晶硅片
182.2*183.75*130
（10000成本）</t>
  </si>
  <si>
    <t>N型单晶硅片
210*210*130
（10000片耗用量）</t>
  </si>
  <si>
    <t>N型单晶硅片
210*210*130
（10000成本)</t>
  </si>
  <si>
    <t>N型单晶硅片
210*182*130
（10000片耗用量）</t>
  </si>
  <si>
    <t>N型单晶硅片
210*182*130
（10000成本)</t>
  </si>
  <si>
    <t>P型单晶硅片
210*210*150
（10000片耗用量）</t>
  </si>
  <si>
    <t>P型单晶硅片
210*210*150
（10000成本)</t>
  </si>
  <si>
    <t>原材料</t>
  </si>
  <si>
    <t>单晶方棒</t>
  </si>
  <si>
    <t>千克</t>
  </si>
  <si>
    <t>生产时电耗</t>
  </si>
  <si>
    <t>粘胶准备</t>
  </si>
  <si>
    <t>价值低，统一到公用成本归集核算</t>
  </si>
  <si>
    <t>线切</t>
  </si>
  <si>
    <t>清洗</t>
  </si>
  <si>
    <t>分装</t>
  </si>
  <si>
    <t>单位变动成本</t>
  </si>
  <si>
    <t>产量</t>
  </si>
  <si>
    <t>成本</t>
  </si>
  <si>
    <t>总成本</t>
  </si>
  <si>
    <t>硅泥核减</t>
  </si>
  <si>
    <t>核减后总成本</t>
  </si>
  <si>
    <t>单价</t>
  </si>
  <si>
    <t>本月消耗</t>
  </si>
  <si>
    <t>本月成本</t>
  </si>
  <si>
    <t>公用工程药剂</t>
  </si>
  <si>
    <t>KG</t>
  </si>
  <si>
    <t>自来水</t>
  </si>
  <si>
    <t>一般电耗</t>
  </si>
  <si>
    <t>PCS</t>
  </si>
  <si>
    <t>套</t>
  </si>
  <si>
    <t>生产人员</t>
  </si>
  <si>
    <t>基本工资总额</t>
  </si>
  <si>
    <t>固定人工金额</t>
  </si>
  <si>
    <t>安环物控人员</t>
  </si>
  <si>
    <t>安环物控人员薪酬</t>
  </si>
  <si>
    <t>浮动人工金额</t>
  </si>
  <si>
    <t>管理人员</t>
  </si>
  <si>
    <t>社保公积金总额</t>
  </si>
  <si>
    <t>总工资金额</t>
  </si>
  <si>
    <t>总人员</t>
  </si>
  <si>
    <t>年终奖计提</t>
  </si>
  <si>
    <t>人均固定工资</t>
  </si>
  <si>
    <t>基本工资（人）</t>
  </si>
  <si>
    <t>管理浮动</t>
  </si>
  <si>
    <t>人均浮动工资</t>
  </si>
  <si>
    <t>社保公积金（人）</t>
  </si>
  <si>
    <t>固定薪酬总额</t>
  </si>
  <si>
    <t>总成本1人</t>
  </si>
  <si>
    <t>N型单晶硅片
182.2*183.75*130</t>
  </si>
  <si>
    <t>N型单晶硅片
210*210*130</t>
  </si>
  <si>
    <t>N型单晶硅片
210*182*130</t>
  </si>
  <si>
    <t>P型单晶硅片
210*210*150</t>
  </si>
  <si>
    <t>产量（片）</t>
  </si>
  <si>
    <t>计件人员(属于生产人员)</t>
  </si>
  <si>
    <t>计件工资（件）</t>
  </si>
  <si>
    <t>计件总额</t>
  </si>
  <si>
    <t>分配系数</t>
  </si>
  <si>
    <t>固定薪酬分配金额</t>
  </si>
  <si>
    <t>分产品人工总成本</t>
  </si>
  <si>
    <t>项目</t>
  </si>
  <si>
    <t>职工薪酬</t>
  </si>
  <si>
    <t>车辆使用费</t>
  </si>
  <si>
    <t>差旅费</t>
  </si>
  <si>
    <t>交际应酬费</t>
  </si>
  <si>
    <t>通讯费</t>
  </si>
  <si>
    <t>办公费</t>
  </si>
  <si>
    <t>运输费</t>
  </si>
  <si>
    <t>保险费</t>
  </si>
  <si>
    <t>装卸费</t>
  </si>
  <si>
    <t>包装费</t>
  </si>
  <si>
    <t>租赁费</t>
  </si>
  <si>
    <t>广告及业务宣传费</t>
  </si>
  <si>
    <t>赔偿费</t>
  </si>
  <si>
    <t>报关费</t>
  </si>
  <si>
    <t>展览费</t>
  </si>
  <si>
    <t>折旧</t>
  </si>
  <si>
    <t>样品费</t>
  </si>
  <si>
    <t>合计</t>
  </si>
  <si>
    <t>通迅费</t>
  </si>
  <si>
    <t>会务费</t>
  </si>
  <si>
    <t>诉讼费</t>
  </si>
  <si>
    <t>水电费</t>
  </si>
  <si>
    <t>食堂费用</t>
  </si>
  <si>
    <t>修理费</t>
  </si>
  <si>
    <t>劳动保护费</t>
  </si>
  <si>
    <t>人力资源开发费</t>
  </si>
  <si>
    <t>图书资料费</t>
  </si>
  <si>
    <t>咨询顾问费</t>
  </si>
  <si>
    <t>工会经费</t>
  </si>
  <si>
    <t>行业协会费</t>
  </si>
  <si>
    <t>折旧费</t>
  </si>
  <si>
    <t>环境保护费</t>
  </si>
  <si>
    <t>无形资产摊销</t>
  </si>
  <si>
    <t>利息</t>
  </si>
  <si>
    <t>其他</t>
  </si>
  <si>
    <t>N型单晶硅片
182.2*183.75*130
（10000成本/元）</t>
    <phoneticPr fontId="15" type="noConversion"/>
  </si>
  <si>
    <t>N型单晶硅片
210*210*130
（10000成本/元)</t>
    <phoneticPr fontId="15" type="noConversion"/>
  </si>
  <si>
    <t>N型单晶硅片
210*182*130
（10000成本/元)</t>
    <phoneticPr fontId="15" type="noConversion"/>
  </si>
  <si>
    <t>P型单晶硅片
210*210*150
（10000成本/元)</t>
    <phoneticPr fontId="15" type="noConversion"/>
  </si>
  <si>
    <t>单位变动成本/元</t>
    <phoneticPr fontId="15" type="noConversion"/>
  </si>
  <si>
    <t>成本/元</t>
    <phoneticPr fontId="15" type="noConversion"/>
  </si>
  <si>
    <t>总成本/元</t>
    <phoneticPr fontId="15" type="noConversion"/>
  </si>
  <si>
    <t>核减后总成本/元</t>
    <phoneticPr fontId="15" type="noConversion"/>
  </si>
  <si>
    <t>硅泥核减/元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</si>
</sst>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_ * #,##0_ ;_ * \-#,##0_ ;_ * &quot;-&quot;??_ ;_ @_ "/>
    <numFmt numFmtId="177" formatCode="#,##0_ "/>
    <numFmt numFmtId="178" formatCode="#,##0.00_ "/>
    <numFmt numFmtId="179" formatCode="0.00_ "/>
    <numFmt numFmtId="180" formatCode="0.0000_ "/>
    <numFmt numFmtId="181" formatCode="0.00000_ "/>
    <numFmt numFmtId="182" formatCode="0.000000_ "/>
  </numFmts>
  <fonts count="16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name val="宋体"/>
      <charset val="134"/>
    </font>
    <font>
      <b/>
      <sz val="12"/>
      <color rgb="FFFF0000"/>
      <name val="宋体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b/>
      <sz val="14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1" fillId="0" borderId="2" xfId="0" applyFont="1" applyBorder="1">
      <alignment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center" vertical="center"/>
    </xf>
    <xf numFmtId="43" fontId="4" fillId="2" borderId="6" xfId="1" applyFont="1" applyFill="1" applyBorder="1" applyAlignment="1">
      <alignment horizontal="left" vertical="center"/>
    </xf>
    <xf numFmtId="4" fontId="1" fillId="0" borderId="0" xfId="0" applyNumberFormat="1" applyFont="1">
      <alignment vertical="center"/>
    </xf>
    <xf numFmtId="0" fontId="1" fillId="0" borderId="7" xfId="0" applyFont="1" applyBorder="1">
      <alignment vertical="center"/>
    </xf>
    <xf numFmtId="49" fontId="4" fillId="2" borderId="8" xfId="0" applyNumberFormat="1" applyFont="1" applyFill="1" applyBorder="1" applyAlignment="1">
      <alignment horizontal="center" vertical="center"/>
    </xf>
    <xf numFmtId="43" fontId="4" fillId="2" borderId="8" xfId="1" applyFont="1" applyFill="1" applyBorder="1" applyAlignment="1">
      <alignment horizontal="left" vertical="center"/>
    </xf>
    <xf numFmtId="43" fontId="4" fillId="2" borderId="9" xfId="1" applyFont="1" applyFill="1" applyBorder="1" applyAlignment="1">
      <alignment horizontal="left" vertical="center"/>
    </xf>
    <xf numFmtId="176" fontId="5" fillId="0" borderId="4" xfId="1" applyNumberFormat="1" applyFont="1" applyBorder="1" applyAlignment="1">
      <alignment vertical="center"/>
    </xf>
    <xf numFmtId="176" fontId="5" fillId="0" borderId="6" xfId="1" applyNumberFormat="1" applyFont="1" applyBorder="1" applyAlignment="1">
      <alignment vertical="center"/>
    </xf>
    <xf numFmtId="176" fontId="5" fillId="0" borderId="8" xfId="1" applyNumberFormat="1" applyFont="1" applyBorder="1" applyAlignment="1">
      <alignment vertical="center"/>
    </xf>
    <xf numFmtId="176" fontId="5" fillId="0" borderId="9" xfId="1" applyNumberFormat="1" applyFont="1" applyBorder="1" applyAlignment="1">
      <alignment vertical="center"/>
    </xf>
    <xf numFmtId="43" fontId="4" fillId="2" borderId="6" xfId="0" applyNumberFormat="1" applyFont="1" applyFill="1" applyBorder="1" applyAlignment="1">
      <alignment horizontal="left" vertical="center"/>
    </xf>
    <xf numFmtId="43" fontId="1" fillId="0" borderId="0" xfId="0" applyNumberFormat="1" applyFont="1">
      <alignment vertical="center"/>
    </xf>
    <xf numFmtId="43" fontId="1" fillId="0" borderId="0" xfId="1" applyFont="1" applyAlignment="1">
      <alignment vertical="center"/>
    </xf>
    <xf numFmtId="43" fontId="1" fillId="0" borderId="0" xfId="1" applyFont="1">
      <alignment vertical="center"/>
    </xf>
    <xf numFmtId="43" fontId="4" fillId="2" borderId="9" xfId="0" applyNumberFormat="1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7" fillId="4" borderId="2" xfId="0" applyFont="1" applyFill="1" applyBorder="1" applyProtection="1">
      <alignment vertical="center"/>
      <protection locked="0"/>
    </xf>
    <xf numFmtId="176" fontId="7" fillId="4" borderId="2" xfId="0" applyNumberFormat="1" applyFont="1" applyFill="1" applyBorder="1" applyProtection="1">
      <alignment vertical="center"/>
      <protection locked="0"/>
    </xf>
    <xf numFmtId="176" fontId="7" fillId="4" borderId="7" xfId="0" applyNumberFormat="1" applyFont="1" applyFill="1" applyBorder="1" applyProtection="1">
      <alignment vertical="center"/>
      <protection locked="0"/>
    </xf>
    <xf numFmtId="0" fontId="7" fillId="4" borderId="3" xfId="0" applyFont="1" applyFill="1" applyBorder="1" applyProtection="1">
      <alignment vertical="center"/>
      <protection locked="0"/>
    </xf>
    <xf numFmtId="0" fontId="7" fillId="4" borderId="4" xfId="0" applyFont="1" applyFill="1" applyBorder="1" applyProtection="1">
      <alignment vertical="center"/>
      <protection locked="0"/>
    </xf>
    <xf numFmtId="176" fontId="7" fillId="4" borderId="4" xfId="0" applyNumberFormat="1" applyFont="1" applyFill="1" applyBorder="1" applyProtection="1">
      <alignment vertical="center"/>
      <protection locked="0"/>
    </xf>
    <xf numFmtId="176" fontId="7" fillId="4" borderId="8" xfId="0" applyNumberFormat="1" applyFont="1" applyFill="1" applyBorder="1" applyProtection="1">
      <alignment vertical="center"/>
      <protection locked="0"/>
    </xf>
    <xf numFmtId="0" fontId="0" fillId="0" borderId="4" xfId="0" applyBorder="1">
      <alignment vertical="center"/>
    </xf>
    <xf numFmtId="0" fontId="8" fillId="3" borderId="3" xfId="0" applyFont="1" applyFill="1" applyBorder="1" applyProtection="1">
      <alignment vertical="center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8" xfId="0" applyFont="1" applyFill="1" applyBorder="1">
      <alignment vertical="center"/>
    </xf>
    <xf numFmtId="177" fontId="7" fillId="4" borderId="4" xfId="0" applyNumberFormat="1" applyFont="1" applyFill="1" applyBorder="1" applyProtection="1">
      <alignment vertical="center"/>
      <protection locked="0"/>
    </xf>
    <xf numFmtId="0" fontId="0" fillId="0" borderId="8" xfId="0" applyBorder="1">
      <alignment vertical="center"/>
    </xf>
    <xf numFmtId="43" fontId="7" fillId="4" borderId="4" xfId="0" applyNumberFormat="1" applyFont="1" applyFill="1" applyBorder="1" applyProtection="1">
      <alignment vertical="center"/>
      <protection locked="0"/>
    </xf>
    <xf numFmtId="0" fontId="7" fillId="4" borderId="5" xfId="0" applyFont="1" applyFill="1" applyBorder="1" applyProtection="1">
      <alignment vertical="center"/>
      <protection locked="0"/>
    </xf>
    <xf numFmtId="176" fontId="0" fillId="0" borderId="6" xfId="0" applyNumberFormat="1" applyBorder="1">
      <alignment vertical="center"/>
    </xf>
    <xf numFmtId="0" fontId="0" fillId="0" borderId="9" xfId="0" applyBorder="1">
      <alignment vertical="center"/>
    </xf>
    <xf numFmtId="0" fontId="10" fillId="3" borderId="0" xfId="0" applyFont="1" applyFill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right" vertical="center"/>
    </xf>
    <xf numFmtId="178" fontId="0" fillId="0" borderId="8" xfId="0" applyNumberForma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178" fontId="9" fillId="0" borderId="9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11" fillId="0" borderId="4" xfId="0" applyNumberFormat="1" applyFont="1" applyBorder="1">
      <alignment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11" fillId="0" borderId="4" xfId="0" applyFont="1" applyBorder="1">
      <alignment vertical="center"/>
    </xf>
    <xf numFmtId="180" fontId="11" fillId="0" borderId="4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78" fontId="0" fillId="0" borderId="4" xfId="0" applyNumberFormat="1" applyBorder="1">
      <alignment vertical="center"/>
    </xf>
    <xf numFmtId="178" fontId="0" fillId="0" borderId="6" xfId="0" applyNumberForma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179" fontId="11" fillId="0" borderId="8" xfId="0" applyNumberFormat="1" applyFon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78" fontId="0" fillId="0" borderId="9" xfId="0" applyNumberFormat="1" applyBorder="1">
      <alignment vertic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181" fontId="5" fillId="0" borderId="4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181" fontId="5" fillId="0" borderId="6" xfId="0" applyNumberFormat="1" applyFont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10" fontId="5" fillId="0" borderId="4" xfId="0" applyNumberFormat="1" applyFont="1" applyBorder="1" applyAlignment="1">
      <alignment horizontal="center"/>
    </xf>
    <xf numFmtId="182" fontId="5" fillId="0" borderId="4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182" fontId="5" fillId="0" borderId="6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43" fontId="5" fillId="0" borderId="4" xfId="0" applyNumberFormat="1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43" fontId="5" fillId="0" borderId="8" xfId="0" applyNumberFormat="1" applyFont="1" applyBorder="1" applyAlignment="1">
      <alignment horizontal="center"/>
    </xf>
    <xf numFmtId="43" fontId="0" fillId="0" borderId="0" xfId="0" applyNumberFormat="1">
      <alignment vertical="center"/>
    </xf>
    <xf numFmtId="43" fontId="5" fillId="0" borderId="6" xfId="0" applyNumberFormat="1" applyFont="1" applyBorder="1" applyAlignment="1">
      <alignment horizontal="center"/>
    </xf>
    <xf numFmtId="176" fontId="5" fillId="0" borderId="6" xfId="0" applyNumberFormat="1" applyFont="1" applyBorder="1" applyAlignment="1">
      <alignment horizontal="center"/>
    </xf>
    <xf numFmtId="43" fontId="5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43" fontId="5" fillId="0" borderId="4" xfId="0" applyNumberFormat="1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43" fontId="5" fillId="5" borderId="4" xfId="0" applyNumberFormat="1" applyFont="1" applyFill="1" applyBorder="1">
      <alignment vertical="center"/>
    </xf>
    <xf numFmtId="0" fontId="5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43" fontId="5" fillId="6" borderId="4" xfId="0" applyNumberFormat="1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180" fontId="5" fillId="6" borderId="4" xfId="0" applyNumberFormat="1" applyFont="1" applyFill="1" applyBorder="1" applyAlignment="1"/>
    <xf numFmtId="180" fontId="5" fillId="6" borderId="8" xfId="0" applyNumberFormat="1" applyFont="1" applyFill="1" applyBorder="1" applyAlignment="1"/>
    <xf numFmtId="43" fontId="5" fillId="6" borderId="4" xfId="0" applyNumberFormat="1" applyFont="1" applyFill="1" applyBorder="1" applyAlignment="1"/>
    <xf numFmtId="43" fontId="5" fillId="6" borderId="8" xfId="0" applyNumberFormat="1" applyFont="1" applyFill="1" applyBorder="1" applyAlignment="1"/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80" fontId="5" fillId="7" borderId="4" xfId="0" applyNumberFormat="1" applyFont="1" applyFill="1" applyBorder="1" applyAlignment="1"/>
    <xf numFmtId="180" fontId="5" fillId="7" borderId="8" xfId="0" applyNumberFormat="1" applyFont="1" applyFill="1" applyBorder="1" applyAlignment="1"/>
    <xf numFmtId="0" fontId="5" fillId="7" borderId="4" xfId="0" applyFont="1" applyFill="1" applyBorder="1" applyAlignment="1">
      <alignment horizontal="center" vertical="center"/>
    </xf>
    <xf numFmtId="43" fontId="5" fillId="7" borderId="4" xfId="0" applyNumberFormat="1" applyFont="1" applyFill="1" applyBorder="1" applyAlignment="1"/>
    <xf numFmtId="43" fontId="5" fillId="7" borderId="8" xfId="0" applyNumberFormat="1" applyFont="1" applyFill="1" applyBorder="1" applyAlignment="1"/>
    <xf numFmtId="0" fontId="5" fillId="7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 vertical="center"/>
    </xf>
    <xf numFmtId="43" fontId="5" fillId="7" borderId="6" xfId="0" applyNumberFormat="1" applyFont="1" applyFill="1" applyBorder="1" applyAlignment="1"/>
    <xf numFmtId="43" fontId="5" fillId="7" borderId="9" xfId="0" applyNumberFormat="1" applyFont="1" applyFill="1" applyBorder="1" applyAlignment="1"/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2" xfId="0" applyFont="1" applyFill="1" applyBorder="1" applyAlignment="1">
      <alignment horizontal="center"/>
    </xf>
    <xf numFmtId="178" fontId="5" fillId="6" borderId="4" xfId="0" applyNumberFormat="1" applyFont="1" applyFill="1" applyBorder="1" applyAlignment="1">
      <alignment horizontal="center"/>
    </xf>
    <xf numFmtId="177" fontId="0" fillId="6" borderId="4" xfId="0" applyNumberFormat="1" applyFill="1" applyBorder="1">
      <alignment vertical="center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right" vertical="center"/>
    </xf>
    <xf numFmtId="178" fontId="0" fillId="7" borderId="8" xfId="0" applyNumberFormat="1" applyFill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78" fontId="0" fillId="6" borderId="4" xfId="0" applyNumberFormat="1" applyFill="1" applyBorder="1" applyAlignment="1">
      <alignment horizontal="center" vertical="center"/>
    </xf>
    <xf numFmtId="178" fontId="0" fillId="6" borderId="4" xfId="0" applyNumberFormat="1" applyFill="1" applyBorder="1" applyAlignment="1">
      <alignment horizontal="right" vertical="center"/>
    </xf>
    <xf numFmtId="178" fontId="0" fillId="6" borderId="8" xfId="0" applyNumberFormat="1" applyFill="1" applyBorder="1" applyAlignment="1">
      <alignment horizontal="right" vertical="center"/>
    </xf>
    <xf numFmtId="0" fontId="7" fillId="6" borderId="4" xfId="0" applyFont="1" applyFill="1" applyBorder="1" applyProtection="1">
      <alignment vertical="center"/>
      <protection locked="0"/>
    </xf>
    <xf numFmtId="176" fontId="7" fillId="6" borderId="8" xfId="0" applyNumberFormat="1" applyFont="1" applyFill="1" applyBorder="1" applyProtection="1">
      <alignment vertical="center"/>
      <protection locked="0"/>
    </xf>
    <xf numFmtId="49" fontId="4" fillId="6" borderId="3" xfId="0" applyNumberFormat="1" applyFont="1" applyFill="1" applyBorder="1" applyAlignment="1">
      <alignment horizontal="center" vertical="center"/>
    </xf>
    <xf numFmtId="43" fontId="4" fillId="6" borderId="4" xfId="1" applyFont="1" applyFill="1" applyBorder="1" applyAlignment="1">
      <alignment horizontal="left" vertical="center"/>
    </xf>
    <xf numFmtId="43" fontId="4" fillId="6" borderId="8" xfId="1" applyFont="1" applyFill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J13" sqref="J13"/>
    </sheetView>
  </sheetViews>
  <sheetFormatPr defaultColWidth="8.73046875" defaultRowHeight="13.5" x14ac:dyDescent="0.3"/>
  <cols>
    <col min="1" max="1" width="27.19921875" customWidth="1"/>
    <col min="2" max="9" width="14.59765625" customWidth="1"/>
  </cols>
  <sheetData>
    <row r="1" spans="1:9" ht="20" customHeigh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99" t="s">
        <v>8</v>
      </c>
    </row>
    <row r="2" spans="1:9" ht="20" customHeight="1" x14ac:dyDescent="0.3">
      <c r="A2" s="109" t="s">
        <v>9</v>
      </c>
      <c r="B2" s="110">
        <f>销售收入!F7</f>
        <v>48483000</v>
      </c>
      <c r="C2" s="110">
        <f>销售收入!F14</f>
        <v>38916000</v>
      </c>
      <c r="D2" s="110">
        <f>销售收入!F21</f>
        <v>43730000</v>
      </c>
      <c r="E2" s="110">
        <f>销售收入!F28</f>
        <v>45266000</v>
      </c>
      <c r="F2" s="110">
        <f>销售收入!F35</f>
        <v>42245000</v>
      </c>
      <c r="G2" s="110">
        <f>销售收入!F42</f>
        <v>39710000</v>
      </c>
      <c r="H2" s="110">
        <f>销售收入!F49</f>
        <v>39082500</v>
      </c>
      <c r="I2" s="110">
        <f>销售收入!F56</f>
        <v>45638500</v>
      </c>
    </row>
    <row r="3" spans="1:9" ht="20" customHeight="1" x14ac:dyDescent="0.3">
      <c r="A3" s="111" t="s">
        <v>10</v>
      </c>
      <c r="B3" s="110">
        <f>生产变动成本!M31</f>
        <v>42841240.624598056</v>
      </c>
      <c r="C3" s="110">
        <f>生产变动成本!M63</f>
        <v>33359722.759286568</v>
      </c>
      <c r="D3" s="110">
        <f>生产变动成本!M95</f>
        <v>35593373.352981031</v>
      </c>
      <c r="E3" s="110">
        <f>生产变动成本!M127</f>
        <v>37097340.276217513</v>
      </c>
      <c r="F3" s="110">
        <f>生产变动成本!M159</f>
        <v>38086460.788578719</v>
      </c>
      <c r="G3" s="110">
        <f>生产变动成本!M191</f>
        <v>30231815.780691765</v>
      </c>
      <c r="H3" s="110">
        <f>生产变动成本!M223</f>
        <v>28592419.356185235</v>
      </c>
      <c r="I3" s="110">
        <f>生产变动成本!M255</f>
        <v>31094967.422374234</v>
      </c>
    </row>
    <row r="4" spans="1:9" ht="20" customHeight="1" x14ac:dyDescent="0.3">
      <c r="A4" s="111" t="s">
        <v>11</v>
      </c>
      <c r="B4" s="110">
        <f>生产公用成本!E10</f>
        <v>289170.53292343987</v>
      </c>
      <c r="C4" s="110">
        <f>生产公用成本!E20</f>
        <v>336101.5415650988</v>
      </c>
      <c r="D4" s="110">
        <f>生产公用成本!E20</f>
        <v>336101.5415650988</v>
      </c>
      <c r="E4" s="110">
        <f>生产公用成本!E40</f>
        <v>273491.92962373915</v>
      </c>
      <c r="F4" s="110">
        <f>生产公用成本!E50</f>
        <v>369345.34105798957</v>
      </c>
      <c r="G4" s="110">
        <f>生产公用成本!E60</f>
        <v>304606.04794514156</v>
      </c>
      <c r="H4" s="110">
        <f>生产公用成本!E70</f>
        <v>284814.53304241598</v>
      </c>
      <c r="I4" s="110">
        <f>生产公用成本!E80</f>
        <v>204793.12423718462</v>
      </c>
    </row>
    <row r="5" spans="1:9" ht="20" customHeight="1" x14ac:dyDescent="0.3">
      <c r="A5" s="111" t="s">
        <v>12</v>
      </c>
      <c r="B5" s="110">
        <f>+人工成本!F5</f>
        <v>1795000</v>
      </c>
      <c r="C5" s="110">
        <f>人工成本!F21</f>
        <v>1659000</v>
      </c>
      <c r="D5" s="110">
        <f>人工成本!F37</f>
        <v>1785000</v>
      </c>
      <c r="E5" s="110">
        <f>人工成本!F53</f>
        <v>1857000</v>
      </c>
      <c r="F5" s="110">
        <f>人工成本!F69</f>
        <v>1925000</v>
      </c>
      <c r="G5" s="110">
        <f>人工成本!F85</f>
        <v>1833000</v>
      </c>
      <c r="H5" s="110">
        <f>人工成本!F101</f>
        <v>1823000</v>
      </c>
      <c r="I5" s="110">
        <f>人工成本!F117</f>
        <v>2071000</v>
      </c>
    </row>
    <row r="6" spans="1:9" ht="20" customHeight="1" x14ac:dyDescent="0.3">
      <c r="A6" s="108" t="s">
        <v>13</v>
      </c>
      <c r="B6" s="107">
        <v>1200000</v>
      </c>
      <c r="C6" s="107">
        <v>1200000</v>
      </c>
      <c r="D6" s="107">
        <v>1200000</v>
      </c>
      <c r="E6" s="107">
        <v>1200000</v>
      </c>
      <c r="F6" s="107">
        <v>1200000</v>
      </c>
      <c r="G6" s="107">
        <v>1200000</v>
      </c>
      <c r="H6" s="107">
        <v>1200000</v>
      </c>
      <c r="I6" s="107">
        <v>1200000</v>
      </c>
    </row>
    <row r="7" spans="1:9" ht="20" customHeight="1" x14ac:dyDescent="0.3">
      <c r="A7" s="106" t="s">
        <v>14</v>
      </c>
      <c r="B7" s="107">
        <v>138000</v>
      </c>
      <c r="C7" s="107">
        <v>138000</v>
      </c>
      <c r="D7" s="107">
        <v>138000</v>
      </c>
      <c r="E7" s="107">
        <v>138000</v>
      </c>
      <c r="F7" s="107">
        <v>138000</v>
      </c>
      <c r="G7" s="107">
        <v>138000</v>
      </c>
      <c r="H7" s="107">
        <v>138000</v>
      </c>
      <c r="I7" s="107">
        <v>138000</v>
      </c>
    </row>
    <row r="8" spans="1:9" ht="20" customHeight="1" x14ac:dyDescent="0.3">
      <c r="A8" s="111" t="s">
        <v>15</v>
      </c>
      <c r="B8" s="110">
        <f>销售费用!B20</f>
        <v>98802</v>
      </c>
      <c r="C8" s="110">
        <f>销售费用!C20</f>
        <v>94842</v>
      </c>
      <c r="D8" s="110">
        <f>销售费用!D20</f>
        <v>96129</v>
      </c>
      <c r="E8" s="110">
        <f>销售费用!E20</f>
        <v>91773</v>
      </c>
      <c r="F8" s="110">
        <f>销售费用!F20</f>
        <v>96492</v>
      </c>
      <c r="G8" s="110">
        <f>销售费用!G20</f>
        <v>95172</v>
      </c>
      <c r="H8" s="110">
        <f>销售费用!H20</f>
        <v>97482</v>
      </c>
      <c r="I8" s="110">
        <f>销售费用!I20</f>
        <v>104742</v>
      </c>
    </row>
    <row r="9" spans="1:9" ht="20" customHeight="1" x14ac:dyDescent="0.3">
      <c r="A9" s="111" t="s">
        <v>16</v>
      </c>
      <c r="B9" s="110">
        <f>管理费用!B24</f>
        <v>550498.4166</v>
      </c>
      <c r="C9" s="110">
        <f>管理费用!C24</f>
        <v>551191.4166</v>
      </c>
      <c r="D9" s="110">
        <f>管理费用!D24</f>
        <v>580891.4166</v>
      </c>
      <c r="E9" s="110">
        <f>管理费用!E24</f>
        <v>560068.4166</v>
      </c>
      <c r="F9" s="110">
        <f>管理费用!F24</f>
        <v>533536.4166</v>
      </c>
      <c r="G9" s="110">
        <f>管理费用!G24</f>
        <v>566701.4166</v>
      </c>
      <c r="H9" s="110">
        <f>管理费用!H24</f>
        <v>557428.4166</v>
      </c>
      <c r="I9" s="110">
        <f>管理费用!I24</f>
        <v>568351.4166</v>
      </c>
    </row>
    <row r="10" spans="1:9" ht="20" customHeight="1" x14ac:dyDescent="0.3">
      <c r="A10" s="106" t="s">
        <v>17</v>
      </c>
      <c r="B10" s="107">
        <f>财务费用!B5</f>
        <v>49500</v>
      </c>
      <c r="C10" s="107">
        <f>财务费用!C5</f>
        <v>49500</v>
      </c>
      <c r="D10" s="107">
        <f>财务费用!D5</f>
        <v>49500</v>
      </c>
      <c r="E10" s="107">
        <f>财务费用!E5</f>
        <v>49500</v>
      </c>
      <c r="F10" s="107">
        <f>财务费用!F5</f>
        <v>49500</v>
      </c>
      <c r="G10" s="107">
        <f>财务费用!G5</f>
        <v>49500</v>
      </c>
      <c r="H10" s="107">
        <f>财务费用!H5</f>
        <v>49500</v>
      </c>
      <c r="I10" s="107">
        <f>财务费用!I5</f>
        <v>49500</v>
      </c>
    </row>
    <row r="11" spans="1:9" ht="20" customHeight="1" x14ac:dyDescent="0.3">
      <c r="A11" s="56" t="s">
        <v>18</v>
      </c>
      <c r="B11" s="101">
        <v>0</v>
      </c>
      <c r="C11" s="101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</row>
    <row r="12" spans="1:9" ht="20" customHeight="1" x14ac:dyDescent="0.3">
      <c r="A12" s="100" t="s">
        <v>19</v>
      </c>
      <c r="B12" s="101">
        <f>B2-B3-B4-B5-B7-B8-B9-B10-B6+B11</f>
        <v>1520788.4258785043</v>
      </c>
      <c r="C12" s="101">
        <f>C2-C3-C4-C5-C7-C8-C9-C10-C6+C11</f>
        <v>1527642.2825483335</v>
      </c>
      <c r="D12" s="101">
        <f t="shared" ref="D12:I12" si="0">D2-D3-D4-D5-D7-D8-D9-D10-D6+D11</f>
        <v>3951004.6888538701</v>
      </c>
      <c r="E12" s="101">
        <f t="shared" si="0"/>
        <v>3998826.3775587482</v>
      </c>
      <c r="F12" s="101">
        <f t="shared" si="0"/>
        <v>-153334.54623670876</v>
      </c>
      <c r="G12" s="101">
        <f t="shared" si="0"/>
        <v>5291204.7547630928</v>
      </c>
      <c r="H12" s="101">
        <f t="shared" si="0"/>
        <v>6339855.6941723488</v>
      </c>
      <c r="I12" s="101">
        <f t="shared" si="0"/>
        <v>10207146.036788581</v>
      </c>
    </row>
    <row r="13" spans="1:9" ht="20" customHeight="1" x14ac:dyDescent="0.3">
      <c r="A13" s="56" t="s">
        <v>20</v>
      </c>
      <c r="B13" s="101">
        <f>B12*0.15</f>
        <v>228118.26388177564</v>
      </c>
      <c r="C13" s="101">
        <f t="shared" ref="C13:I13" si="1">C12*0.15</f>
        <v>229146.34238225003</v>
      </c>
      <c r="D13" s="101">
        <f t="shared" si="1"/>
        <v>592650.70332808048</v>
      </c>
      <c r="E13" s="101">
        <f t="shared" si="1"/>
        <v>599823.95663381217</v>
      </c>
      <c r="F13" s="101">
        <f t="shared" si="1"/>
        <v>-23000.181935506313</v>
      </c>
      <c r="G13" s="101">
        <f t="shared" si="1"/>
        <v>793680.7132144639</v>
      </c>
      <c r="H13" s="101">
        <f t="shared" si="1"/>
        <v>950978.35412585223</v>
      </c>
      <c r="I13" s="101">
        <f t="shared" si="1"/>
        <v>1531071.9055182871</v>
      </c>
    </row>
    <row r="14" spans="1:9" ht="20" customHeight="1" x14ac:dyDescent="0.3">
      <c r="A14" s="100" t="s">
        <v>21</v>
      </c>
      <c r="B14" s="101">
        <f>B12-B13</f>
        <v>1292670.1619967287</v>
      </c>
      <c r="C14" s="101">
        <f t="shared" ref="C14:I14" si="2">C12-C13</f>
        <v>1298495.9401660834</v>
      </c>
      <c r="D14" s="101">
        <f t="shared" si="2"/>
        <v>3358353.9855257897</v>
      </c>
      <c r="E14" s="101">
        <f t="shared" si="2"/>
        <v>3399002.420924936</v>
      </c>
      <c r="F14" s="101">
        <f t="shared" si="2"/>
        <v>-130334.36430120244</v>
      </c>
      <c r="G14" s="101">
        <f t="shared" si="2"/>
        <v>4497524.0415486293</v>
      </c>
      <c r="H14" s="101">
        <f t="shared" si="2"/>
        <v>5388877.3400464971</v>
      </c>
      <c r="I14" s="101">
        <f t="shared" si="2"/>
        <v>8676074.1312702931</v>
      </c>
    </row>
  </sheetData>
  <phoneticPr fontId="15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"/>
  <sheetViews>
    <sheetView workbookViewId="0">
      <pane xSplit="1" ySplit="2" topLeftCell="B3" activePane="bottomRight" state="frozen"/>
      <selection pane="topRight"/>
      <selection pane="bottomLeft"/>
      <selection pane="bottomRight" activeCell="H20" sqref="H20"/>
    </sheetView>
  </sheetViews>
  <sheetFormatPr defaultColWidth="9.796875" defaultRowHeight="15.75" x14ac:dyDescent="0.3"/>
  <cols>
    <col min="1" max="2" width="15.19921875" style="1" customWidth="1"/>
    <col min="3" max="3" width="10.46484375" style="1" customWidth="1"/>
    <col min="4" max="5" width="9.796875" style="1"/>
    <col min="6" max="6" width="12.59765625" style="1" customWidth="1"/>
    <col min="7" max="7" width="10.33203125" style="1" customWidth="1"/>
    <col min="8" max="8" width="12.59765625" style="1" customWidth="1"/>
    <col min="9" max="9" width="10.33203125" style="1" customWidth="1"/>
    <col min="10" max="10" width="6" style="1" customWidth="1"/>
    <col min="11" max="11" width="12.59765625" style="1" customWidth="1"/>
    <col min="12" max="16384" width="9.796875" style="1"/>
  </cols>
  <sheetData>
    <row r="1" spans="1:11" ht="20.2" customHeight="1" x14ac:dyDescent="0.3">
      <c r="A1" s="2" t="s">
        <v>17</v>
      </c>
      <c r="B1" s="3"/>
      <c r="C1" s="4"/>
      <c r="D1" s="4"/>
      <c r="E1" s="4"/>
      <c r="F1" s="4"/>
      <c r="G1" s="4"/>
      <c r="H1" s="4"/>
      <c r="I1" s="11"/>
    </row>
    <row r="2" spans="1:11" ht="20.2" customHeight="1" x14ac:dyDescent="0.3">
      <c r="A2" s="5" t="s">
        <v>150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12" t="s">
        <v>8</v>
      </c>
    </row>
    <row r="3" spans="1:11" ht="20.2" customHeight="1" x14ac:dyDescent="0.3">
      <c r="A3" s="5" t="s">
        <v>184</v>
      </c>
      <c r="B3" s="7">
        <v>50000</v>
      </c>
      <c r="C3" s="7">
        <v>50000</v>
      </c>
      <c r="D3" s="7">
        <v>50000</v>
      </c>
      <c r="E3" s="7">
        <v>50000</v>
      </c>
      <c r="F3" s="7">
        <v>50000</v>
      </c>
      <c r="G3" s="7">
        <v>50000</v>
      </c>
      <c r="H3" s="7">
        <v>50000</v>
      </c>
      <c r="I3" s="13">
        <v>50000</v>
      </c>
    </row>
    <row r="4" spans="1:11" ht="20.2" customHeight="1" x14ac:dyDescent="0.3">
      <c r="A4" s="5" t="s">
        <v>185</v>
      </c>
      <c r="B4" s="7">
        <v>-500</v>
      </c>
      <c r="C4" s="7">
        <v>-500</v>
      </c>
      <c r="D4" s="7">
        <v>-500</v>
      </c>
      <c r="E4" s="7">
        <v>-500</v>
      </c>
      <c r="F4" s="7">
        <v>-500</v>
      </c>
      <c r="G4" s="7">
        <v>-500</v>
      </c>
      <c r="H4" s="7">
        <v>-500</v>
      </c>
      <c r="I4" s="13">
        <v>-500</v>
      </c>
    </row>
    <row r="5" spans="1:11" ht="20.2" customHeight="1" x14ac:dyDescent="0.3">
      <c r="A5" s="8" t="s">
        <v>168</v>
      </c>
      <c r="B5" s="9">
        <f>SUM(B3:B4)</f>
        <v>49500</v>
      </c>
      <c r="C5" s="9">
        <f t="shared" ref="C5:I5" si="0">SUM(C3:C4)</f>
        <v>49500</v>
      </c>
      <c r="D5" s="9">
        <f t="shared" si="0"/>
        <v>49500</v>
      </c>
      <c r="E5" s="9">
        <f t="shared" si="0"/>
        <v>49500</v>
      </c>
      <c r="F5" s="9">
        <f t="shared" si="0"/>
        <v>49500</v>
      </c>
      <c r="G5" s="9">
        <f t="shared" si="0"/>
        <v>49500</v>
      </c>
      <c r="H5" s="9">
        <f t="shared" si="0"/>
        <v>49500</v>
      </c>
      <c r="I5" s="14">
        <f t="shared" si="0"/>
        <v>49500</v>
      </c>
    </row>
    <row r="6" spans="1:11" ht="20.2" customHeight="1" x14ac:dyDescent="0.3"/>
    <row r="7" spans="1:11" ht="20.2" customHeight="1" x14ac:dyDescent="0.3"/>
    <row r="8" spans="1:11" ht="20.2" customHeight="1" x14ac:dyDescent="0.3"/>
    <row r="9" spans="1:11" ht="20.2" customHeight="1" x14ac:dyDescent="0.3"/>
    <row r="10" spans="1:11" ht="20.2" customHeight="1" x14ac:dyDescent="0.3"/>
    <row r="11" spans="1:11" ht="20.2" customHeight="1" x14ac:dyDescent="0.3"/>
    <row r="12" spans="1:11" ht="20.2" customHeight="1" x14ac:dyDescent="0.3"/>
    <row r="13" spans="1:11" ht="20.2" customHeight="1" x14ac:dyDescent="0.3"/>
    <row r="14" spans="1:11" ht="20.2" customHeight="1" x14ac:dyDescent="0.3">
      <c r="F14" s="10"/>
      <c r="H14" s="10"/>
      <c r="K14" s="10"/>
    </row>
    <row r="15" spans="1:11" ht="20.2" customHeight="1" x14ac:dyDescent="0.3">
      <c r="F15" s="10"/>
      <c r="H15" s="10"/>
      <c r="K15" s="10"/>
    </row>
    <row r="16" spans="1:11" ht="20.2" customHeight="1" x14ac:dyDescent="0.3">
      <c r="F16" s="10"/>
      <c r="H16" s="10"/>
      <c r="K16" s="10"/>
    </row>
    <row r="17" spans="6:11" ht="20.2" customHeight="1" x14ac:dyDescent="0.3">
      <c r="F17" s="10"/>
      <c r="H17" s="10"/>
      <c r="K17" s="10"/>
    </row>
    <row r="18" spans="6:11" ht="20.2" customHeight="1" x14ac:dyDescent="0.3">
      <c r="F18" s="10"/>
      <c r="H18" s="10"/>
      <c r="K18" s="10"/>
    </row>
    <row r="19" spans="6:11" ht="20.2" customHeight="1" x14ac:dyDescent="0.3">
      <c r="F19" s="10"/>
      <c r="H19" s="10"/>
      <c r="K19" s="10"/>
    </row>
    <row r="20" spans="6:11" ht="20.2" customHeight="1" x14ac:dyDescent="0.3">
      <c r="F20" s="10"/>
      <c r="H20" s="10"/>
      <c r="K20" s="10"/>
    </row>
    <row r="21" spans="6:11" ht="20.2" customHeight="1" x14ac:dyDescent="0.3">
      <c r="F21" s="10"/>
      <c r="H21" s="10"/>
      <c r="K21" s="10"/>
    </row>
    <row r="22" spans="6:11" ht="20.2" customHeight="1" x14ac:dyDescent="0.3">
      <c r="F22" s="10"/>
      <c r="H22" s="10"/>
      <c r="K22" s="10"/>
    </row>
    <row r="23" spans="6:11" ht="20.2" customHeight="1" x14ac:dyDescent="0.3">
      <c r="F23" s="10"/>
      <c r="H23" s="10"/>
      <c r="K23" s="10"/>
    </row>
    <row r="24" spans="6:11" ht="20.2" customHeight="1" x14ac:dyDescent="0.3">
      <c r="F24" s="10"/>
      <c r="H24" s="10"/>
      <c r="K24" s="10"/>
    </row>
    <row r="25" spans="6:11" ht="20.2" customHeight="1" x14ac:dyDescent="0.3">
      <c r="F25" s="10"/>
      <c r="H25" s="10"/>
      <c r="K25" s="10"/>
    </row>
    <row r="26" spans="6:11" ht="20.2" customHeight="1" x14ac:dyDescent="0.3">
      <c r="F26" s="10"/>
      <c r="H26" s="10"/>
      <c r="K26" s="10"/>
    </row>
    <row r="27" spans="6:11" ht="20.2" customHeight="1" x14ac:dyDescent="0.3">
      <c r="F27" s="10"/>
      <c r="H27" s="10"/>
      <c r="K27" s="10"/>
    </row>
    <row r="28" spans="6:11" ht="20.2" customHeight="1" x14ac:dyDescent="0.3"/>
    <row r="29" spans="6:11" ht="20.2" customHeight="1" x14ac:dyDescent="0.3"/>
    <row r="30" spans="6:11" ht="20.2" customHeight="1" x14ac:dyDescent="0.3"/>
    <row r="31" spans="6:11" ht="20.2" customHeight="1" x14ac:dyDescent="0.3"/>
    <row r="32" spans="6:11" ht="20.2" customHeight="1" x14ac:dyDescent="0.3"/>
    <row r="33" ht="20.2" customHeight="1" x14ac:dyDescent="0.3"/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topLeftCell="A25" workbookViewId="0">
      <selection activeCell="F38" sqref="F38"/>
    </sheetView>
  </sheetViews>
  <sheetFormatPr defaultColWidth="9.796875" defaultRowHeight="13.5" x14ac:dyDescent="0.3"/>
  <cols>
    <col min="1" max="1" width="10.33203125" style="69" customWidth="1"/>
    <col min="2" max="2" width="16" style="69" customWidth="1"/>
    <col min="3" max="3" width="6.33203125" style="69" customWidth="1"/>
    <col min="4" max="4" width="9.46484375" style="69" customWidth="1"/>
    <col min="5" max="5" width="11.265625" style="69" customWidth="1"/>
    <col min="6" max="6" width="7.265625" style="69" customWidth="1"/>
    <col min="7" max="7" width="16" style="69" customWidth="1"/>
    <col min="8" max="8" width="10.265625" style="69" customWidth="1"/>
    <col min="9" max="9" width="9.46484375" style="69" customWidth="1"/>
    <col min="10" max="10" width="9.796875" customWidth="1"/>
    <col min="11" max="11" width="16.19921875" customWidth="1"/>
    <col min="12" max="12" width="12.59765625" customWidth="1"/>
    <col min="13" max="13" width="11.265625" customWidth="1"/>
    <col min="14" max="14" width="15.19921875" customWidth="1"/>
    <col min="15" max="15" width="15"/>
    <col min="16" max="16" width="13.73046875"/>
    <col min="17" max="18" width="15"/>
  </cols>
  <sheetData>
    <row r="1" spans="1:14" ht="20.25" x14ac:dyDescent="0.3">
      <c r="A1" s="43" t="s">
        <v>1</v>
      </c>
      <c r="J1" s="90"/>
    </row>
    <row r="2" spans="1:14" x14ac:dyDescent="0.3">
      <c r="A2" s="78" t="s">
        <v>22</v>
      </c>
      <c r="B2" s="79" t="s">
        <v>23</v>
      </c>
      <c r="C2" s="79" t="s">
        <v>24</v>
      </c>
      <c r="D2" s="79" t="s">
        <v>25</v>
      </c>
      <c r="E2" s="79" t="s">
        <v>26</v>
      </c>
      <c r="F2" s="79" t="s">
        <v>27</v>
      </c>
      <c r="G2" s="79" t="s">
        <v>28</v>
      </c>
      <c r="H2" s="79" t="s">
        <v>29</v>
      </c>
      <c r="I2" s="79" t="s">
        <v>30</v>
      </c>
      <c r="J2" s="79" t="s">
        <v>31</v>
      </c>
      <c r="K2" s="79" t="s">
        <v>32</v>
      </c>
      <c r="L2" s="79" t="s">
        <v>33</v>
      </c>
      <c r="M2" s="91" t="s">
        <v>34</v>
      </c>
    </row>
    <row r="3" spans="1:14" x14ac:dyDescent="0.3">
      <c r="A3" s="58" t="s">
        <v>35</v>
      </c>
      <c r="B3" s="59" t="s">
        <v>36</v>
      </c>
      <c r="C3" s="59">
        <v>1</v>
      </c>
      <c r="D3" s="59">
        <v>110</v>
      </c>
      <c r="E3" s="59">
        <v>12.82</v>
      </c>
      <c r="F3" s="59">
        <v>0.18099999999999999</v>
      </c>
      <c r="G3" s="80">
        <v>0.98</v>
      </c>
      <c r="H3" s="81">
        <f>C3/((E3/F3))/G3</f>
        <v>1.4406698716928268E-2</v>
      </c>
      <c r="I3" s="92">
        <f>C3/H3</f>
        <v>69.412154696132603</v>
      </c>
      <c r="J3" s="59">
        <v>820</v>
      </c>
      <c r="K3" s="59">
        <v>9.8000000000000007</v>
      </c>
      <c r="L3" s="93">
        <f>(J3/F3)*K3</f>
        <v>44397.790055248624</v>
      </c>
      <c r="M3" s="94">
        <v>1</v>
      </c>
      <c r="N3" s="95"/>
    </row>
    <row r="4" spans="1:14" x14ac:dyDescent="0.3">
      <c r="A4" s="58" t="s">
        <v>35</v>
      </c>
      <c r="B4" s="59" t="s">
        <v>37</v>
      </c>
      <c r="C4" s="59">
        <v>1</v>
      </c>
      <c r="D4" s="59">
        <v>110</v>
      </c>
      <c r="E4" s="59">
        <v>9.73</v>
      </c>
      <c r="F4" s="59">
        <v>0.18099999999999999</v>
      </c>
      <c r="G4" s="80">
        <v>0.98</v>
      </c>
      <c r="H4" s="81">
        <f>C4/((E4/F4))/G4</f>
        <v>1.8981899028881852E-2</v>
      </c>
      <c r="I4" s="92">
        <f>C4/H4</f>
        <v>52.681767955801099</v>
      </c>
      <c r="J4" s="59">
        <v>750</v>
      </c>
      <c r="K4" s="59">
        <v>7</v>
      </c>
      <c r="L4" s="93">
        <f>(J4/F4)*K4</f>
        <v>29005.524861878454</v>
      </c>
      <c r="M4" s="94">
        <f>M3/(L4/L3)</f>
        <v>1.5306666666666668</v>
      </c>
    </row>
    <row r="5" spans="1:14" x14ac:dyDescent="0.3">
      <c r="A5" s="58" t="s">
        <v>35</v>
      </c>
      <c r="B5" s="59" t="s">
        <v>38</v>
      </c>
      <c r="C5" s="59">
        <v>1</v>
      </c>
      <c r="D5" s="59">
        <v>110</v>
      </c>
      <c r="E5" s="59">
        <v>11.24</v>
      </c>
      <c r="F5" s="59">
        <v>0.18099999999999999</v>
      </c>
      <c r="G5" s="80">
        <v>0.98</v>
      </c>
      <c r="H5" s="81">
        <f>C5/((E5/F5))/G5</f>
        <v>1.6431839639770497E-2</v>
      </c>
      <c r="I5" s="92">
        <f>C5/H5</f>
        <v>60.857458563535921</v>
      </c>
      <c r="J5" s="59">
        <v>810</v>
      </c>
      <c r="K5" s="59">
        <v>9</v>
      </c>
      <c r="L5" s="93">
        <f>(J5/F5)*K5</f>
        <v>40276.243093922654</v>
      </c>
      <c r="M5" s="94">
        <f>M3/(L5/L3)</f>
        <v>1.1023319615912208</v>
      </c>
      <c r="N5" s="95"/>
    </row>
    <row r="6" spans="1:14" x14ac:dyDescent="0.3">
      <c r="A6" s="77" t="s">
        <v>39</v>
      </c>
      <c r="B6" s="82" t="s">
        <v>40</v>
      </c>
      <c r="C6" s="82">
        <v>1</v>
      </c>
      <c r="D6" s="82">
        <v>95</v>
      </c>
      <c r="E6" s="82">
        <v>9.73</v>
      </c>
      <c r="F6" s="82">
        <v>0.20300000000000001</v>
      </c>
      <c r="G6" s="83">
        <v>0.98</v>
      </c>
      <c r="H6" s="84">
        <f>C6/((E6/F6))/G6</f>
        <v>2.1289091176038763E-2</v>
      </c>
      <c r="I6" s="96">
        <f>C6/H6</f>
        <v>46.972413793103442</v>
      </c>
      <c r="J6" s="82">
        <v>810</v>
      </c>
      <c r="K6" s="82">
        <v>7.5</v>
      </c>
      <c r="L6" s="97">
        <f>(J6/F6)*K6</f>
        <v>29926.108374384236</v>
      </c>
      <c r="M6" s="98">
        <f>M3/(L6/L3)</f>
        <v>1.4835804742741516</v>
      </c>
      <c r="N6" s="95"/>
    </row>
    <row r="7" spans="1:14" ht="22.05" customHeight="1" x14ac:dyDescent="0.3">
      <c r="E7" s="69" t="s">
        <v>41</v>
      </c>
      <c r="G7" s="69" t="s">
        <v>42</v>
      </c>
    </row>
    <row r="8" spans="1:14" x14ac:dyDescent="0.3">
      <c r="B8" s="85"/>
      <c r="C8" s="85"/>
      <c r="D8" s="85"/>
      <c r="E8" s="85"/>
      <c r="F8" s="85"/>
      <c r="G8" s="85"/>
      <c r="H8" s="85"/>
      <c r="I8" s="85"/>
      <c r="J8" s="69"/>
      <c r="K8" s="69"/>
      <c r="L8" s="69"/>
      <c r="M8" s="69"/>
    </row>
    <row r="9" spans="1:14" ht="20.25" x14ac:dyDescent="0.3">
      <c r="A9" s="43" t="s">
        <v>2</v>
      </c>
      <c r="J9" s="90"/>
    </row>
    <row r="10" spans="1:14" x14ac:dyDescent="0.3">
      <c r="A10" s="78" t="s">
        <v>22</v>
      </c>
      <c r="B10" s="79" t="s">
        <v>23</v>
      </c>
      <c r="C10" s="79" t="s">
        <v>24</v>
      </c>
      <c r="D10" s="79" t="s">
        <v>25</v>
      </c>
      <c r="E10" s="79" t="s">
        <v>26</v>
      </c>
      <c r="F10" s="79" t="s">
        <v>27</v>
      </c>
      <c r="G10" s="79" t="s">
        <v>28</v>
      </c>
      <c r="H10" s="79" t="s">
        <v>29</v>
      </c>
      <c r="I10" s="79" t="s">
        <v>30</v>
      </c>
      <c r="J10" s="79" t="s">
        <v>31</v>
      </c>
      <c r="K10" s="79" t="s">
        <v>32</v>
      </c>
      <c r="L10" s="79" t="s">
        <v>33</v>
      </c>
      <c r="M10" s="91" t="s">
        <v>34</v>
      </c>
    </row>
    <row r="11" spans="1:14" x14ac:dyDescent="0.3">
      <c r="A11" s="58" t="s">
        <v>35</v>
      </c>
      <c r="B11" s="59" t="s">
        <v>36</v>
      </c>
      <c r="C11" s="59">
        <v>1</v>
      </c>
      <c r="D11" s="59">
        <v>100</v>
      </c>
      <c r="E11" s="59">
        <v>12.82</v>
      </c>
      <c r="F11" s="59">
        <v>0.18099999999999999</v>
      </c>
      <c r="G11" s="86">
        <v>0.98199999999999998</v>
      </c>
      <c r="H11" s="87">
        <f t="shared" ref="H11:H14" si="0">C11/((E11/F11))/G11</f>
        <v>1.4377357171679941E-2</v>
      </c>
      <c r="I11" s="92">
        <f t="shared" ref="I11:I14" si="1">C11/H11</f>
        <v>69.553812154696132</v>
      </c>
      <c r="J11" s="59">
        <v>820</v>
      </c>
      <c r="K11" s="59">
        <v>9.6</v>
      </c>
      <c r="L11" s="93">
        <f t="shared" ref="L11:L14" si="2">(J11/F11)*K11</f>
        <v>43491.71270718232</v>
      </c>
      <c r="M11" s="94">
        <v>1</v>
      </c>
      <c r="N11" s="95"/>
    </row>
    <row r="12" spans="1:14" x14ac:dyDescent="0.3">
      <c r="A12" s="58" t="s">
        <v>35</v>
      </c>
      <c r="B12" s="59" t="s">
        <v>37</v>
      </c>
      <c r="C12" s="59">
        <v>1</v>
      </c>
      <c r="D12" s="59">
        <v>100</v>
      </c>
      <c r="E12" s="59">
        <v>9.73</v>
      </c>
      <c r="F12" s="59">
        <v>0.18099999999999999</v>
      </c>
      <c r="G12" s="86">
        <v>0.98199999999999998</v>
      </c>
      <c r="H12" s="87">
        <f t="shared" si="0"/>
        <v>1.8943239356725268E-2</v>
      </c>
      <c r="I12" s="92">
        <f t="shared" si="1"/>
        <v>52.789281767955799</v>
      </c>
      <c r="J12" s="59">
        <v>750</v>
      </c>
      <c r="K12" s="59">
        <v>7</v>
      </c>
      <c r="L12" s="93">
        <f t="shared" si="2"/>
        <v>29005.524861878454</v>
      </c>
      <c r="M12" s="94">
        <f>M11/(L12/L11)</f>
        <v>1.4994285714285713</v>
      </c>
    </row>
    <row r="13" spans="1:14" x14ac:dyDescent="0.3">
      <c r="A13" s="58" t="s">
        <v>35</v>
      </c>
      <c r="B13" s="59" t="s">
        <v>38</v>
      </c>
      <c r="C13" s="59">
        <v>1</v>
      </c>
      <c r="D13" s="59">
        <v>100</v>
      </c>
      <c r="E13" s="59">
        <v>11.24</v>
      </c>
      <c r="F13" s="59">
        <v>0.18099999999999999</v>
      </c>
      <c r="G13" s="86">
        <v>0.98199999999999998</v>
      </c>
      <c r="H13" s="87">
        <f t="shared" si="0"/>
        <v>1.6398373571257726E-2</v>
      </c>
      <c r="I13" s="92">
        <f t="shared" si="1"/>
        <v>60.981657458563546</v>
      </c>
      <c r="J13" s="59">
        <v>810</v>
      </c>
      <c r="K13" s="59">
        <v>9</v>
      </c>
      <c r="L13" s="93">
        <f t="shared" si="2"/>
        <v>40276.243093922654</v>
      </c>
      <c r="M13" s="94">
        <f>M11/(L13/L11)</f>
        <v>1.0798353909465019</v>
      </c>
      <c r="N13" s="95"/>
    </row>
    <row r="14" spans="1:14" x14ac:dyDescent="0.3">
      <c r="A14" s="77" t="s">
        <v>39</v>
      </c>
      <c r="B14" s="82" t="s">
        <v>40</v>
      </c>
      <c r="C14" s="82">
        <v>1</v>
      </c>
      <c r="D14" s="82">
        <v>85</v>
      </c>
      <c r="E14" s="82">
        <v>9.73</v>
      </c>
      <c r="F14" s="82">
        <v>0.20300000000000001</v>
      </c>
      <c r="G14" s="88">
        <v>0.98199999999999998</v>
      </c>
      <c r="H14" s="89">
        <f t="shared" si="0"/>
        <v>2.1245732538205688E-2</v>
      </c>
      <c r="I14" s="96">
        <f t="shared" si="1"/>
        <v>47.068275862068965</v>
      </c>
      <c r="J14" s="82">
        <v>810</v>
      </c>
      <c r="K14" s="82">
        <v>7.3</v>
      </c>
      <c r="L14" s="97">
        <f t="shared" si="2"/>
        <v>29128.078817733989</v>
      </c>
      <c r="M14" s="98">
        <f>M11/(L14/L11)</f>
        <v>1.4931198511006276</v>
      </c>
      <c r="N14" s="95"/>
    </row>
    <row r="15" spans="1:14" ht="22.05" customHeight="1" x14ac:dyDescent="0.3">
      <c r="E15" s="69" t="s">
        <v>41</v>
      </c>
      <c r="G15" s="69" t="s">
        <v>43</v>
      </c>
    </row>
    <row r="17" spans="1:14" ht="20.25" x14ac:dyDescent="0.3">
      <c r="A17" s="43" t="s">
        <v>3</v>
      </c>
      <c r="J17" s="90"/>
    </row>
    <row r="18" spans="1:14" x14ac:dyDescent="0.3">
      <c r="A18" s="78" t="s">
        <v>22</v>
      </c>
      <c r="B18" s="79" t="s">
        <v>23</v>
      </c>
      <c r="C18" s="79" t="s">
        <v>24</v>
      </c>
      <c r="D18" s="79" t="s">
        <v>25</v>
      </c>
      <c r="E18" s="79" t="s">
        <v>26</v>
      </c>
      <c r="F18" s="79" t="s">
        <v>27</v>
      </c>
      <c r="G18" s="79" t="s">
        <v>28</v>
      </c>
      <c r="H18" s="79" t="s">
        <v>29</v>
      </c>
      <c r="I18" s="79" t="s">
        <v>30</v>
      </c>
      <c r="J18" s="79" t="s">
        <v>31</v>
      </c>
      <c r="K18" s="79" t="s">
        <v>32</v>
      </c>
      <c r="L18" s="79" t="s">
        <v>33</v>
      </c>
      <c r="M18" s="91" t="s">
        <v>34</v>
      </c>
    </row>
    <row r="19" spans="1:14" x14ac:dyDescent="0.3">
      <c r="A19" s="58" t="s">
        <v>35</v>
      </c>
      <c r="B19" s="59" t="s">
        <v>36</v>
      </c>
      <c r="C19" s="59">
        <v>1</v>
      </c>
      <c r="D19" s="59">
        <v>89</v>
      </c>
      <c r="E19" s="59">
        <v>12.82</v>
      </c>
      <c r="F19" s="59">
        <v>0.18099999999999999</v>
      </c>
      <c r="G19" s="86">
        <v>0.98099999999999998</v>
      </c>
      <c r="H19" s="87">
        <f t="shared" ref="H19:H22" si="3">C19/((E19/F19))/G19</f>
        <v>1.4392012989388076E-2</v>
      </c>
      <c r="I19" s="92">
        <f t="shared" ref="I19:I22" si="4">C19/H19</f>
        <v>69.482983425414375</v>
      </c>
      <c r="J19" s="59">
        <v>820</v>
      </c>
      <c r="K19" s="59">
        <v>9.6999999999999993</v>
      </c>
      <c r="L19" s="93">
        <f t="shared" ref="L19:L22" si="5">(J19/F19)*K19</f>
        <v>43944.751381215465</v>
      </c>
      <c r="M19" s="94">
        <v>1</v>
      </c>
      <c r="N19" s="95"/>
    </row>
    <row r="20" spans="1:14" x14ac:dyDescent="0.3">
      <c r="A20" s="58" t="s">
        <v>35</v>
      </c>
      <c r="B20" s="59" t="s">
        <v>37</v>
      </c>
      <c r="C20" s="59">
        <v>1</v>
      </c>
      <c r="D20" s="59">
        <v>89</v>
      </c>
      <c r="E20" s="59">
        <v>9.73</v>
      </c>
      <c r="F20" s="59">
        <v>0.18099999999999999</v>
      </c>
      <c r="G20" s="86">
        <v>0.98099999999999998</v>
      </c>
      <c r="H20" s="87">
        <f t="shared" si="3"/>
        <v>1.8962549488587374E-2</v>
      </c>
      <c r="I20" s="92">
        <f t="shared" si="4"/>
        <v>52.735524861878453</v>
      </c>
      <c r="J20" s="59">
        <v>750</v>
      </c>
      <c r="K20" s="59">
        <v>7</v>
      </c>
      <c r="L20" s="93">
        <f t="shared" si="5"/>
        <v>29005.524861878454</v>
      </c>
      <c r="M20" s="94">
        <f>M19/(L20/L19)</f>
        <v>1.515047619047619</v>
      </c>
    </row>
    <row r="21" spans="1:14" x14ac:dyDescent="0.3">
      <c r="A21" s="58" t="s">
        <v>35</v>
      </c>
      <c r="B21" s="59" t="s">
        <v>38</v>
      </c>
      <c r="C21" s="59">
        <v>1</v>
      </c>
      <c r="D21" s="59">
        <v>89</v>
      </c>
      <c r="E21" s="59">
        <v>11.24</v>
      </c>
      <c r="F21" s="59">
        <v>0.18099999999999999</v>
      </c>
      <c r="G21" s="86">
        <v>0.98099999999999998</v>
      </c>
      <c r="H21" s="87">
        <f t="shared" si="3"/>
        <v>1.6415089548394584E-2</v>
      </c>
      <c r="I21" s="92">
        <f t="shared" si="4"/>
        <v>60.91955801104973</v>
      </c>
      <c r="J21" s="59">
        <v>810</v>
      </c>
      <c r="K21" s="59">
        <v>9</v>
      </c>
      <c r="L21" s="93">
        <f t="shared" si="5"/>
        <v>40276.243093922654</v>
      </c>
      <c r="M21" s="94">
        <f>M19/(L21/L19)</f>
        <v>1.0910836762688612</v>
      </c>
      <c r="N21" s="95"/>
    </row>
    <row r="22" spans="1:14" x14ac:dyDescent="0.3">
      <c r="A22" s="77" t="s">
        <v>39</v>
      </c>
      <c r="B22" s="82" t="s">
        <v>40</v>
      </c>
      <c r="C22" s="82">
        <v>1</v>
      </c>
      <c r="D22" s="82">
        <v>75</v>
      </c>
      <c r="E22" s="82">
        <v>9.73</v>
      </c>
      <c r="F22" s="82">
        <v>0.20300000000000001</v>
      </c>
      <c r="G22" s="88">
        <v>0.98099999999999998</v>
      </c>
      <c r="H22" s="89">
        <f t="shared" si="3"/>
        <v>2.1267389757918437E-2</v>
      </c>
      <c r="I22" s="96">
        <f t="shared" si="4"/>
        <v>47.0203448275862</v>
      </c>
      <c r="J22" s="82">
        <v>810</v>
      </c>
      <c r="K22" s="82">
        <v>7.3</v>
      </c>
      <c r="L22" s="97">
        <f t="shared" si="5"/>
        <v>29128.078817733989</v>
      </c>
      <c r="M22" s="98">
        <f>M19/(L22/L19)</f>
        <v>1.5086731828829256</v>
      </c>
      <c r="N22" s="95"/>
    </row>
    <row r="23" spans="1:14" ht="22.05" customHeight="1" x14ac:dyDescent="0.3">
      <c r="E23" s="69" t="s">
        <v>41</v>
      </c>
      <c r="G23" s="69" t="s">
        <v>44</v>
      </c>
    </row>
    <row r="25" spans="1:14" ht="20.25" x14ac:dyDescent="0.3">
      <c r="A25" s="43" t="s">
        <v>4</v>
      </c>
      <c r="J25" s="90"/>
    </row>
    <row r="26" spans="1:14" x14ac:dyDescent="0.3">
      <c r="A26" s="78" t="s">
        <v>22</v>
      </c>
      <c r="B26" s="79" t="s">
        <v>23</v>
      </c>
      <c r="C26" s="79" t="s">
        <v>24</v>
      </c>
      <c r="D26" s="79" t="s">
        <v>25</v>
      </c>
      <c r="E26" s="79" t="s">
        <v>26</v>
      </c>
      <c r="F26" s="79" t="s">
        <v>27</v>
      </c>
      <c r="G26" s="79" t="s">
        <v>28</v>
      </c>
      <c r="H26" s="79" t="s">
        <v>29</v>
      </c>
      <c r="I26" s="79" t="s">
        <v>30</v>
      </c>
      <c r="J26" s="79" t="s">
        <v>31</v>
      </c>
      <c r="K26" s="79" t="s">
        <v>32</v>
      </c>
      <c r="L26" s="79" t="s">
        <v>33</v>
      </c>
      <c r="M26" s="91" t="s">
        <v>34</v>
      </c>
    </row>
    <row r="27" spans="1:14" x14ac:dyDescent="0.3">
      <c r="A27" s="58" t="s">
        <v>35</v>
      </c>
      <c r="B27" s="59" t="s">
        <v>36</v>
      </c>
      <c r="C27" s="59">
        <v>1</v>
      </c>
      <c r="D27" s="59">
        <v>85</v>
      </c>
      <c r="E27" s="59">
        <v>12.82</v>
      </c>
      <c r="F27" s="59">
        <v>0.18099999999999999</v>
      </c>
      <c r="G27" s="86">
        <v>0.98399999999999999</v>
      </c>
      <c r="H27" s="87">
        <f t="shared" ref="H27:H30" si="6">C27/((E27/F27))/G27</f>
        <v>1.4348134901005795E-2</v>
      </c>
      <c r="I27" s="92">
        <f t="shared" ref="I27:I30" si="7">C27/H27</f>
        <v>69.695469613259675</v>
      </c>
      <c r="J27" s="59">
        <v>830</v>
      </c>
      <c r="K27" s="59">
        <v>9.9</v>
      </c>
      <c r="L27" s="93">
        <f t="shared" ref="L27:L30" si="8">(J27/F27)*K27</f>
        <v>45397.790055248624</v>
      </c>
      <c r="M27" s="94">
        <v>1</v>
      </c>
      <c r="N27" s="95"/>
    </row>
    <row r="28" spans="1:14" x14ac:dyDescent="0.3">
      <c r="A28" s="58" t="s">
        <v>35</v>
      </c>
      <c r="B28" s="59" t="s">
        <v>37</v>
      </c>
      <c r="C28" s="59">
        <v>1</v>
      </c>
      <c r="D28" s="59">
        <v>85</v>
      </c>
      <c r="E28" s="59">
        <v>9.73</v>
      </c>
      <c r="F28" s="59">
        <v>0.18099999999999999</v>
      </c>
      <c r="G28" s="86">
        <v>0.98399999999999999</v>
      </c>
      <c r="H28" s="87">
        <f t="shared" si="6"/>
        <v>1.8904736837707534E-2</v>
      </c>
      <c r="I28" s="92">
        <f t="shared" si="7"/>
        <v>52.896795580110499</v>
      </c>
      <c r="J28" s="59">
        <v>750</v>
      </c>
      <c r="K28" s="59">
        <v>7</v>
      </c>
      <c r="L28" s="93">
        <f t="shared" si="8"/>
        <v>29005.524861878454</v>
      </c>
      <c r="M28" s="94">
        <f>M27/(L28/L27)</f>
        <v>1.5651428571428574</v>
      </c>
    </row>
    <row r="29" spans="1:14" x14ac:dyDescent="0.3">
      <c r="A29" s="58" t="s">
        <v>35</v>
      </c>
      <c r="B29" s="59" t="s">
        <v>38</v>
      </c>
      <c r="C29" s="59">
        <v>1</v>
      </c>
      <c r="D29" s="59">
        <v>85</v>
      </c>
      <c r="E29" s="59">
        <v>11.24</v>
      </c>
      <c r="F29" s="59">
        <v>0.18099999999999999</v>
      </c>
      <c r="G29" s="86">
        <v>0.98399999999999999</v>
      </c>
      <c r="H29" s="87">
        <f t="shared" si="6"/>
        <v>1.6365043543673869E-2</v>
      </c>
      <c r="I29" s="92">
        <f t="shared" si="7"/>
        <v>61.105856353591165</v>
      </c>
      <c r="J29" s="59">
        <v>820</v>
      </c>
      <c r="K29" s="59">
        <v>8.6999999999999993</v>
      </c>
      <c r="L29" s="93">
        <f t="shared" si="8"/>
        <v>39414.36464088397</v>
      </c>
      <c r="M29" s="94">
        <f>M27/(L29/L27)</f>
        <v>1.1518082422203535</v>
      </c>
      <c r="N29" s="95"/>
    </row>
    <row r="30" spans="1:14" x14ac:dyDescent="0.3">
      <c r="A30" s="77" t="s">
        <v>39</v>
      </c>
      <c r="B30" s="82" t="s">
        <v>40</v>
      </c>
      <c r="C30" s="82">
        <v>1</v>
      </c>
      <c r="D30" s="82">
        <v>72</v>
      </c>
      <c r="E30" s="82">
        <v>9.73</v>
      </c>
      <c r="F30" s="82">
        <v>0.20300000000000001</v>
      </c>
      <c r="G30" s="88">
        <v>0.98399999999999999</v>
      </c>
      <c r="H30" s="89">
        <f t="shared" si="6"/>
        <v>2.1202550154997956E-2</v>
      </c>
      <c r="I30" s="96">
        <f t="shared" si="7"/>
        <v>47.164137931034475</v>
      </c>
      <c r="J30" s="82">
        <v>810</v>
      </c>
      <c r="K30" s="82">
        <v>7.5</v>
      </c>
      <c r="L30" s="97">
        <f t="shared" si="8"/>
        <v>29926.108374384236</v>
      </c>
      <c r="M30" s="98">
        <f>M27/(L30/L27)</f>
        <v>1.5169961121342339</v>
      </c>
      <c r="N30" s="95"/>
    </row>
    <row r="31" spans="1:14" ht="22.05" customHeight="1" x14ac:dyDescent="0.3">
      <c r="E31" s="69" t="s">
        <v>41</v>
      </c>
      <c r="G31" s="69" t="s">
        <v>45</v>
      </c>
    </row>
    <row r="33" spans="1:14" ht="20.25" x14ac:dyDescent="0.3">
      <c r="A33" s="43" t="s">
        <v>5</v>
      </c>
      <c r="J33" s="90"/>
    </row>
    <row r="34" spans="1:14" x14ac:dyDescent="0.3">
      <c r="A34" s="78" t="s">
        <v>22</v>
      </c>
      <c r="B34" s="79" t="s">
        <v>23</v>
      </c>
      <c r="C34" s="79" t="s">
        <v>24</v>
      </c>
      <c r="D34" s="79" t="s">
        <v>25</v>
      </c>
      <c r="E34" s="79" t="s">
        <v>26</v>
      </c>
      <c r="F34" s="79" t="s">
        <v>27</v>
      </c>
      <c r="G34" s="79" t="s">
        <v>28</v>
      </c>
      <c r="H34" s="79" t="s">
        <v>29</v>
      </c>
      <c r="I34" s="79" t="s">
        <v>30</v>
      </c>
      <c r="J34" s="79" t="s">
        <v>31</v>
      </c>
      <c r="K34" s="79" t="s">
        <v>32</v>
      </c>
      <c r="L34" s="79" t="s">
        <v>33</v>
      </c>
      <c r="M34" s="91" t="s">
        <v>34</v>
      </c>
    </row>
    <row r="35" spans="1:14" x14ac:dyDescent="0.3">
      <c r="A35" s="58" t="s">
        <v>35</v>
      </c>
      <c r="B35" s="59" t="s">
        <v>36</v>
      </c>
      <c r="C35" s="59">
        <v>1</v>
      </c>
      <c r="D35" s="59">
        <v>85</v>
      </c>
      <c r="E35" s="59">
        <v>12.82</v>
      </c>
      <c r="F35" s="59">
        <v>0.18099999999999999</v>
      </c>
      <c r="G35" s="86">
        <v>0.98499999999999999</v>
      </c>
      <c r="H35" s="87">
        <f t="shared" ref="H35:H38" si="9">C35/((E35/F35))/G35</f>
        <v>1.433356826658853E-2</v>
      </c>
      <c r="I35" s="92">
        <f t="shared" ref="I35:I38" si="10">C35/H35</f>
        <v>69.766298342541447</v>
      </c>
      <c r="J35" s="59">
        <v>830</v>
      </c>
      <c r="K35" s="59">
        <v>9.8000000000000007</v>
      </c>
      <c r="L35" s="93">
        <f t="shared" ref="L35:L38" si="11">(J35/F35)*K35</f>
        <v>44939.226519337019</v>
      </c>
      <c r="M35" s="94">
        <v>1</v>
      </c>
      <c r="N35" s="95"/>
    </row>
    <row r="36" spans="1:14" x14ac:dyDescent="0.3">
      <c r="A36" s="58" t="s">
        <v>35</v>
      </c>
      <c r="B36" s="59" t="s">
        <v>37</v>
      </c>
      <c r="C36" s="59">
        <v>1</v>
      </c>
      <c r="D36" s="59">
        <v>85</v>
      </c>
      <c r="E36" s="59">
        <v>9.73</v>
      </c>
      <c r="F36" s="59">
        <v>0.18099999999999999</v>
      </c>
      <c r="G36" s="86">
        <v>0.98499999999999999</v>
      </c>
      <c r="H36" s="87">
        <f t="shared" si="9"/>
        <v>1.8885544211476358E-2</v>
      </c>
      <c r="I36" s="92">
        <f t="shared" si="10"/>
        <v>52.950552486187846</v>
      </c>
      <c r="J36" s="59">
        <v>750</v>
      </c>
      <c r="K36" s="59">
        <v>7</v>
      </c>
      <c r="L36" s="93">
        <f t="shared" si="11"/>
        <v>29005.524861878454</v>
      </c>
      <c r="M36" s="94">
        <f>M35/(L36/L35)</f>
        <v>1.5493333333333335</v>
      </c>
    </row>
    <row r="37" spans="1:14" x14ac:dyDescent="0.3">
      <c r="A37" s="58" t="s">
        <v>35</v>
      </c>
      <c r="B37" s="59" t="s">
        <v>38</v>
      </c>
      <c r="C37" s="59">
        <v>1</v>
      </c>
      <c r="D37" s="59">
        <v>85</v>
      </c>
      <c r="E37" s="59">
        <v>11.24</v>
      </c>
      <c r="F37" s="59">
        <v>0.18099999999999999</v>
      </c>
      <c r="G37" s="86">
        <v>0.98499999999999999</v>
      </c>
      <c r="H37" s="87">
        <f t="shared" si="9"/>
        <v>1.6348429286269124E-2</v>
      </c>
      <c r="I37" s="92">
        <f t="shared" si="10"/>
        <v>61.167955801104981</v>
      </c>
      <c r="J37" s="59">
        <v>820</v>
      </c>
      <c r="K37" s="59">
        <v>8.6</v>
      </c>
      <c r="L37" s="93">
        <f t="shared" si="11"/>
        <v>38961.325966850825</v>
      </c>
      <c r="M37" s="94">
        <f>M35/(L37/L35)</f>
        <v>1.1534316505955757</v>
      </c>
      <c r="N37" s="95"/>
    </row>
    <row r="38" spans="1:14" x14ac:dyDescent="0.3">
      <c r="A38" s="77" t="s">
        <v>39</v>
      </c>
      <c r="B38" s="82" t="s">
        <v>40</v>
      </c>
      <c r="C38" s="82">
        <v>1</v>
      </c>
      <c r="D38" s="82">
        <v>72</v>
      </c>
      <c r="E38" s="82">
        <v>9.73</v>
      </c>
      <c r="F38" s="82">
        <v>0.20300000000000001</v>
      </c>
      <c r="G38" s="88">
        <v>0.98499999999999999</v>
      </c>
      <c r="H38" s="89">
        <f t="shared" si="9"/>
        <v>2.1181024723368514E-2</v>
      </c>
      <c r="I38" s="96">
        <f t="shared" si="10"/>
        <v>47.21206896551724</v>
      </c>
      <c r="J38" s="82">
        <v>810</v>
      </c>
      <c r="K38" s="82">
        <v>7.5</v>
      </c>
      <c r="L38" s="97">
        <f t="shared" si="11"/>
        <v>29926.108374384236</v>
      </c>
      <c r="M38" s="98">
        <f>M35/(L38/L35)</f>
        <v>1.5016729190823728</v>
      </c>
      <c r="N38" s="95"/>
    </row>
    <row r="39" spans="1:14" ht="22.05" customHeight="1" x14ac:dyDescent="0.3">
      <c r="E39" s="69" t="s">
        <v>41</v>
      </c>
      <c r="G39" s="69" t="s">
        <v>46</v>
      </c>
    </row>
    <row r="41" spans="1:14" ht="20.25" x14ac:dyDescent="0.3">
      <c r="A41" s="43" t="s">
        <v>6</v>
      </c>
      <c r="J41" s="90"/>
    </row>
    <row r="42" spans="1:14" x14ac:dyDescent="0.3">
      <c r="A42" s="78" t="s">
        <v>22</v>
      </c>
      <c r="B42" s="79" t="s">
        <v>23</v>
      </c>
      <c r="C42" s="79" t="s">
        <v>24</v>
      </c>
      <c r="D42" s="79" t="s">
        <v>25</v>
      </c>
      <c r="E42" s="79" t="s">
        <v>26</v>
      </c>
      <c r="F42" s="79" t="s">
        <v>27</v>
      </c>
      <c r="G42" s="79" t="s">
        <v>28</v>
      </c>
      <c r="H42" s="79" t="s">
        <v>29</v>
      </c>
      <c r="I42" s="79" t="s">
        <v>30</v>
      </c>
      <c r="J42" s="79" t="s">
        <v>31</v>
      </c>
      <c r="K42" s="79" t="s">
        <v>32</v>
      </c>
      <c r="L42" s="79" t="s">
        <v>33</v>
      </c>
      <c r="M42" s="91" t="s">
        <v>34</v>
      </c>
    </row>
    <row r="43" spans="1:14" x14ac:dyDescent="0.3">
      <c r="A43" s="58" t="s">
        <v>35</v>
      </c>
      <c r="B43" s="59" t="s">
        <v>36</v>
      </c>
      <c r="C43" s="59">
        <v>1</v>
      </c>
      <c r="D43" s="59">
        <v>75</v>
      </c>
      <c r="E43" s="59">
        <v>12.82</v>
      </c>
      <c r="F43" s="59">
        <v>0.18</v>
      </c>
      <c r="G43" s="86">
        <v>0.98299999999999998</v>
      </c>
      <c r="H43" s="87">
        <f t="shared" ref="H43:H46" si="12">C43/((E43/F43))/G43</f>
        <v>1.4283379066597048E-2</v>
      </c>
      <c r="I43" s="92">
        <f t="shared" ref="I43:I46" si="13">C43/H43</f>
        <v>70.01144444444445</v>
      </c>
      <c r="J43" s="59">
        <v>830</v>
      </c>
      <c r="K43" s="59">
        <v>9.9</v>
      </c>
      <c r="L43" s="93">
        <f t="shared" ref="L43:L46" si="14">(J43/F43)*K43</f>
        <v>45650</v>
      </c>
      <c r="M43" s="94">
        <v>1</v>
      </c>
      <c r="N43" s="95"/>
    </row>
    <row r="44" spans="1:14" x14ac:dyDescent="0.3">
      <c r="A44" s="58" t="s">
        <v>35</v>
      </c>
      <c r="B44" s="59" t="s">
        <v>37</v>
      </c>
      <c r="C44" s="59">
        <v>1</v>
      </c>
      <c r="D44" s="59">
        <v>75</v>
      </c>
      <c r="E44" s="59">
        <v>9.73</v>
      </c>
      <c r="F44" s="59">
        <v>0.18</v>
      </c>
      <c r="G44" s="86">
        <v>0.98299999999999998</v>
      </c>
      <c r="H44" s="87">
        <f t="shared" si="12"/>
        <v>1.8819416200798991E-2</v>
      </c>
      <c r="I44" s="92">
        <f t="shared" si="13"/>
        <v>53.136611111111108</v>
      </c>
      <c r="J44" s="59">
        <v>750</v>
      </c>
      <c r="K44" s="59">
        <v>7</v>
      </c>
      <c r="L44" s="93">
        <f t="shared" si="14"/>
        <v>29166.666666666668</v>
      </c>
      <c r="M44" s="94">
        <f>M43/(L44/L43)</f>
        <v>1.5651428571428572</v>
      </c>
    </row>
    <row r="45" spans="1:14" x14ac:dyDescent="0.3">
      <c r="A45" s="58" t="s">
        <v>35</v>
      </c>
      <c r="B45" s="59" t="s">
        <v>38</v>
      </c>
      <c r="C45" s="59">
        <v>1</v>
      </c>
      <c r="D45" s="59">
        <v>75</v>
      </c>
      <c r="E45" s="59">
        <v>11.24</v>
      </c>
      <c r="F45" s="59">
        <v>0.18</v>
      </c>
      <c r="G45" s="86">
        <v>0.98299999999999998</v>
      </c>
      <c r="H45" s="87">
        <f t="shared" si="12"/>
        <v>1.6291185020798411E-2</v>
      </c>
      <c r="I45" s="92">
        <f t="shared" si="13"/>
        <v>61.382888888888893</v>
      </c>
      <c r="J45" s="59">
        <v>820</v>
      </c>
      <c r="K45" s="59">
        <v>8.5</v>
      </c>
      <c r="L45" s="93">
        <f t="shared" si="14"/>
        <v>38722.222222222226</v>
      </c>
      <c r="M45" s="94">
        <f>M43/(L45/L43)</f>
        <v>1.1789096126255381</v>
      </c>
      <c r="N45" s="95"/>
    </row>
    <row r="46" spans="1:14" x14ac:dyDescent="0.3">
      <c r="A46" s="77" t="s">
        <v>39</v>
      </c>
      <c r="B46" s="82" t="s">
        <v>40</v>
      </c>
      <c r="C46" s="82">
        <v>1</v>
      </c>
      <c r="D46" s="82">
        <v>60</v>
      </c>
      <c r="E46" s="82">
        <v>9.73</v>
      </c>
      <c r="F46" s="82">
        <v>0.2</v>
      </c>
      <c r="G46" s="88">
        <v>0.98299999999999998</v>
      </c>
      <c r="H46" s="89">
        <f t="shared" si="12"/>
        <v>2.091046244533221E-2</v>
      </c>
      <c r="I46" s="96">
        <f t="shared" si="13"/>
        <v>47.822949999999999</v>
      </c>
      <c r="J46" s="82">
        <v>810</v>
      </c>
      <c r="K46" s="82">
        <v>7.7</v>
      </c>
      <c r="L46" s="97">
        <f t="shared" si="14"/>
        <v>31185</v>
      </c>
      <c r="M46" s="98">
        <f>M43/(L46/L43)</f>
        <v>1.4638447971781305</v>
      </c>
      <c r="N46" s="95"/>
    </row>
    <row r="47" spans="1:14" ht="22.05" customHeight="1" x14ac:dyDescent="0.3">
      <c r="E47" s="69" t="s">
        <v>41</v>
      </c>
      <c r="G47" s="69" t="s">
        <v>47</v>
      </c>
    </row>
    <row r="49" spans="1:14" ht="20.25" x14ac:dyDescent="0.3">
      <c r="A49" s="43" t="s">
        <v>7</v>
      </c>
      <c r="J49" s="90"/>
    </row>
    <row r="50" spans="1:14" x14ac:dyDescent="0.3">
      <c r="A50" s="78" t="s">
        <v>22</v>
      </c>
      <c r="B50" s="79" t="s">
        <v>23</v>
      </c>
      <c r="C50" s="79" t="s">
        <v>24</v>
      </c>
      <c r="D50" s="79" t="s">
        <v>25</v>
      </c>
      <c r="E50" s="79" t="s">
        <v>26</v>
      </c>
      <c r="F50" s="79" t="s">
        <v>27</v>
      </c>
      <c r="G50" s="79" t="s">
        <v>28</v>
      </c>
      <c r="H50" s="79" t="s">
        <v>29</v>
      </c>
      <c r="I50" s="79" t="s">
        <v>30</v>
      </c>
      <c r="J50" s="79" t="s">
        <v>31</v>
      </c>
      <c r="K50" s="79" t="s">
        <v>32</v>
      </c>
      <c r="L50" s="79" t="s">
        <v>33</v>
      </c>
      <c r="M50" s="91" t="s">
        <v>34</v>
      </c>
    </row>
    <row r="51" spans="1:14" x14ac:dyDescent="0.3">
      <c r="A51" s="58" t="s">
        <v>35</v>
      </c>
      <c r="B51" s="59" t="s">
        <v>36</v>
      </c>
      <c r="C51" s="59">
        <v>1</v>
      </c>
      <c r="D51" s="59">
        <v>70</v>
      </c>
      <c r="E51" s="59">
        <v>12.82</v>
      </c>
      <c r="F51" s="59">
        <v>0.17949999999999999</v>
      </c>
      <c r="G51" s="86">
        <v>0.98499999999999999</v>
      </c>
      <c r="H51" s="87">
        <f t="shared" ref="H51:H54" si="15">C51/((E51/F51))/G51</f>
        <v>1.4214781789241111E-2</v>
      </c>
      <c r="I51" s="92">
        <f t="shared" ref="I51:I54" si="16">C51/H51</f>
        <v>70.349303621169923</v>
      </c>
      <c r="J51" s="59">
        <v>830</v>
      </c>
      <c r="K51" s="59">
        <v>9.4</v>
      </c>
      <c r="L51" s="93">
        <f t="shared" ref="L51:L54" si="17">(J51/F51)*K51</f>
        <v>43465.181058495822</v>
      </c>
      <c r="M51" s="94">
        <v>1</v>
      </c>
      <c r="N51" s="95"/>
    </row>
    <row r="52" spans="1:14" x14ac:dyDescent="0.3">
      <c r="A52" s="58" t="s">
        <v>35</v>
      </c>
      <c r="B52" s="59" t="s">
        <v>37</v>
      </c>
      <c r="C52" s="59">
        <v>1</v>
      </c>
      <c r="D52" s="59">
        <v>70</v>
      </c>
      <c r="E52" s="59">
        <v>9.73</v>
      </c>
      <c r="F52" s="59">
        <v>0.17949999999999999</v>
      </c>
      <c r="G52" s="86">
        <v>0.98499999999999999</v>
      </c>
      <c r="H52" s="87">
        <f t="shared" si="15"/>
        <v>1.8729034176574622E-2</v>
      </c>
      <c r="I52" s="92">
        <f t="shared" si="16"/>
        <v>53.393036211699162</v>
      </c>
      <c r="J52" s="59">
        <v>780</v>
      </c>
      <c r="K52" s="59">
        <v>6.7</v>
      </c>
      <c r="L52" s="93">
        <f t="shared" si="17"/>
        <v>29114.206128133705</v>
      </c>
      <c r="M52" s="94">
        <f>M51/(L52/L51)</f>
        <v>1.4929200153080748</v>
      </c>
    </row>
    <row r="53" spans="1:14" x14ac:dyDescent="0.3">
      <c r="A53" s="58" t="s">
        <v>35</v>
      </c>
      <c r="B53" s="59" t="s">
        <v>38</v>
      </c>
      <c r="C53" s="59">
        <v>1</v>
      </c>
      <c r="D53" s="59">
        <v>70</v>
      </c>
      <c r="E53" s="59">
        <v>11.24</v>
      </c>
      <c r="F53" s="59">
        <v>0.17949999999999999</v>
      </c>
      <c r="G53" s="86">
        <v>0.98499999999999999</v>
      </c>
      <c r="H53" s="87">
        <f t="shared" si="15"/>
        <v>1.6212945065664685E-2</v>
      </c>
      <c r="I53" s="92">
        <f t="shared" si="16"/>
        <v>61.679108635097492</v>
      </c>
      <c r="J53" s="59">
        <v>820</v>
      </c>
      <c r="K53" s="59">
        <v>8.6999999999999993</v>
      </c>
      <c r="L53" s="93">
        <f t="shared" si="17"/>
        <v>39743.732590529245</v>
      </c>
      <c r="M53" s="94">
        <f>M51/(L53/L51)</f>
        <v>1.0936361087748809</v>
      </c>
      <c r="N53" s="95"/>
    </row>
    <row r="54" spans="1:14" x14ac:dyDescent="0.3">
      <c r="A54" s="77" t="s">
        <v>39</v>
      </c>
      <c r="B54" s="82" t="s">
        <v>40</v>
      </c>
      <c r="C54" s="82">
        <v>1</v>
      </c>
      <c r="D54" s="82">
        <v>60</v>
      </c>
      <c r="E54" s="82">
        <v>9.73</v>
      </c>
      <c r="F54" s="82">
        <v>0.2</v>
      </c>
      <c r="G54" s="88">
        <v>0.98499999999999999</v>
      </c>
      <c r="H54" s="89">
        <f t="shared" si="15"/>
        <v>2.0868004653565038E-2</v>
      </c>
      <c r="I54" s="96">
        <f t="shared" si="16"/>
        <v>47.920250000000003</v>
      </c>
      <c r="J54" s="82">
        <v>810</v>
      </c>
      <c r="K54" s="82">
        <v>7.5</v>
      </c>
      <c r="L54" s="97">
        <f t="shared" si="17"/>
        <v>30375</v>
      </c>
      <c r="M54" s="98">
        <f>M51/(L54/L51)</f>
        <v>1.4309524628311383</v>
      </c>
      <c r="N54" s="95"/>
    </row>
    <row r="55" spans="1:14" ht="22.05" customHeight="1" x14ac:dyDescent="0.3">
      <c r="E55" s="69" t="s">
        <v>41</v>
      </c>
      <c r="G55" s="69" t="s">
        <v>46</v>
      </c>
    </row>
    <row r="57" spans="1:14" ht="20.25" x14ac:dyDescent="0.3">
      <c r="A57" s="43" t="s">
        <v>8</v>
      </c>
      <c r="J57" s="90"/>
    </row>
    <row r="58" spans="1:14" x14ac:dyDescent="0.3">
      <c r="A58" s="78" t="s">
        <v>22</v>
      </c>
      <c r="B58" s="79" t="s">
        <v>23</v>
      </c>
      <c r="C58" s="79" t="s">
        <v>24</v>
      </c>
      <c r="D58" s="79" t="s">
        <v>25</v>
      </c>
      <c r="E58" s="79" t="s">
        <v>26</v>
      </c>
      <c r="F58" s="79" t="s">
        <v>27</v>
      </c>
      <c r="G58" s="79" t="s">
        <v>28</v>
      </c>
      <c r="H58" s="79" t="s">
        <v>29</v>
      </c>
      <c r="I58" s="79" t="s">
        <v>30</v>
      </c>
      <c r="J58" s="79" t="s">
        <v>31</v>
      </c>
      <c r="K58" s="79" t="s">
        <v>32</v>
      </c>
      <c r="L58" s="79" t="s">
        <v>33</v>
      </c>
      <c r="M58" s="91" t="s">
        <v>34</v>
      </c>
    </row>
    <row r="59" spans="1:14" x14ac:dyDescent="0.3">
      <c r="A59" s="58" t="s">
        <v>35</v>
      </c>
      <c r="B59" s="59" t="s">
        <v>36</v>
      </c>
      <c r="C59" s="59">
        <v>1</v>
      </c>
      <c r="D59" s="59">
        <v>60</v>
      </c>
      <c r="E59" s="59">
        <v>12.82</v>
      </c>
      <c r="F59" s="59">
        <v>0.17949999999999999</v>
      </c>
      <c r="G59" s="86">
        <v>0.98599999999999999</v>
      </c>
      <c r="H59" s="87">
        <f t="shared" ref="H59:H62" si="18">C59/((E59/F59))/G59</f>
        <v>1.4200365174850399E-2</v>
      </c>
      <c r="I59" s="92">
        <f t="shared" ref="I59:I62" si="19">C59/H59</f>
        <v>70.420724233983293</v>
      </c>
      <c r="J59" s="59">
        <v>830</v>
      </c>
      <c r="K59" s="59">
        <v>9.6</v>
      </c>
      <c r="L59" s="93">
        <f t="shared" ref="L59:L62" si="20">(J59/F59)*K59</f>
        <v>44389.972144846797</v>
      </c>
      <c r="M59" s="94">
        <v>1</v>
      </c>
      <c r="N59" s="95"/>
    </row>
    <row r="60" spans="1:14" x14ac:dyDescent="0.3">
      <c r="A60" s="58" t="s">
        <v>35</v>
      </c>
      <c r="B60" s="59" t="s">
        <v>37</v>
      </c>
      <c r="C60" s="59">
        <v>1</v>
      </c>
      <c r="D60" s="59">
        <v>60</v>
      </c>
      <c r="E60" s="59">
        <v>9.73</v>
      </c>
      <c r="F60" s="59">
        <v>0.17949999999999999</v>
      </c>
      <c r="G60" s="86">
        <v>0.98599999999999999</v>
      </c>
      <c r="H60" s="87">
        <f t="shared" si="18"/>
        <v>1.8710039212906694E-2</v>
      </c>
      <c r="I60" s="92">
        <f t="shared" si="19"/>
        <v>53.447242339832876</v>
      </c>
      <c r="J60" s="59">
        <v>780</v>
      </c>
      <c r="K60" s="59">
        <v>7.1</v>
      </c>
      <c r="L60" s="93">
        <f t="shared" si="20"/>
        <v>30852.367688022281</v>
      </c>
      <c r="M60" s="94">
        <f>M59/(L60/L59)</f>
        <v>1.4387865655471292</v>
      </c>
    </row>
    <row r="61" spans="1:14" x14ac:dyDescent="0.3">
      <c r="A61" s="58" t="s">
        <v>35</v>
      </c>
      <c r="B61" s="59" t="s">
        <v>38</v>
      </c>
      <c r="C61" s="59">
        <v>1</v>
      </c>
      <c r="D61" s="59">
        <v>60</v>
      </c>
      <c r="E61" s="59">
        <v>11.24</v>
      </c>
      <c r="F61" s="59">
        <v>0.17949999999999999</v>
      </c>
      <c r="G61" s="86">
        <v>0.98599999999999999</v>
      </c>
      <c r="H61" s="87">
        <f t="shared" si="18"/>
        <v>1.6196501916510866E-2</v>
      </c>
      <c r="I61" s="92">
        <f t="shared" si="19"/>
        <v>61.741727019498612</v>
      </c>
      <c r="J61" s="59">
        <v>820</v>
      </c>
      <c r="K61" s="59">
        <v>8.8000000000000007</v>
      </c>
      <c r="L61" s="93">
        <f t="shared" si="20"/>
        <v>40200.557103064071</v>
      </c>
      <c r="M61" s="94">
        <f>M59/(L61/L59)</f>
        <v>1.1042128603104213</v>
      </c>
      <c r="N61" s="95"/>
    </row>
    <row r="62" spans="1:14" x14ac:dyDescent="0.3">
      <c r="A62" s="77" t="s">
        <v>39</v>
      </c>
      <c r="B62" s="82" t="s">
        <v>40</v>
      </c>
      <c r="C62" s="82">
        <v>1</v>
      </c>
      <c r="D62" s="82">
        <v>50</v>
      </c>
      <c r="E62" s="82">
        <v>9.73</v>
      </c>
      <c r="F62" s="82">
        <v>0.2</v>
      </c>
      <c r="G62" s="88">
        <v>0.98599999999999999</v>
      </c>
      <c r="H62" s="89">
        <f t="shared" si="18"/>
        <v>2.0846840348642558E-2</v>
      </c>
      <c r="I62" s="96">
        <f t="shared" si="19"/>
        <v>47.968899999999998</v>
      </c>
      <c r="J62" s="82">
        <v>810</v>
      </c>
      <c r="K62" s="82">
        <v>7.4</v>
      </c>
      <c r="L62" s="97">
        <f t="shared" si="20"/>
        <v>29970</v>
      </c>
      <c r="M62" s="98">
        <f>M59/(L62/L59)</f>
        <v>1.4811468850466065</v>
      </c>
      <c r="N62" s="95"/>
    </row>
    <row r="63" spans="1:14" ht="22.05" customHeight="1" x14ac:dyDescent="0.3">
      <c r="E63" s="69" t="s">
        <v>41</v>
      </c>
      <c r="G63" s="69" t="s">
        <v>48</v>
      </c>
    </row>
  </sheetData>
  <phoneticPr fontId="1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5"/>
  <sheetViews>
    <sheetView workbookViewId="0">
      <selection activeCell="L6" sqref="L6"/>
    </sheetView>
  </sheetViews>
  <sheetFormatPr defaultColWidth="8.73046875" defaultRowHeight="13.5" x14ac:dyDescent="0.3"/>
  <cols>
    <col min="1" max="1" width="14.796875" customWidth="1"/>
    <col min="2" max="2" width="16.9296875" customWidth="1"/>
    <col min="3" max="11" width="10.9296875" customWidth="1"/>
  </cols>
  <sheetData>
    <row r="2" spans="1:10" x14ac:dyDescent="0.3">
      <c r="A2" s="71" t="s">
        <v>49</v>
      </c>
      <c r="B2" s="72" t="s">
        <v>50</v>
      </c>
      <c r="C2" s="72" t="s">
        <v>1</v>
      </c>
      <c r="D2" s="72" t="s">
        <v>2</v>
      </c>
      <c r="E2" s="72" t="s">
        <v>3</v>
      </c>
      <c r="F2" s="72" t="s">
        <v>4</v>
      </c>
      <c r="G2" s="72" t="s">
        <v>5</v>
      </c>
      <c r="H2" s="72" t="s">
        <v>6</v>
      </c>
      <c r="I2" s="72" t="s">
        <v>7</v>
      </c>
      <c r="J2" s="73" t="s">
        <v>8</v>
      </c>
    </row>
    <row r="3" spans="1:10" x14ac:dyDescent="0.3">
      <c r="A3" s="112" t="s">
        <v>51</v>
      </c>
      <c r="B3" s="113" t="s">
        <v>52</v>
      </c>
      <c r="C3" s="114">
        <v>0.63484201800235196</v>
      </c>
      <c r="D3" s="114">
        <v>0.63948400983235698</v>
      </c>
      <c r="E3" s="114">
        <v>0.635751992242512</v>
      </c>
      <c r="F3" s="114">
        <v>0.59004598946763598</v>
      </c>
      <c r="G3" s="114">
        <v>0.61145900221771199</v>
      </c>
      <c r="H3" s="114">
        <v>0.589375046268515</v>
      </c>
      <c r="I3" s="114">
        <v>0.59708496487101004</v>
      </c>
      <c r="J3" s="115">
        <v>0.60880099697200796</v>
      </c>
    </row>
    <row r="4" spans="1:10" x14ac:dyDescent="0.3">
      <c r="A4" s="118" t="s">
        <v>53</v>
      </c>
      <c r="B4" s="119" t="s">
        <v>54</v>
      </c>
      <c r="C4" s="120">
        <v>1.6697263919355501</v>
      </c>
      <c r="D4" s="120">
        <v>1.6697256527878701</v>
      </c>
      <c r="E4" s="120">
        <v>1.6697237361636299</v>
      </c>
      <c r="F4" s="120">
        <v>1.6697270606805401</v>
      </c>
      <c r="G4" s="120">
        <v>1.6697264417555899</v>
      </c>
      <c r="H4" s="120">
        <v>1.6697200465526401</v>
      </c>
      <c r="I4" s="120">
        <v>1.6697299914780499</v>
      </c>
      <c r="J4" s="121">
        <v>1.66972588753867</v>
      </c>
    </row>
    <row r="5" spans="1:10" x14ac:dyDescent="0.3">
      <c r="A5" s="118" t="s">
        <v>55</v>
      </c>
      <c r="B5" s="122" t="s">
        <v>56</v>
      </c>
      <c r="C5" s="123">
        <v>32.070796460091998</v>
      </c>
      <c r="D5" s="120">
        <v>32.070796460091998</v>
      </c>
      <c r="E5" s="120">
        <v>32.070796460091998</v>
      </c>
      <c r="F5" s="120">
        <v>32.070796460091998</v>
      </c>
      <c r="G5" s="120">
        <v>32.070796460091998</v>
      </c>
      <c r="H5" s="120">
        <v>32.070796460091998</v>
      </c>
      <c r="I5" s="120">
        <v>32.070796460091998</v>
      </c>
      <c r="J5" s="121">
        <v>32.070796460091998</v>
      </c>
    </row>
    <row r="6" spans="1:10" x14ac:dyDescent="0.3">
      <c r="A6" s="118" t="s">
        <v>57</v>
      </c>
      <c r="B6" s="122" t="s">
        <v>56</v>
      </c>
      <c r="C6" s="123">
        <v>54.070796459964598</v>
      </c>
      <c r="D6" s="123">
        <v>54.070796459964598</v>
      </c>
      <c r="E6" s="123">
        <v>54.070796459964598</v>
      </c>
      <c r="F6" s="123">
        <v>54.070796459964598</v>
      </c>
      <c r="G6" s="123">
        <v>54.070796459964598</v>
      </c>
      <c r="H6" s="123">
        <v>54.070796459964598</v>
      </c>
      <c r="I6" s="123">
        <v>54.070796459964598</v>
      </c>
      <c r="J6" s="124">
        <v>54.070796459964598</v>
      </c>
    </row>
    <row r="7" spans="1:10" x14ac:dyDescent="0.3">
      <c r="A7" s="118" t="s">
        <v>58</v>
      </c>
      <c r="B7" s="122" t="s">
        <v>59</v>
      </c>
      <c r="C7" s="123">
        <v>1.84955752212389</v>
      </c>
      <c r="D7" s="123">
        <v>1.84955752212389</v>
      </c>
      <c r="E7" s="123">
        <v>1.84955752212389</v>
      </c>
      <c r="F7" s="123">
        <v>1.84955752212389</v>
      </c>
      <c r="G7" s="123">
        <v>1.84955752212389</v>
      </c>
      <c r="H7" s="123">
        <v>1.84955752212389</v>
      </c>
      <c r="I7" s="123">
        <v>1.84955752212389</v>
      </c>
      <c r="J7" s="124">
        <v>1.84955752212389</v>
      </c>
    </row>
    <row r="8" spans="1:10" x14ac:dyDescent="0.3">
      <c r="A8" s="118" t="s">
        <v>60</v>
      </c>
      <c r="B8" s="122" t="s">
        <v>61</v>
      </c>
      <c r="C8" s="123">
        <v>15.044247787610599</v>
      </c>
      <c r="D8" s="123">
        <v>15.044247787610599</v>
      </c>
      <c r="E8" s="123">
        <v>15.044247787610599</v>
      </c>
      <c r="F8" s="123">
        <v>15.044247787610599</v>
      </c>
      <c r="G8" s="123">
        <v>15.044247787610599</v>
      </c>
      <c r="H8" s="123">
        <v>15.044247787610599</v>
      </c>
      <c r="I8" s="123">
        <v>15.044247787610599</v>
      </c>
      <c r="J8" s="124">
        <v>15.044247787610599</v>
      </c>
    </row>
    <row r="9" spans="1:10" x14ac:dyDescent="0.3">
      <c r="A9" s="118" t="s">
        <v>62</v>
      </c>
      <c r="B9" s="122" t="s">
        <v>59</v>
      </c>
      <c r="C9" s="123">
        <v>8.4283185840622998</v>
      </c>
      <c r="D9" s="123">
        <v>8.4283185840622998</v>
      </c>
      <c r="E9" s="123">
        <v>8.4283185840622998</v>
      </c>
      <c r="F9" s="123">
        <v>8.4283185840622998</v>
      </c>
      <c r="G9" s="123">
        <v>8.4283185840622998</v>
      </c>
      <c r="H9" s="123">
        <v>8.4283185840622998</v>
      </c>
      <c r="I9" s="123">
        <v>8.4283185840622998</v>
      </c>
      <c r="J9" s="124">
        <v>8.4283185840622998</v>
      </c>
    </row>
    <row r="10" spans="1:10" x14ac:dyDescent="0.3">
      <c r="A10" s="112" t="s">
        <v>63</v>
      </c>
      <c r="B10" s="111" t="s">
        <v>64</v>
      </c>
      <c r="C10" s="116">
        <v>19.0518196155742</v>
      </c>
      <c r="D10" s="116">
        <v>15.843936193145099</v>
      </c>
      <c r="E10" s="116">
        <v>16.172989095330401</v>
      </c>
      <c r="F10" s="116">
        <v>14.5345272071997</v>
      </c>
      <c r="G10" s="116">
        <v>13.8040600953771</v>
      </c>
      <c r="H10" s="116">
        <v>12.693512773722601</v>
      </c>
      <c r="I10" s="116">
        <v>12.3975151719488</v>
      </c>
      <c r="J10" s="117">
        <v>10.950576991150401</v>
      </c>
    </row>
    <row r="11" spans="1:10" x14ac:dyDescent="0.3">
      <c r="A11" s="112" t="s">
        <v>65</v>
      </c>
      <c r="B11" s="111" t="s">
        <v>56</v>
      </c>
      <c r="C11" s="116">
        <v>18.2471497584541</v>
      </c>
      <c r="D11" s="116">
        <v>18.247171888230302</v>
      </c>
      <c r="E11" s="116">
        <v>16.786503712871301</v>
      </c>
      <c r="F11" s="116">
        <v>15.531893035783</v>
      </c>
      <c r="G11" s="116">
        <v>15.0814451382694</v>
      </c>
      <c r="H11" s="116">
        <v>14.900956521739101</v>
      </c>
      <c r="I11" s="116">
        <v>14.5580043859649</v>
      </c>
      <c r="J11" s="117">
        <v>14.313599999999999</v>
      </c>
    </row>
    <row r="12" spans="1:10" x14ac:dyDescent="0.3">
      <c r="A12" s="118" t="s">
        <v>66</v>
      </c>
      <c r="B12" s="122" t="s">
        <v>61</v>
      </c>
      <c r="C12" s="123">
        <v>5.8584070796035403</v>
      </c>
      <c r="D12" s="123">
        <v>5.8584070796035403</v>
      </c>
      <c r="E12" s="123">
        <v>5.8584070796035403</v>
      </c>
      <c r="F12" s="123">
        <v>5.8584070796035403</v>
      </c>
      <c r="G12" s="123">
        <v>5.8584070796035403</v>
      </c>
      <c r="H12" s="123">
        <v>5.8584070796035403</v>
      </c>
      <c r="I12" s="123">
        <v>5.8584070796035403</v>
      </c>
      <c r="J12" s="124">
        <v>5.8584070796035403</v>
      </c>
    </row>
    <row r="13" spans="1:10" x14ac:dyDescent="0.3">
      <c r="A13" s="118" t="s">
        <v>67</v>
      </c>
      <c r="B13" s="122" t="s">
        <v>59</v>
      </c>
      <c r="C13" s="123">
        <v>3783.1858407079599</v>
      </c>
      <c r="D13" s="123">
        <v>3783.1858407079599</v>
      </c>
      <c r="E13" s="123">
        <v>3783.1858407079599</v>
      </c>
      <c r="F13" s="123">
        <v>3783.1858407079599</v>
      </c>
      <c r="G13" s="123">
        <v>3783.1858407079599</v>
      </c>
      <c r="H13" s="123">
        <v>3783.1858407079599</v>
      </c>
      <c r="I13" s="123">
        <v>3783.1858407079599</v>
      </c>
      <c r="J13" s="124">
        <v>3783.1858407079599</v>
      </c>
    </row>
    <row r="14" spans="1:10" x14ac:dyDescent="0.3">
      <c r="A14" s="118" t="s">
        <v>68</v>
      </c>
      <c r="B14" s="122" t="s">
        <v>59</v>
      </c>
      <c r="C14" s="123">
        <v>862.83185840707904</v>
      </c>
      <c r="D14" s="123">
        <v>862.83185840707904</v>
      </c>
      <c r="E14" s="123">
        <v>862.83185840707904</v>
      </c>
      <c r="F14" s="123">
        <v>862.83185840707904</v>
      </c>
      <c r="G14" s="123">
        <v>862.83185840707904</v>
      </c>
      <c r="H14" s="123">
        <v>862.83185840707904</v>
      </c>
      <c r="I14" s="123">
        <v>862.83185840707904</v>
      </c>
      <c r="J14" s="124">
        <v>862.83185840707904</v>
      </c>
    </row>
    <row r="15" spans="1:10" x14ac:dyDescent="0.3">
      <c r="A15" s="118" t="s">
        <v>69</v>
      </c>
      <c r="B15" s="122" t="s">
        <v>61</v>
      </c>
      <c r="C15" s="123">
        <v>3.0973451327433601</v>
      </c>
      <c r="D15" s="123">
        <v>3.0973451327433601</v>
      </c>
      <c r="E15" s="123">
        <v>3.0973451327433601</v>
      </c>
      <c r="F15" s="123">
        <v>3.0973451327433601</v>
      </c>
      <c r="G15" s="123">
        <v>3.0973451327433601</v>
      </c>
      <c r="H15" s="123">
        <v>3.0973451327433601</v>
      </c>
      <c r="I15" s="123">
        <v>3.0973451327433601</v>
      </c>
      <c r="J15" s="124">
        <v>3.0973451327433601</v>
      </c>
    </row>
    <row r="16" spans="1:10" x14ac:dyDescent="0.3">
      <c r="A16" s="118" t="s">
        <v>70</v>
      </c>
      <c r="B16" s="122" t="s">
        <v>56</v>
      </c>
      <c r="C16" s="123">
        <v>1.57946902654697</v>
      </c>
      <c r="D16" s="123">
        <v>1.57946902654697</v>
      </c>
      <c r="E16" s="123">
        <v>1.57946902654697</v>
      </c>
      <c r="F16" s="123">
        <v>1.57946902654697</v>
      </c>
      <c r="G16" s="123">
        <v>1.57946902654697</v>
      </c>
      <c r="H16" s="123">
        <v>1.57946902654697</v>
      </c>
      <c r="I16" s="123">
        <v>1.57946902654697</v>
      </c>
      <c r="J16" s="124">
        <v>1.57946902654697</v>
      </c>
    </row>
    <row r="17" spans="1:10" x14ac:dyDescent="0.3">
      <c r="A17" s="118" t="s">
        <v>71</v>
      </c>
      <c r="B17" s="122" t="s">
        <v>56</v>
      </c>
      <c r="C17" s="123">
        <v>3.4053097344962802</v>
      </c>
      <c r="D17" s="123">
        <v>3.4053097344962802</v>
      </c>
      <c r="E17" s="123">
        <v>3.4053097344962802</v>
      </c>
      <c r="F17" s="123">
        <v>3.4053097344962802</v>
      </c>
      <c r="G17" s="123">
        <v>3.4053097344962802</v>
      </c>
      <c r="H17" s="123">
        <v>3.4053097344962802</v>
      </c>
      <c r="I17" s="123">
        <v>3.4053097344962802</v>
      </c>
      <c r="J17" s="124">
        <v>3.4053097344962802</v>
      </c>
    </row>
    <row r="18" spans="1:10" x14ac:dyDescent="0.3">
      <c r="A18" s="118" t="s">
        <v>72</v>
      </c>
      <c r="B18" s="122" t="s">
        <v>73</v>
      </c>
      <c r="C18" s="123">
        <v>8.3398230088410603</v>
      </c>
      <c r="D18" s="123">
        <v>8.3398230088410603</v>
      </c>
      <c r="E18" s="123">
        <v>8.3398230088410603</v>
      </c>
      <c r="F18" s="123">
        <v>8.3398230088410603</v>
      </c>
      <c r="G18" s="123">
        <v>8.3398230088410603</v>
      </c>
      <c r="H18" s="123">
        <v>8.3398230088410603</v>
      </c>
      <c r="I18" s="123">
        <v>8.3398230088410603</v>
      </c>
      <c r="J18" s="124">
        <v>8.3398230088410603</v>
      </c>
    </row>
    <row r="19" spans="1:10" x14ac:dyDescent="0.3">
      <c r="A19" s="118" t="s">
        <v>74</v>
      </c>
      <c r="B19" s="122" t="s">
        <v>56</v>
      </c>
      <c r="C19" s="123">
        <v>6.83539823008</v>
      </c>
      <c r="D19" s="123">
        <v>6.83539823008</v>
      </c>
      <c r="E19" s="123">
        <v>6.83539823008</v>
      </c>
      <c r="F19" s="123">
        <v>6.83539823008</v>
      </c>
      <c r="G19" s="123">
        <v>6.83539823008</v>
      </c>
      <c r="H19" s="123">
        <v>6.83539823008</v>
      </c>
      <c r="I19" s="123">
        <v>6.83539823008</v>
      </c>
      <c r="J19" s="124">
        <v>6.83539823008</v>
      </c>
    </row>
    <row r="20" spans="1:10" x14ac:dyDescent="0.3">
      <c r="A20" s="118" t="s">
        <v>75</v>
      </c>
      <c r="B20" s="122" t="s">
        <v>61</v>
      </c>
      <c r="C20" s="123">
        <v>5.35221238936354E-2</v>
      </c>
      <c r="D20" s="123">
        <v>5.35221238936354E-2</v>
      </c>
      <c r="E20" s="123">
        <v>5.35221238936354E-2</v>
      </c>
      <c r="F20" s="123">
        <v>5.35221238936354E-2</v>
      </c>
      <c r="G20" s="123">
        <v>5.35221238936354E-2</v>
      </c>
      <c r="H20" s="123">
        <v>5.35221238936354E-2</v>
      </c>
      <c r="I20" s="123">
        <v>5.35221238936354E-2</v>
      </c>
      <c r="J20" s="124">
        <v>5.35221238936354E-2</v>
      </c>
    </row>
    <row r="21" spans="1:10" x14ac:dyDescent="0.3">
      <c r="A21" s="118" t="s">
        <v>76</v>
      </c>
      <c r="B21" s="122" t="s">
        <v>61</v>
      </c>
      <c r="C21" s="123">
        <v>0.104424778761062</v>
      </c>
      <c r="D21" s="123">
        <v>0.104424778761062</v>
      </c>
      <c r="E21" s="123">
        <v>0.104424778761062</v>
      </c>
      <c r="F21" s="123">
        <v>0.104424778761062</v>
      </c>
      <c r="G21" s="123">
        <v>0.104424778761062</v>
      </c>
      <c r="H21" s="123">
        <v>0.104424778761062</v>
      </c>
      <c r="I21" s="123">
        <v>0.104424778761062</v>
      </c>
      <c r="J21" s="124">
        <v>0.104424778761062</v>
      </c>
    </row>
    <row r="22" spans="1:10" x14ac:dyDescent="0.3">
      <c r="A22" s="118" t="s">
        <v>77</v>
      </c>
      <c r="B22" s="122" t="s">
        <v>61</v>
      </c>
      <c r="C22" s="123">
        <v>5.7522123893805297</v>
      </c>
      <c r="D22" s="123">
        <v>5.7522123893805297</v>
      </c>
      <c r="E22" s="123">
        <v>5.7522123893805297</v>
      </c>
      <c r="F22" s="123">
        <v>5.7522123893805297</v>
      </c>
      <c r="G22" s="123">
        <v>5.7522123893805297</v>
      </c>
      <c r="H22" s="123">
        <v>5.7522123893805297</v>
      </c>
      <c r="I22" s="123">
        <v>5.7522123893805297</v>
      </c>
      <c r="J22" s="124">
        <v>5.7522123893805297</v>
      </c>
    </row>
    <row r="23" spans="1:10" x14ac:dyDescent="0.3">
      <c r="A23" s="118" t="s">
        <v>78</v>
      </c>
      <c r="B23" s="122" t="s">
        <v>61</v>
      </c>
      <c r="C23" s="123">
        <v>4.2477876106194697E-2</v>
      </c>
      <c r="D23" s="123">
        <v>4.2477876106194697E-2</v>
      </c>
      <c r="E23" s="123">
        <v>4.2477876106194697E-2</v>
      </c>
      <c r="F23" s="123">
        <v>4.2477876106194697E-2</v>
      </c>
      <c r="G23" s="123">
        <v>4.2477876106194697E-2</v>
      </c>
      <c r="H23" s="123">
        <v>4.2477876106194697E-2</v>
      </c>
      <c r="I23" s="123">
        <v>4.2477876106194697E-2</v>
      </c>
      <c r="J23" s="124">
        <v>4.2477876106194697E-2</v>
      </c>
    </row>
    <row r="24" spans="1:10" x14ac:dyDescent="0.3">
      <c r="A24" s="118" t="s">
        <v>79</v>
      </c>
      <c r="B24" s="122" t="s">
        <v>61</v>
      </c>
      <c r="C24" s="123">
        <v>34.893805309670803</v>
      </c>
      <c r="D24" s="123">
        <v>34.893805309670803</v>
      </c>
      <c r="E24" s="123">
        <v>34.893805309670803</v>
      </c>
      <c r="F24" s="123">
        <v>34.893805309670803</v>
      </c>
      <c r="G24" s="123">
        <v>34.893805309670803</v>
      </c>
      <c r="H24" s="123">
        <v>34.893805309670803</v>
      </c>
      <c r="I24" s="123">
        <v>34.893805309670803</v>
      </c>
      <c r="J24" s="124">
        <v>34.893805309670803</v>
      </c>
    </row>
    <row r="25" spans="1:10" x14ac:dyDescent="0.3">
      <c r="A25" s="125" t="s">
        <v>80</v>
      </c>
      <c r="B25" s="126" t="s">
        <v>61</v>
      </c>
      <c r="C25" s="127">
        <v>6.0176991150442498E-2</v>
      </c>
      <c r="D25" s="127">
        <v>6.0176991150442498E-2</v>
      </c>
      <c r="E25" s="127">
        <v>6.0176991150442498E-2</v>
      </c>
      <c r="F25" s="127">
        <v>6.0176991150442498E-2</v>
      </c>
      <c r="G25" s="127">
        <v>6.0176991150442498E-2</v>
      </c>
      <c r="H25" s="127">
        <v>6.0176991150442498E-2</v>
      </c>
      <c r="I25" s="127">
        <v>6.0176991150442498E-2</v>
      </c>
      <c r="J25" s="128">
        <v>6.0176991150442498E-2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6"/>
  <sheetViews>
    <sheetView tabSelected="1" topLeftCell="A22" workbookViewId="0">
      <selection activeCell="D32" sqref="D32"/>
    </sheetView>
  </sheetViews>
  <sheetFormatPr defaultColWidth="9.796875" defaultRowHeight="13.5" x14ac:dyDescent="0.3"/>
  <cols>
    <col min="1" max="1" width="13.33203125" style="69" customWidth="1"/>
    <col min="2" max="2" width="15.19921875" style="69" customWidth="1"/>
    <col min="3" max="3" width="7" style="69" customWidth="1"/>
    <col min="4" max="4" width="10.73046875" style="129" customWidth="1"/>
    <col min="5" max="5" width="15.19921875" style="130" customWidth="1"/>
    <col min="6" max="6" width="16.265625"/>
    <col min="7" max="7" width="13.73046875"/>
    <col min="8" max="9" width="15"/>
  </cols>
  <sheetData>
    <row r="1" spans="1:6" x14ac:dyDescent="0.3">
      <c r="A1" s="70" t="s">
        <v>1</v>
      </c>
    </row>
    <row r="2" spans="1:6" x14ac:dyDescent="0.3">
      <c r="A2" s="71" t="s">
        <v>22</v>
      </c>
      <c r="B2" s="72" t="s">
        <v>23</v>
      </c>
      <c r="C2" s="72" t="s">
        <v>50</v>
      </c>
      <c r="D2" s="131" t="s">
        <v>25</v>
      </c>
      <c r="E2" s="131" t="s">
        <v>81</v>
      </c>
      <c r="F2" s="73" t="s">
        <v>82</v>
      </c>
    </row>
    <row r="3" spans="1:6" x14ac:dyDescent="0.3">
      <c r="A3" s="58" t="s">
        <v>35</v>
      </c>
      <c r="B3" s="59" t="s">
        <v>36</v>
      </c>
      <c r="C3" s="59" t="s">
        <v>83</v>
      </c>
      <c r="D3" s="132">
        <v>2.2999999999999998</v>
      </c>
      <c r="E3" s="133">
        <v>8300000</v>
      </c>
      <c r="F3" s="68">
        <f>D3*E3</f>
        <v>19090000</v>
      </c>
    </row>
    <row r="4" spans="1:6" x14ac:dyDescent="0.3">
      <c r="A4" s="58" t="s">
        <v>35</v>
      </c>
      <c r="B4" s="59" t="s">
        <v>37</v>
      </c>
      <c r="C4" s="59" t="s">
        <v>83</v>
      </c>
      <c r="D4" s="132">
        <v>2.11</v>
      </c>
      <c r="E4" s="133">
        <v>3300000</v>
      </c>
      <c r="F4" s="68">
        <f>D4*E4</f>
        <v>6963000</v>
      </c>
    </row>
    <row r="5" spans="1:6" x14ac:dyDescent="0.3">
      <c r="A5" s="58" t="s">
        <v>35</v>
      </c>
      <c r="B5" s="59" t="s">
        <v>38</v>
      </c>
      <c r="C5" s="59" t="s">
        <v>83</v>
      </c>
      <c r="D5" s="132">
        <v>2.11</v>
      </c>
      <c r="E5" s="133">
        <v>6500000</v>
      </c>
      <c r="F5" s="68">
        <f t="shared" ref="F5:F13" si="0">D5*E5</f>
        <v>13715000</v>
      </c>
    </row>
    <row r="6" spans="1:6" x14ac:dyDescent="0.3">
      <c r="A6" s="58" t="s">
        <v>39</v>
      </c>
      <c r="B6" s="59" t="s">
        <v>40</v>
      </c>
      <c r="C6" s="59" t="s">
        <v>83</v>
      </c>
      <c r="D6" s="132">
        <v>2.1</v>
      </c>
      <c r="E6" s="133">
        <v>4150000</v>
      </c>
      <c r="F6" s="68">
        <f t="shared" si="0"/>
        <v>8715000</v>
      </c>
    </row>
    <row r="7" spans="1:6" x14ac:dyDescent="0.3">
      <c r="A7" s="74" t="s">
        <v>84</v>
      </c>
      <c r="B7" s="75"/>
      <c r="C7" s="75"/>
      <c r="D7" s="134"/>
      <c r="E7" s="135"/>
      <c r="F7" s="76">
        <f>SUM(F3:F6)</f>
        <v>48483000</v>
      </c>
    </row>
    <row r="8" spans="1:6" x14ac:dyDescent="0.3">
      <c r="A8" s="70" t="s">
        <v>2</v>
      </c>
    </row>
    <row r="9" spans="1:6" x14ac:dyDescent="0.3">
      <c r="A9" s="71" t="s">
        <v>22</v>
      </c>
      <c r="B9" s="72" t="s">
        <v>23</v>
      </c>
      <c r="C9" s="72" t="s">
        <v>50</v>
      </c>
      <c r="D9" s="131" t="s">
        <v>25</v>
      </c>
      <c r="E9" s="131" t="s">
        <v>81</v>
      </c>
      <c r="F9" s="73" t="s">
        <v>82</v>
      </c>
    </row>
    <row r="10" spans="1:6" x14ac:dyDescent="0.3">
      <c r="A10" s="58" t="s">
        <v>35</v>
      </c>
      <c r="B10" s="59" t="s">
        <v>36</v>
      </c>
      <c r="C10" s="59" t="s">
        <v>83</v>
      </c>
      <c r="D10" s="132">
        <v>2.0299999999999998</v>
      </c>
      <c r="E10" s="133">
        <v>6000000</v>
      </c>
      <c r="F10" s="68">
        <f t="shared" si="0"/>
        <v>12179999.999999998</v>
      </c>
    </row>
    <row r="11" spans="1:6" x14ac:dyDescent="0.3">
      <c r="A11" s="58" t="s">
        <v>35</v>
      </c>
      <c r="B11" s="59" t="s">
        <v>37</v>
      </c>
      <c r="C11" s="59" t="s">
        <v>83</v>
      </c>
      <c r="D11" s="132">
        <v>2.02</v>
      </c>
      <c r="E11" s="133">
        <v>3550000</v>
      </c>
      <c r="F11" s="68">
        <f t="shared" si="0"/>
        <v>7171000</v>
      </c>
    </row>
    <row r="12" spans="1:6" x14ac:dyDescent="0.3">
      <c r="A12" s="58" t="s">
        <v>35</v>
      </c>
      <c r="B12" s="59" t="s">
        <v>38</v>
      </c>
      <c r="C12" s="59" t="s">
        <v>83</v>
      </c>
      <c r="D12" s="132">
        <v>2.15</v>
      </c>
      <c r="E12" s="133">
        <v>5000000</v>
      </c>
      <c r="F12" s="68">
        <f t="shared" si="0"/>
        <v>10750000</v>
      </c>
    </row>
    <row r="13" spans="1:6" x14ac:dyDescent="0.3">
      <c r="A13" s="58" t="s">
        <v>39</v>
      </c>
      <c r="B13" s="59" t="s">
        <v>40</v>
      </c>
      <c r="C13" s="59" t="s">
        <v>83</v>
      </c>
      <c r="D13" s="132">
        <v>2.0499999999999998</v>
      </c>
      <c r="E13" s="133">
        <v>4300000</v>
      </c>
      <c r="F13" s="68">
        <f t="shared" si="0"/>
        <v>8815000</v>
      </c>
    </row>
    <row r="14" spans="1:6" x14ac:dyDescent="0.3">
      <c r="A14" s="74" t="s">
        <v>84</v>
      </c>
      <c r="B14" s="75"/>
      <c r="C14" s="75"/>
      <c r="D14" s="134"/>
      <c r="E14" s="135"/>
      <c r="F14" s="76">
        <f>SUM(F10:F13)</f>
        <v>38916000</v>
      </c>
    </row>
    <row r="15" spans="1:6" x14ac:dyDescent="0.3">
      <c r="A15" s="70" t="s">
        <v>3</v>
      </c>
    </row>
    <row r="16" spans="1:6" x14ac:dyDescent="0.3">
      <c r="A16" s="71" t="s">
        <v>22</v>
      </c>
      <c r="B16" s="72" t="s">
        <v>23</v>
      </c>
      <c r="C16" s="72" t="s">
        <v>50</v>
      </c>
      <c r="D16" s="131" t="s">
        <v>25</v>
      </c>
      <c r="E16" s="131" t="s">
        <v>81</v>
      </c>
      <c r="F16" s="73" t="s">
        <v>82</v>
      </c>
    </row>
    <row r="17" spans="1:6" x14ac:dyDescent="0.3">
      <c r="A17" s="58" t="s">
        <v>35</v>
      </c>
      <c r="B17" s="59" t="s">
        <v>36</v>
      </c>
      <c r="C17" s="59" t="s">
        <v>83</v>
      </c>
      <c r="D17" s="132">
        <v>2.3199999999999998</v>
      </c>
      <c r="E17" s="133">
        <v>5000000</v>
      </c>
      <c r="F17" s="68">
        <f t="shared" ref="F17:F20" si="1">D17*E17</f>
        <v>11600000</v>
      </c>
    </row>
    <row r="18" spans="1:6" x14ac:dyDescent="0.3">
      <c r="A18" s="58" t="s">
        <v>35</v>
      </c>
      <c r="B18" s="59" t="s">
        <v>37</v>
      </c>
      <c r="C18" s="59" t="s">
        <v>83</v>
      </c>
      <c r="D18" s="132">
        <v>1.9</v>
      </c>
      <c r="E18" s="133">
        <v>4000000</v>
      </c>
      <c r="F18" s="68">
        <f t="shared" si="1"/>
        <v>7600000</v>
      </c>
    </row>
    <row r="19" spans="1:6" x14ac:dyDescent="0.3">
      <c r="A19" s="58" t="s">
        <v>35</v>
      </c>
      <c r="B19" s="59" t="s">
        <v>38</v>
      </c>
      <c r="C19" s="59" t="s">
        <v>83</v>
      </c>
      <c r="D19" s="132">
        <v>2.06</v>
      </c>
      <c r="E19" s="133">
        <v>5500000</v>
      </c>
      <c r="F19" s="68">
        <f t="shared" si="1"/>
        <v>11330000</v>
      </c>
    </row>
    <row r="20" spans="1:6" x14ac:dyDescent="0.3">
      <c r="A20" s="58" t="s">
        <v>39</v>
      </c>
      <c r="B20" s="59" t="s">
        <v>40</v>
      </c>
      <c r="C20" s="59" t="s">
        <v>83</v>
      </c>
      <c r="D20" s="132">
        <v>1.76</v>
      </c>
      <c r="E20" s="133">
        <v>7500000</v>
      </c>
      <c r="F20" s="68">
        <f t="shared" si="1"/>
        <v>13200000</v>
      </c>
    </row>
    <row r="21" spans="1:6" x14ac:dyDescent="0.3">
      <c r="A21" s="74" t="s">
        <v>84</v>
      </c>
      <c r="B21" s="75"/>
      <c r="C21" s="75"/>
      <c r="D21" s="134"/>
      <c r="E21" s="135"/>
      <c r="F21" s="76">
        <f>SUM(F17:F20)</f>
        <v>43730000</v>
      </c>
    </row>
    <row r="22" spans="1:6" x14ac:dyDescent="0.3">
      <c r="A22" s="70" t="s">
        <v>4</v>
      </c>
    </row>
    <row r="23" spans="1:6" x14ac:dyDescent="0.3">
      <c r="A23" s="71" t="s">
        <v>22</v>
      </c>
      <c r="B23" s="72" t="s">
        <v>23</v>
      </c>
      <c r="C23" s="72" t="s">
        <v>50</v>
      </c>
      <c r="D23" s="131" t="s">
        <v>25</v>
      </c>
      <c r="E23" s="131" t="s">
        <v>81</v>
      </c>
      <c r="F23" s="73" t="s">
        <v>82</v>
      </c>
    </row>
    <row r="24" spans="1:6" x14ac:dyDescent="0.3">
      <c r="A24" s="58" t="s">
        <v>35</v>
      </c>
      <c r="B24" s="59" t="s">
        <v>36</v>
      </c>
      <c r="C24" s="59" t="s">
        <v>83</v>
      </c>
      <c r="D24" s="132">
        <v>2.37</v>
      </c>
      <c r="E24" s="133">
        <v>3300000</v>
      </c>
      <c r="F24" s="68">
        <f t="shared" ref="F24:F27" si="2">D24*E24</f>
        <v>7821000</v>
      </c>
    </row>
    <row r="25" spans="1:6" x14ac:dyDescent="0.3">
      <c r="A25" s="58" t="s">
        <v>35</v>
      </c>
      <c r="B25" s="59" t="s">
        <v>37</v>
      </c>
      <c r="C25" s="59" t="s">
        <v>83</v>
      </c>
      <c r="D25" s="132">
        <v>1.8</v>
      </c>
      <c r="E25" s="133">
        <v>4500000</v>
      </c>
      <c r="F25" s="68">
        <f t="shared" si="2"/>
        <v>8100000</v>
      </c>
    </row>
    <row r="26" spans="1:6" x14ac:dyDescent="0.3">
      <c r="A26" s="58" t="s">
        <v>35</v>
      </c>
      <c r="B26" s="59" t="s">
        <v>38</v>
      </c>
      <c r="C26" s="59" t="s">
        <v>83</v>
      </c>
      <c r="D26" s="132">
        <v>1.85</v>
      </c>
      <c r="E26" s="133">
        <v>7500000</v>
      </c>
      <c r="F26" s="68">
        <f t="shared" si="2"/>
        <v>13875000</v>
      </c>
    </row>
    <row r="27" spans="1:6" x14ac:dyDescent="0.3">
      <c r="A27" s="58" t="s">
        <v>39</v>
      </c>
      <c r="B27" s="59" t="s">
        <v>40</v>
      </c>
      <c r="C27" s="59" t="s">
        <v>83</v>
      </c>
      <c r="D27" s="132">
        <v>1.82</v>
      </c>
      <c r="E27" s="133">
        <v>8500000</v>
      </c>
      <c r="F27" s="68">
        <f t="shared" si="2"/>
        <v>15470000</v>
      </c>
    </row>
    <row r="28" spans="1:6" x14ac:dyDescent="0.3">
      <c r="A28" s="74" t="s">
        <v>84</v>
      </c>
      <c r="B28" s="75"/>
      <c r="C28" s="75"/>
      <c r="D28" s="134"/>
      <c r="E28" s="135"/>
      <c r="F28" s="76">
        <f>SUM(F24:F27)</f>
        <v>45266000</v>
      </c>
    </row>
    <row r="29" spans="1:6" x14ac:dyDescent="0.3">
      <c r="A29" s="70" t="s">
        <v>5</v>
      </c>
    </row>
    <row r="30" spans="1:6" x14ac:dyDescent="0.3">
      <c r="A30" s="71" t="s">
        <v>22</v>
      </c>
      <c r="B30" s="72" t="s">
        <v>23</v>
      </c>
      <c r="C30" s="72" t="s">
        <v>50</v>
      </c>
      <c r="D30" s="131" t="s">
        <v>25</v>
      </c>
      <c r="E30" s="131" t="s">
        <v>81</v>
      </c>
      <c r="F30" s="73" t="s">
        <v>82</v>
      </c>
    </row>
    <row r="31" spans="1:6" x14ac:dyDescent="0.3">
      <c r="A31" s="58" t="s">
        <v>35</v>
      </c>
      <c r="B31" s="59" t="s">
        <v>36</v>
      </c>
      <c r="C31" s="59" t="s">
        <v>83</v>
      </c>
      <c r="D31" s="132">
        <v>1.69</v>
      </c>
      <c r="E31" s="133">
        <v>8000000</v>
      </c>
      <c r="F31" s="68">
        <f t="shared" ref="F31:F34" si="3">D31*E31</f>
        <v>13520000</v>
      </c>
    </row>
    <row r="32" spans="1:6" x14ac:dyDescent="0.3">
      <c r="A32" s="58" t="s">
        <v>35</v>
      </c>
      <c r="B32" s="59" t="s">
        <v>37</v>
      </c>
      <c r="C32" s="59" t="s">
        <v>83</v>
      </c>
      <c r="D32" s="132">
        <v>1.93</v>
      </c>
      <c r="E32" s="133">
        <v>2500000</v>
      </c>
      <c r="F32" s="68">
        <f t="shared" si="3"/>
        <v>4825000</v>
      </c>
    </row>
    <row r="33" spans="1:6" x14ac:dyDescent="0.3">
      <c r="A33" s="58" t="s">
        <v>35</v>
      </c>
      <c r="B33" s="59" t="s">
        <v>38</v>
      </c>
      <c r="C33" s="59" t="s">
        <v>83</v>
      </c>
      <c r="D33" s="132">
        <v>1.7</v>
      </c>
      <c r="E33" s="133">
        <v>7000000</v>
      </c>
      <c r="F33" s="68">
        <f t="shared" si="3"/>
        <v>11900000</v>
      </c>
    </row>
    <row r="34" spans="1:6" x14ac:dyDescent="0.3">
      <c r="A34" s="58" t="s">
        <v>39</v>
      </c>
      <c r="B34" s="59" t="s">
        <v>40</v>
      </c>
      <c r="C34" s="59" t="s">
        <v>83</v>
      </c>
      <c r="D34" s="132">
        <v>1.5</v>
      </c>
      <c r="E34" s="133">
        <v>8000000</v>
      </c>
      <c r="F34" s="68">
        <f t="shared" si="3"/>
        <v>12000000</v>
      </c>
    </row>
    <row r="35" spans="1:6" x14ac:dyDescent="0.3">
      <c r="A35" s="74" t="s">
        <v>84</v>
      </c>
      <c r="B35" s="75"/>
      <c r="C35" s="75"/>
      <c r="D35" s="134"/>
      <c r="E35" s="135"/>
      <c r="F35" s="76">
        <f>SUM(F31:F34)</f>
        <v>42245000</v>
      </c>
    </row>
    <row r="36" spans="1:6" x14ac:dyDescent="0.3">
      <c r="A36" s="70" t="s">
        <v>6</v>
      </c>
    </row>
    <row r="37" spans="1:6" x14ac:dyDescent="0.3">
      <c r="A37" s="71" t="s">
        <v>22</v>
      </c>
      <c r="B37" s="72" t="s">
        <v>23</v>
      </c>
      <c r="C37" s="72" t="s">
        <v>50</v>
      </c>
      <c r="D37" s="131" t="s">
        <v>25</v>
      </c>
      <c r="E37" s="131" t="s">
        <v>81</v>
      </c>
      <c r="F37" s="73" t="s">
        <v>82</v>
      </c>
    </row>
    <row r="38" spans="1:6" x14ac:dyDescent="0.3">
      <c r="A38" s="58" t="s">
        <v>35</v>
      </c>
      <c r="B38" s="59" t="s">
        <v>36</v>
      </c>
      <c r="C38" s="59" t="s">
        <v>83</v>
      </c>
      <c r="D38" s="132">
        <v>1.75</v>
      </c>
      <c r="E38" s="133">
        <v>7800000</v>
      </c>
      <c r="F38" s="68">
        <f t="shared" ref="F38:F41" si="4">D38*E38</f>
        <v>13650000</v>
      </c>
    </row>
    <row r="39" spans="1:6" x14ac:dyDescent="0.3">
      <c r="A39" s="58" t="s">
        <v>35</v>
      </c>
      <c r="B39" s="59" t="s">
        <v>37</v>
      </c>
      <c r="C39" s="59" t="s">
        <v>83</v>
      </c>
      <c r="D39" s="132">
        <v>1.85</v>
      </c>
      <c r="E39" s="133">
        <v>4100000</v>
      </c>
      <c r="F39" s="68">
        <f t="shared" si="4"/>
        <v>7585000</v>
      </c>
    </row>
    <row r="40" spans="1:6" x14ac:dyDescent="0.3">
      <c r="A40" s="58" t="s">
        <v>35</v>
      </c>
      <c r="B40" s="59" t="s">
        <v>38</v>
      </c>
      <c r="C40" s="59" t="s">
        <v>83</v>
      </c>
      <c r="D40" s="132">
        <v>1.75</v>
      </c>
      <c r="E40" s="133">
        <v>4800000</v>
      </c>
      <c r="F40" s="68">
        <f t="shared" si="4"/>
        <v>8400000</v>
      </c>
    </row>
    <row r="41" spans="1:6" x14ac:dyDescent="0.3">
      <c r="A41" s="58" t="s">
        <v>39</v>
      </c>
      <c r="B41" s="59" t="s">
        <v>40</v>
      </c>
      <c r="C41" s="59" t="s">
        <v>83</v>
      </c>
      <c r="D41" s="132">
        <v>1.55</v>
      </c>
      <c r="E41" s="133">
        <v>6500000</v>
      </c>
      <c r="F41" s="68">
        <f t="shared" si="4"/>
        <v>10075000</v>
      </c>
    </row>
    <row r="42" spans="1:6" x14ac:dyDescent="0.3">
      <c r="A42" s="74" t="s">
        <v>84</v>
      </c>
      <c r="B42" s="75"/>
      <c r="C42" s="75"/>
      <c r="D42" s="134"/>
      <c r="E42" s="135"/>
      <c r="F42" s="76">
        <f>SUM(F38:F41)</f>
        <v>39710000</v>
      </c>
    </row>
    <row r="43" spans="1:6" x14ac:dyDescent="0.3">
      <c r="A43" s="70" t="s">
        <v>7</v>
      </c>
    </row>
    <row r="44" spans="1:6" x14ac:dyDescent="0.3">
      <c r="A44" s="71" t="s">
        <v>22</v>
      </c>
      <c r="B44" s="72" t="s">
        <v>23</v>
      </c>
      <c r="C44" s="72" t="s">
        <v>50</v>
      </c>
      <c r="D44" s="131" t="s">
        <v>25</v>
      </c>
      <c r="E44" s="131" t="s">
        <v>81</v>
      </c>
      <c r="F44" s="73" t="s">
        <v>82</v>
      </c>
    </row>
    <row r="45" spans="1:6" x14ac:dyDescent="0.3">
      <c r="A45" s="58" t="s">
        <v>35</v>
      </c>
      <c r="B45" s="59" t="s">
        <v>36</v>
      </c>
      <c r="C45" s="59" t="s">
        <v>83</v>
      </c>
      <c r="D45" s="132">
        <v>1.85</v>
      </c>
      <c r="E45" s="133">
        <v>7500000</v>
      </c>
      <c r="F45" s="68">
        <f t="shared" ref="F45:F48" si="5">D45*E45</f>
        <v>13875000</v>
      </c>
    </row>
    <row r="46" spans="1:6" x14ac:dyDescent="0.3">
      <c r="A46" s="58" t="s">
        <v>35</v>
      </c>
      <c r="B46" s="59" t="s">
        <v>37</v>
      </c>
      <c r="C46" s="59" t="s">
        <v>83</v>
      </c>
      <c r="D46" s="132">
        <v>1.7</v>
      </c>
      <c r="E46" s="133">
        <v>4200000</v>
      </c>
      <c r="F46" s="68">
        <f t="shared" si="5"/>
        <v>7140000</v>
      </c>
    </row>
    <row r="47" spans="1:6" x14ac:dyDescent="0.3">
      <c r="A47" s="58" t="s">
        <v>35</v>
      </c>
      <c r="B47" s="59" t="s">
        <v>38</v>
      </c>
      <c r="C47" s="59" t="s">
        <v>83</v>
      </c>
      <c r="D47" s="132">
        <v>1.7</v>
      </c>
      <c r="E47" s="133">
        <v>4200000</v>
      </c>
      <c r="F47" s="68">
        <f t="shared" si="5"/>
        <v>7140000</v>
      </c>
    </row>
    <row r="48" spans="1:6" x14ac:dyDescent="0.3">
      <c r="A48" s="58" t="s">
        <v>39</v>
      </c>
      <c r="B48" s="59" t="s">
        <v>40</v>
      </c>
      <c r="C48" s="59" t="s">
        <v>83</v>
      </c>
      <c r="D48" s="132">
        <v>1.55</v>
      </c>
      <c r="E48" s="133">
        <v>7050000</v>
      </c>
      <c r="F48" s="68">
        <f t="shared" si="5"/>
        <v>10927500</v>
      </c>
    </row>
    <row r="49" spans="1:6" x14ac:dyDescent="0.3">
      <c r="A49" s="74" t="s">
        <v>84</v>
      </c>
      <c r="B49" s="75"/>
      <c r="C49" s="75"/>
      <c r="D49" s="134"/>
      <c r="E49" s="135"/>
      <c r="F49" s="76">
        <f>SUM(F45:F48)</f>
        <v>39082500</v>
      </c>
    </row>
    <row r="50" spans="1:6" x14ac:dyDescent="0.3">
      <c r="A50" s="70" t="s">
        <v>8</v>
      </c>
    </row>
    <row r="51" spans="1:6" x14ac:dyDescent="0.3">
      <c r="A51" s="71" t="s">
        <v>22</v>
      </c>
      <c r="B51" s="72" t="s">
        <v>23</v>
      </c>
      <c r="C51" s="72" t="s">
        <v>50</v>
      </c>
      <c r="D51" s="131" t="s">
        <v>25</v>
      </c>
      <c r="E51" s="131" t="s">
        <v>81</v>
      </c>
      <c r="F51" s="73" t="s">
        <v>82</v>
      </c>
    </row>
    <row r="52" spans="1:6" x14ac:dyDescent="0.3">
      <c r="A52" s="58" t="s">
        <v>35</v>
      </c>
      <c r="B52" s="59" t="s">
        <v>36</v>
      </c>
      <c r="C52" s="59" t="s">
        <v>83</v>
      </c>
      <c r="D52" s="132">
        <v>1.71</v>
      </c>
      <c r="E52" s="133">
        <v>7600000</v>
      </c>
      <c r="F52" s="68">
        <f t="shared" ref="F52:F55" si="6">D52*E52</f>
        <v>12996000</v>
      </c>
    </row>
    <row r="53" spans="1:6" x14ac:dyDescent="0.3">
      <c r="A53" s="58" t="s">
        <v>35</v>
      </c>
      <c r="B53" s="59" t="s">
        <v>37</v>
      </c>
      <c r="C53" s="59" t="s">
        <v>83</v>
      </c>
      <c r="D53" s="132">
        <v>1.65</v>
      </c>
      <c r="E53" s="133">
        <v>4500000</v>
      </c>
      <c r="F53" s="68">
        <f t="shared" si="6"/>
        <v>7425000</v>
      </c>
    </row>
    <row r="54" spans="1:6" x14ac:dyDescent="0.3">
      <c r="A54" s="58" t="s">
        <v>35</v>
      </c>
      <c r="B54" s="59" t="s">
        <v>38</v>
      </c>
      <c r="C54" s="59" t="s">
        <v>83</v>
      </c>
      <c r="D54" s="132">
        <v>1.6</v>
      </c>
      <c r="E54" s="133">
        <v>8800000</v>
      </c>
      <c r="F54" s="68">
        <f t="shared" si="6"/>
        <v>14080000</v>
      </c>
    </row>
    <row r="55" spans="1:6" x14ac:dyDescent="0.3">
      <c r="A55" s="58" t="s">
        <v>39</v>
      </c>
      <c r="B55" s="59" t="s">
        <v>40</v>
      </c>
      <c r="C55" s="59" t="s">
        <v>83</v>
      </c>
      <c r="D55" s="132">
        <v>1.35</v>
      </c>
      <c r="E55" s="133">
        <v>8250000</v>
      </c>
      <c r="F55" s="68">
        <f t="shared" si="6"/>
        <v>11137500</v>
      </c>
    </row>
    <row r="56" spans="1:6" x14ac:dyDescent="0.3">
      <c r="A56" s="74" t="s">
        <v>84</v>
      </c>
      <c r="B56" s="75"/>
      <c r="C56" s="75"/>
      <c r="D56" s="134"/>
      <c r="E56" s="135"/>
      <c r="F56" s="76">
        <f>SUM(F52:F55)</f>
        <v>45638500</v>
      </c>
    </row>
  </sheetData>
  <phoneticPr fontId="15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5"/>
  <sheetViews>
    <sheetView zoomScale="80" zoomScaleNormal="80" workbookViewId="0">
      <pane xSplit="4" topLeftCell="E1" activePane="topRight" state="frozen"/>
      <selection pane="topRight" activeCell="F3" sqref="F3"/>
    </sheetView>
  </sheetViews>
  <sheetFormatPr defaultColWidth="8.73046875" defaultRowHeight="13.5" x14ac:dyDescent="0.3"/>
  <cols>
    <col min="1" max="1" width="15.73046875" customWidth="1"/>
    <col min="2" max="2" width="12.9296875" customWidth="1"/>
    <col min="3" max="4" width="18.9296875" customWidth="1"/>
    <col min="5" max="5" width="15.265625" customWidth="1"/>
    <col min="6" max="13" width="18.53125" customWidth="1"/>
  </cols>
  <sheetData>
    <row r="1" spans="1:13" ht="20.25" x14ac:dyDescent="0.3">
      <c r="A1" s="43" t="s">
        <v>1</v>
      </c>
    </row>
    <row r="2" spans="1:13" ht="38.25" x14ac:dyDescent="0.3">
      <c r="A2" s="2" t="s">
        <v>85</v>
      </c>
      <c r="B2" s="44" t="s">
        <v>86</v>
      </c>
      <c r="C2" s="44" t="s">
        <v>87</v>
      </c>
      <c r="D2" s="44" t="s">
        <v>50</v>
      </c>
      <c r="E2" s="44" t="s">
        <v>88</v>
      </c>
      <c r="F2" s="54" t="s">
        <v>89</v>
      </c>
      <c r="G2" s="54" t="s">
        <v>186</v>
      </c>
      <c r="H2" s="54" t="s">
        <v>91</v>
      </c>
      <c r="I2" s="54" t="s">
        <v>187</v>
      </c>
      <c r="J2" s="54" t="s">
        <v>93</v>
      </c>
      <c r="K2" s="54" t="s">
        <v>188</v>
      </c>
      <c r="L2" s="54" t="s">
        <v>95</v>
      </c>
      <c r="M2" s="66" t="s">
        <v>189</v>
      </c>
    </row>
    <row r="3" spans="1:13" ht="28.05" customHeight="1" x14ac:dyDescent="0.3">
      <c r="A3" s="55" t="s">
        <v>97</v>
      </c>
      <c r="B3" s="56">
        <v>1</v>
      </c>
      <c r="C3" s="56" t="s">
        <v>98</v>
      </c>
      <c r="D3" s="56" t="s">
        <v>99</v>
      </c>
      <c r="E3" s="56"/>
      <c r="F3" s="57">
        <f>硅料单耗计算!H3*10000</f>
        <v>144.06698716928267</v>
      </c>
      <c r="G3" s="57">
        <f>硅料单耗计算!D3*F3</f>
        <v>15847.368588621093</v>
      </c>
      <c r="H3" s="57">
        <f>硅料单耗计算!H4*10000</f>
        <v>189.81899028881853</v>
      </c>
      <c r="I3" s="57">
        <f>硅料单耗计算!D4*H3</f>
        <v>20880.088931770038</v>
      </c>
      <c r="J3" s="57">
        <f>+硅料单耗计算!H5*10000</f>
        <v>164.31839639770496</v>
      </c>
      <c r="K3" s="57">
        <f>硅料单耗计算!D5*J3</f>
        <v>18075.023603747544</v>
      </c>
      <c r="L3" s="57">
        <f>硅料单耗计算!H6*10000</f>
        <v>212.89091176038764</v>
      </c>
      <c r="M3" s="67">
        <f>硅料单耗计算!D6*L3</f>
        <v>20224.636617236825</v>
      </c>
    </row>
    <row r="4" spans="1:13" x14ac:dyDescent="0.3">
      <c r="A4" s="58" t="s">
        <v>100</v>
      </c>
      <c r="B4" s="59">
        <v>2</v>
      </c>
      <c r="C4" s="59" t="s">
        <v>51</v>
      </c>
      <c r="D4" s="59" t="s">
        <v>52</v>
      </c>
      <c r="E4" s="59"/>
      <c r="F4" s="57">
        <v>400</v>
      </c>
      <c r="G4" s="57">
        <f>F4*耗材价格!C3</f>
        <v>253.93680720094079</v>
      </c>
      <c r="H4" s="57">
        <v>536.67999999999995</v>
      </c>
      <c r="I4" s="57">
        <f>H4*耗材价格!C3</f>
        <v>340.70701422150222</v>
      </c>
      <c r="J4" s="57">
        <v>520.4</v>
      </c>
      <c r="K4" s="57">
        <f>J4*耗材价格!C3</f>
        <v>330.37178616842397</v>
      </c>
      <c r="L4" s="57">
        <v>520.4</v>
      </c>
      <c r="M4" s="67">
        <f>L4*耗材价格!C3</f>
        <v>330.37178616842397</v>
      </c>
    </row>
    <row r="5" spans="1:13" x14ac:dyDescent="0.3">
      <c r="A5" s="102" t="s">
        <v>101</v>
      </c>
      <c r="B5" s="59">
        <v>3</v>
      </c>
      <c r="C5" s="59" t="s">
        <v>55</v>
      </c>
      <c r="D5" s="56" t="s">
        <v>56</v>
      </c>
      <c r="E5" s="59"/>
      <c r="F5" s="57">
        <v>0.158</v>
      </c>
      <c r="G5" s="57">
        <f>F5*耗材价格!C5</f>
        <v>5.0671858406945356</v>
      </c>
      <c r="H5" s="57">
        <v>0.18</v>
      </c>
      <c r="I5" s="57">
        <f>H5*耗材价格!C5</f>
        <v>5.7727433628165592</v>
      </c>
      <c r="J5" s="57">
        <v>0.158</v>
      </c>
      <c r="K5" s="57">
        <f>J5*耗材价格!C5</f>
        <v>5.0671858406945356</v>
      </c>
      <c r="L5" s="57">
        <v>0.158</v>
      </c>
      <c r="M5" s="67">
        <f>L5*耗材价格!C5</f>
        <v>5.0671858406945356</v>
      </c>
    </row>
    <row r="6" spans="1:13" x14ac:dyDescent="0.3">
      <c r="A6" s="103"/>
      <c r="B6" s="59">
        <v>4</v>
      </c>
      <c r="C6" s="59" t="s">
        <v>57</v>
      </c>
      <c r="D6" s="56" t="s">
        <v>56</v>
      </c>
      <c r="E6" s="59"/>
      <c r="F6" s="57">
        <v>0.14399999999999999</v>
      </c>
      <c r="G6" s="57">
        <f>F6*耗材价格!C6</f>
        <v>7.7861946902349013</v>
      </c>
      <c r="H6" s="57">
        <v>0.2</v>
      </c>
      <c r="I6" s="57">
        <f>H6*耗材价格!C6</f>
        <v>10.814159291992921</v>
      </c>
      <c r="J6" s="57">
        <v>0.14399999999999999</v>
      </c>
      <c r="K6" s="57">
        <f>J6*耗材价格!C6</f>
        <v>7.7861946902349013</v>
      </c>
      <c r="L6" s="57">
        <v>0.14399999999999999</v>
      </c>
      <c r="M6" s="67">
        <f>L6*耗材价格!C6</f>
        <v>7.7861946902349013</v>
      </c>
    </row>
    <row r="7" spans="1:13" ht="25.5" x14ac:dyDescent="0.3">
      <c r="A7" s="103"/>
      <c r="B7" s="59">
        <v>5</v>
      </c>
      <c r="C7" s="56" t="s">
        <v>58</v>
      </c>
      <c r="D7" s="56" t="s">
        <v>59</v>
      </c>
      <c r="E7" s="60" t="s">
        <v>102</v>
      </c>
      <c r="F7" s="57"/>
      <c r="G7" s="57">
        <f>F7*耗材价格!C7</f>
        <v>0</v>
      </c>
      <c r="H7" s="57"/>
      <c r="I7" s="57">
        <f>H7*耗材价格!C7</f>
        <v>0</v>
      </c>
      <c r="J7" s="57"/>
      <c r="K7" s="57">
        <f>J7*耗材价格!C7</f>
        <v>0</v>
      </c>
      <c r="L7" s="57"/>
      <c r="M7" s="67">
        <f>L7*耗材价格!C7</f>
        <v>0</v>
      </c>
    </row>
    <row r="8" spans="1:13" x14ac:dyDescent="0.3">
      <c r="A8" s="103"/>
      <c r="B8" s="59">
        <v>6</v>
      </c>
      <c r="C8" s="59" t="s">
        <v>60</v>
      </c>
      <c r="D8" s="56" t="s">
        <v>61</v>
      </c>
      <c r="E8" s="59"/>
      <c r="F8" s="57">
        <v>2.2530000000000001</v>
      </c>
      <c r="G8" s="57">
        <f>F8*耗材价格!C8</f>
        <v>33.89469026548668</v>
      </c>
      <c r="H8" s="57">
        <v>2.5640000000000001</v>
      </c>
      <c r="I8" s="57">
        <f>H8*耗材价格!C8</f>
        <v>38.573451327433581</v>
      </c>
      <c r="J8" s="57">
        <v>2.2530000000000001</v>
      </c>
      <c r="K8" s="57">
        <f>J8*耗材价格!C8</f>
        <v>33.89469026548668</v>
      </c>
      <c r="L8" s="57">
        <v>2.2530000000000001</v>
      </c>
      <c r="M8" s="67">
        <f>L8*耗材价格!C8</f>
        <v>33.89469026548668</v>
      </c>
    </row>
    <row r="9" spans="1:13" ht="25.5" x14ac:dyDescent="0.3">
      <c r="A9" s="104"/>
      <c r="B9" s="59">
        <v>7</v>
      </c>
      <c r="C9" s="56" t="s">
        <v>62</v>
      </c>
      <c r="D9" s="56" t="s">
        <v>59</v>
      </c>
      <c r="E9" s="60" t="s">
        <v>102</v>
      </c>
      <c r="F9" s="57"/>
      <c r="G9" s="57">
        <f>F9*耗材价格!C9</f>
        <v>0</v>
      </c>
      <c r="H9" s="57">
        <v>0.27750596293804702</v>
      </c>
      <c r="I9" s="57">
        <f>H9*耗材价格!C9</f>
        <v>2.3389086646188457</v>
      </c>
      <c r="J9" s="57">
        <v>0.27750596293804702</v>
      </c>
      <c r="K9" s="57">
        <f>J9*耗材价格!C9</f>
        <v>2.3389086646188457</v>
      </c>
      <c r="L9" s="57">
        <v>0.27750596293804702</v>
      </c>
      <c r="M9" s="67">
        <f>L9*耗材价格!C9</f>
        <v>2.3389086646188457</v>
      </c>
    </row>
    <row r="10" spans="1:13" x14ac:dyDescent="0.3">
      <c r="A10" s="102" t="s">
        <v>103</v>
      </c>
      <c r="B10" s="59">
        <v>8</v>
      </c>
      <c r="C10" s="59" t="s">
        <v>63</v>
      </c>
      <c r="D10" s="56" t="s">
        <v>64</v>
      </c>
      <c r="E10" s="61"/>
      <c r="F10" s="57">
        <v>34.965184239624598</v>
      </c>
      <c r="G10" s="57">
        <f>F10*耗材价格!C10</f>
        <v>666.15038295864576</v>
      </c>
      <c r="H10" s="57">
        <v>50</v>
      </c>
      <c r="I10" s="57">
        <f>H10*耗材价格!C10</f>
        <v>952.59098077870999</v>
      </c>
      <c r="J10" s="57">
        <v>43</v>
      </c>
      <c r="K10" s="57">
        <f>J10*耗材价格!C10</f>
        <v>819.2282434696906</v>
      </c>
      <c r="L10" s="57">
        <v>47.739268121041498</v>
      </c>
      <c r="M10" s="67">
        <f>L10*耗材价格!C10</f>
        <v>909.5199248216145</v>
      </c>
    </row>
    <row r="11" spans="1:13" x14ac:dyDescent="0.3">
      <c r="A11" s="103"/>
      <c r="B11" s="59">
        <v>9</v>
      </c>
      <c r="C11" s="59" t="s">
        <v>65</v>
      </c>
      <c r="D11" s="56" t="s">
        <v>56</v>
      </c>
      <c r="E11" s="61"/>
      <c r="F11" s="57">
        <v>8.1119227435929204</v>
      </c>
      <c r="G11" s="57">
        <f>F11*耗材价格!C11</f>
        <v>148.01946913134987</v>
      </c>
      <c r="H11" s="57">
        <v>13.9418112244898</v>
      </c>
      <c r="I11" s="57">
        <f>H11*耗材价格!C11</f>
        <v>254.39831731736172</v>
      </c>
      <c r="J11" s="57">
        <v>8.1119227435929204</v>
      </c>
      <c r="K11" s="57">
        <f>J11*耗材价格!C11</f>
        <v>148.01946913134987</v>
      </c>
      <c r="L11" s="57">
        <v>8.1119227435929204</v>
      </c>
      <c r="M11" s="67">
        <f>L11*耗材价格!C11</f>
        <v>148.01946913134987</v>
      </c>
    </row>
    <row r="12" spans="1:13" x14ac:dyDescent="0.3">
      <c r="A12" s="103"/>
      <c r="B12" s="59">
        <v>10</v>
      </c>
      <c r="C12" s="59" t="s">
        <v>66</v>
      </c>
      <c r="D12" s="56" t="s">
        <v>61</v>
      </c>
      <c r="E12" s="61"/>
      <c r="F12" s="57">
        <v>0.27</v>
      </c>
      <c r="G12" s="57">
        <f>F12*耗材价格!C12</f>
        <v>1.581769911492956</v>
      </c>
      <c r="H12" s="57">
        <v>0.308</v>
      </c>
      <c r="I12" s="57">
        <f>H12*耗材价格!C12</f>
        <v>1.8043893805178903</v>
      </c>
      <c r="J12" s="57">
        <v>0.27</v>
      </c>
      <c r="K12" s="57">
        <f>J12*耗材价格!C12</f>
        <v>1.581769911492956</v>
      </c>
      <c r="L12" s="57">
        <v>0.27</v>
      </c>
      <c r="M12" s="67">
        <f>L12*耗材价格!C12</f>
        <v>1.581769911492956</v>
      </c>
    </row>
    <row r="13" spans="1:13" ht="25.5" x14ac:dyDescent="0.3">
      <c r="A13" s="103"/>
      <c r="B13" s="59">
        <v>11</v>
      </c>
      <c r="C13" s="56" t="s">
        <v>67</v>
      </c>
      <c r="D13" s="56" t="s">
        <v>59</v>
      </c>
      <c r="E13" s="60" t="s">
        <v>102</v>
      </c>
      <c r="F13" s="62"/>
      <c r="G13" s="57">
        <f>F13*耗材价格!C13</f>
        <v>0</v>
      </c>
      <c r="H13" s="62"/>
      <c r="I13" s="57">
        <f>H13*耗材价格!C13</f>
        <v>0</v>
      </c>
      <c r="J13" s="62"/>
      <c r="K13" s="57">
        <f>J13*耗材价格!C13</f>
        <v>0</v>
      </c>
      <c r="L13" s="62"/>
      <c r="M13" s="67">
        <f>L13*耗材价格!C13</f>
        <v>0</v>
      </c>
    </row>
    <row r="14" spans="1:13" ht="25.5" x14ac:dyDescent="0.3">
      <c r="A14" s="103"/>
      <c r="B14" s="59">
        <v>12</v>
      </c>
      <c r="C14" s="56" t="s">
        <v>68</v>
      </c>
      <c r="D14" s="56" t="s">
        <v>59</v>
      </c>
      <c r="E14" s="60" t="s">
        <v>102</v>
      </c>
      <c r="F14" s="62"/>
      <c r="G14" s="57">
        <f>F14*耗材价格!C14</f>
        <v>0</v>
      </c>
      <c r="H14" s="62"/>
      <c r="I14" s="57">
        <f>H14*耗材价格!C14</f>
        <v>0</v>
      </c>
      <c r="J14" s="62"/>
      <c r="K14" s="57">
        <f>J14*耗材价格!C14</f>
        <v>0</v>
      </c>
      <c r="L14" s="62"/>
      <c r="M14" s="67">
        <f>L14*耗材价格!C14</f>
        <v>0</v>
      </c>
    </row>
    <row r="15" spans="1:13" x14ac:dyDescent="0.3">
      <c r="A15" s="104"/>
      <c r="B15" s="59">
        <v>13</v>
      </c>
      <c r="C15" s="59" t="s">
        <v>69</v>
      </c>
      <c r="D15" s="56" t="s">
        <v>61</v>
      </c>
      <c r="E15" s="61"/>
      <c r="F15" s="57">
        <v>0.45100000000000001</v>
      </c>
      <c r="G15" s="57">
        <f>F15*耗材价格!C15</f>
        <v>1.3969026548672554</v>
      </c>
      <c r="H15" s="57">
        <v>0.51300000000000001</v>
      </c>
      <c r="I15" s="57">
        <f>H15*耗材价格!C15</f>
        <v>1.5889380530973438</v>
      </c>
      <c r="J15" s="57">
        <v>0.45100000000000001</v>
      </c>
      <c r="K15" s="57">
        <f>J15*耗材价格!C15</f>
        <v>1.3969026548672554</v>
      </c>
      <c r="L15" s="57">
        <v>0.45100000000000001</v>
      </c>
      <c r="M15" s="67">
        <f>L15*耗材价格!C15</f>
        <v>1.3969026548672554</v>
      </c>
    </row>
    <row r="16" spans="1:13" x14ac:dyDescent="0.3">
      <c r="A16" s="102" t="s">
        <v>104</v>
      </c>
      <c r="B16" s="59">
        <v>14</v>
      </c>
      <c r="C16" s="59" t="s">
        <v>70</v>
      </c>
      <c r="D16" s="56" t="s">
        <v>56</v>
      </c>
      <c r="E16" s="61"/>
      <c r="F16" s="57">
        <v>2.1259999999999999</v>
      </c>
      <c r="G16" s="57">
        <f>F16*耗材价格!C16</f>
        <v>3.3579511504388582</v>
      </c>
      <c r="H16" s="57">
        <v>2.258</v>
      </c>
      <c r="I16" s="57">
        <f>H16*耗材价格!C16</f>
        <v>3.566441061943058</v>
      </c>
      <c r="J16" s="57">
        <v>2.1259999999999999</v>
      </c>
      <c r="K16" s="57">
        <f>J16*耗材价格!C16</f>
        <v>3.3579511504388582</v>
      </c>
      <c r="L16" s="57">
        <v>2.258</v>
      </c>
      <c r="M16" s="67">
        <f>L16*耗材价格!C16</f>
        <v>3.566441061943058</v>
      </c>
    </row>
    <row r="17" spans="1:13" x14ac:dyDescent="0.3">
      <c r="A17" s="103"/>
      <c r="B17" s="59">
        <v>15</v>
      </c>
      <c r="C17" s="59" t="s">
        <v>71</v>
      </c>
      <c r="D17" s="56" t="s">
        <v>56</v>
      </c>
      <c r="E17" s="61"/>
      <c r="F17" s="57">
        <v>6.0709999999999997</v>
      </c>
      <c r="G17" s="57">
        <f>F17*耗材价格!C17</f>
        <v>20.673635398126915</v>
      </c>
      <c r="H17" s="57">
        <v>7.843</v>
      </c>
      <c r="I17" s="57">
        <f>H17*耗材价格!C17</f>
        <v>26.707844247654325</v>
      </c>
      <c r="J17" s="57">
        <v>6.0709999999999997</v>
      </c>
      <c r="K17" s="57">
        <f>J17*耗材价格!C17</f>
        <v>20.673635398126915</v>
      </c>
      <c r="L17" s="57">
        <v>6.0709999999999997</v>
      </c>
      <c r="M17" s="67">
        <f>L17*耗材价格!C17</f>
        <v>20.673635398126915</v>
      </c>
    </row>
    <row r="18" spans="1:13" x14ac:dyDescent="0.3">
      <c r="A18" s="103"/>
      <c r="B18" s="59">
        <v>16</v>
      </c>
      <c r="C18" s="59" t="s">
        <v>72</v>
      </c>
      <c r="D18" s="56" t="s">
        <v>73</v>
      </c>
      <c r="E18" s="61"/>
      <c r="F18" s="57">
        <v>4.2999999999999997E-2</v>
      </c>
      <c r="G18" s="57">
        <f>F18*耗材价格!C18</f>
        <v>0.35861238938016554</v>
      </c>
      <c r="H18" s="57">
        <v>4.4999999999999998E-2</v>
      </c>
      <c r="I18" s="57">
        <f>H18*耗材价格!C18</f>
        <v>0.37529203539784772</v>
      </c>
      <c r="J18" s="57">
        <v>4.2999999999999997E-2</v>
      </c>
      <c r="K18" s="57">
        <f>J18*耗材价格!C18</f>
        <v>0.35861238938016554</v>
      </c>
      <c r="L18" s="57">
        <v>4.4999999999999998E-2</v>
      </c>
      <c r="M18" s="67">
        <f>L18*耗材价格!C18</f>
        <v>0.37529203539784772</v>
      </c>
    </row>
    <row r="19" spans="1:13" x14ac:dyDescent="0.3">
      <c r="A19" s="104"/>
      <c r="B19" s="59">
        <v>17</v>
      </c>
      <c r="C19" s="59" t="s">
        <v>74</v>
      </c>
      <c r="D19" s="56" t="s">
        <v>56</v>
      </c>
      <c r="E19" s="61"/>
      <c r="F19" s="57">
        <v>0.84499999999999997</v>
      </c>
      <c r="G19" s="57">
        <f>F19*耗材价格!C19</f>
        <v>5.7759115044175999</v>
      </c>
      <c r="H19" s="57">
        <v>0.96099999999999997</v>
      </c>
      <c r="I19" s="57">
        <f>H19*耗材价格!C19</f>
        <v>6.5688176991068801</v>
      </c>
      <c r="J19" s="57">
        <v>0.84499999999999997</v>
      </c>
      <c r="K19" s="57">
        <f>J19*耗材价格!C19</f>
        <v>5.7759115044175999</v>
      </c>
      <c r="L19" s="57">
        <v>0.84499999999999997</v>
      </c>
      <c r="M19" s="67">
        <f>L19*耗材价格!C19</f>
        <v>5.7759115044175999</v>
      </c>
    </row>
    <row r="20" spans="1:13" x14ac:dyDescent="0.3">
      <c r="A20" s="102" t="s">
        <v>105</v>
      </c>
      <c r="B20" s="59">
        <v>18</v>
      </c>
      <c r="C20" s="59" t="s">
        <v>75</v>
      </c>
      <c r="D20" s="56" t="s">
        <v>61</v>
      </c>
      <c r="E20" s="61"/>
      <c r="F20" s="57">
        <v>57.14</v>
      </c>
      <c r="G20" s="57">
        <f>F20*耗材价格!C20</f>
        <v>3.0582541592823267</v>
      </c>
      <c r="H20" s="57">
        <v>100</v>
      </c>
      <c r="I20" s="57">
        <f>H20*耗材价格!C20</f>
        <v>5.3522123893635403</v>
      </c>
      <c r="J20" s="57">
        <v>57.14</v>
      </c>
      <c r="K20" s="57">
        <f>J20*耗材价格!C20</f>
        <v>3.0582541592823267</v>
      </c>
      <c r="L20" s="57">
        <v>57.14</v>
      </c>
      <c r="M20" s="67">
        <f>L20*耗材价格!C20</f>
        <v>3.0582541592823267</v>
      </c>
    </row>
    <row r="21" spans="1:13" x14ac:dyDescent="0.3">
      <c r="A21" s="103"/>
      <c r="B21" s="59">
        <v>19</v>
      </c>
      <c r="C21" s="59" t="s">
        <v>76</v>
      </c>
      <c r="D21" s="56" t="s">
        <v>61</v>
      </c>
      <c r="E21" s="61"/>
      <c r="F21" s="57">
        <v>28.57</v>
      </c>
      <c r="G21" s="57">
        <f>F21*耗材价格!C21</f>
        <v>2.9834159292035416</v>
      </c>
      <c r="H21" s="57">
        <v>33.33</v>
      </c>
      <c r="I21" s="57">
        <f>H21*耗材价格!C21</f>
        <v>3.4804778761061965</v>
      </c>
      <c r="J21" s="57">
        <v>28.57</v>
      </c>
      <c r="K21" s="57">
        <f>J21*耗材价格!C21</f>
        <v>2.9834159292035416</v>
      </c>
      <c r="L21" s="57">
        <v>33.33</v>
      </c>
      <c r="M21" s="67">
        <f>L21*耗材价格!C21</f>
        <v>3.4804778761061965</v>
      </c>
    </row>
    <row r="22" spans="1:13" x14ac:dyDescent="0.3">
      <c r="A22" s="103"/>
      <c r="B22" s="59">
        <v>20</v>
      </c>
      <c r="C22" s="59" t="s">
        <v>77</v>
      </c>
      <c r="D22" s="56" t="s">
        <v>61</v>
      </c>
      <c r="E22" s="61"/>
      <c r="F22" s="57">
        <v>3.57</v>
      </c>
      <c r="G22" s="57">
        <f>F22*耗材价格!C22</f>
        <v>20.535398230088489</v>
      </c>
      <c r="H22" s="57">
        <v>4.17</v>
      </c>
      <c r="I22" s="57">
        <f>H22*耗材价格!C22</f>
        <v>23.986725663716808</v>
      </c>
      <c r="J22" s="57">
        <v>3.57</v>
      </c>
      <c r="K22" s="57">
        <f>J22*耗材价格!C22</f>
        <v>20.535398230088489</v>
      </c>
      <c r="L22" s="57">
        <v>3.57</v>
      </c>
      <c r="M22" s="67">
        <f>L22*耗材价格!C22</f>
        <v>20.535398230088489</v>
      </c>
    </row>
    <row r="23" spans="1:13" x14ac:dyDescent="0.3">
      <c r="A23" s="103"/>
      <c r="B23" s="59">
        <v>21</v>
      </c>
      <c r="C23" s="59" t="s">
        <v>78</v>
      </c>
      <c r="D23" s="56" t="s">
        <v>61</v>
      </c>
      <c r="E23" s="61"/>
      <c r="F23" s="57">
        <v>114</v>
      </c>
      <c r="G23" s="57">
        <f>F23*耗材价格!C23</f>
        <v>4.8424778761061953</v>
      </c>
      <c r="H23" s="57">
        <v>200</v>
      </c>
      <c r="I23" s="57">
        <f>H23*耗材价格!C23</f>
        <v>8.4955752212389388</v>
      </c>
      <c r="J23" s="57">
        <v>114</v>
      </c>
      <c r="K23" s="57">
        <f>J23*耗材价格!C23</f>
        <v>4.8424778761061953</v>
      </c>
      <c r="L23" s="57">
        <v>114</v>
      </c>
      <c r="M23" s="67">
        <f>L23*耗材价格!C23</f>
        <v>4.8424778761061953</v>
      </c>
    </row>
    <row r="24" spans="1:13" x14ac:dyDescent="0.3">
      <c r="A24" s="103"/>
      <c r="B24" s="59">
        <v>22</v>
      </c>
      <c r="C24" s="59" t="s">
        <v>79</v>
      </c>
      <c r="D24" s="56" t="s">
        <v>61</v>
      </c>
      <c r="E24" s="61"/>
      <c r="F24" s="57">
        <v>0.15</v>
      </c>
      <c r="G24" s="57">
        <f>F24*耗材价格!C24</f>
        <v>5.2340707964506201</v>
      </c>
      <c r="H24" s="57">
        <v>0.17</v>
      </c>
      <c r="I24" s="57">
        <f>H24*耗材价格!C24</f>
        <v>5.9319469026440368</v>
      </c>
      <c r="J24" s="57">
        <v>0.15</v>
      </c>
      <c r="K24" s="57">
        <f>J24*耗材价格!C24</f>
        <v>5.2340707964506201</v>
      </c>
      <c r="L24" s="57">
        <v>0.15</v>
      </c>
      <c r="M24" s="67">
        <f>L24*耗材价格!C24</f>
        <v>5.2340707964506201</v>
      </c>
    </row>
    <row r="25" spans="1:13" x14ac:dyDescent="0.3">
      <c r="A25" s="104"/>
      <c r="B25" s="59">
        <v>23</v>
      </c>
      <c r="C25" s="59" t="s">
        <v>80</v>
      </c>
      <c r="D25" s="56" t="s">
        <v>61</v>
      </c>
      <c r="E25" s="61"/>
      <c r="F25" s="57">
        <v>86</v>
      </c>
      <c r="G25" s="57">
        <f>F25*耗材价格!C25</f>
        <v>5.1752212389380547</v>
      </c>
      <c r="H25" s="57">
        <v>101</v>
      </c>
      <c r="I25" s="57">
        <f>H25*耗材价格!C25</f>
        <v>6.077876106194692</v>
      </c>
      <c r="J25" s="57">
        <v>86</v>
      </c>
      <c r="K25" s="57">
        <f>J25*耗材价格!C25</f>
        <v>5.1752212389380547</v>
      </c>
      <c r="L25" s="57">
        <v>101</v>
      </c>
      <c r="M25" s="67">
        <f>L25*耗材价格!C25</f>
        <v>6.077876106194692</v>
      </c>
    </row>
    <row r="26" spans="1:13" x14ac:dyDescent="0.3">
      <c r="A26" s="63" t="s">
        <v>190</v>
      </c>
      <c r="B26" s="59"/>
      <c r="C26" s="59"/>
      <c r="D26" s="56"/>
      <c r="E26" s="61"/>
      <c r="F26" s="57"/>
      <c r="G26" s="57">
        <f>SUM(G3:G25)</f>
        <v>17037.196939947236</v>
      </c>
      <c r="H26" s="57"/>
      <c r="I26" s="57">
        <f t="shared" ref="I26:K26" si="0">SUM(I3:I25)</f>
        <v>22579.221043371457</v>
      </c>
      <c r="J26" s="57"/>
      <c r="K26" s="57">
        <f t="shared" si="0"/>
        <v>19496.70370321683</v>
      </c>
      <c r="L26" s="57"/>
      <c r="M26" s="67">
        <f>SUM(M3:M25)</f>
        <v>21738.23328442972</v>
      </c>
    </row>
    <row r="27" spans="1:13" x14ac:dyDescent="0.3">
      <c r="A27" s="63" t="s">
        <v>107</v>
      </c>
      <c r="B27" s="33"/>
      <c r="C27" s="33"/>
      <c r="D27" s="33"/>
      <c r="E27" s="33"/>
      <c r="F27" s="33"/>
      <c r="G27" s="64">
        <f>销售收入!E3/10000</f>
        <v>830</v>
      </c>
      <c r="H27" s="64"/>
      <c r="I27" s="64">
        <f>销售收入!E4/10000</f>
        <v>330</v>
      </c>
      <c r="J27" s="64"/>
      <c r="K27" s="64">
        <f>销售收入!E5/10000</f>
        <v>650</v>
      </c>
      <c r="L27" s="64"/>
      <c r="M27" s="68">
        <f>销售收入!E6/10000</f>
        <v>415</v>
      </c>
    </row>
    <row r="28" spans="1:13" x14ac:dyDescent="0.3">
      <c r="A28" s="63" t="s">
        <v>191</v>
      </c>
      <c r="B28" s="33"/>
      <c r="C28" s="33"/>
      <c r="D28" s="33"/>
      <c r="E28" s="33"/>
      <c r="F28" s="33"/>
      <c r="G28" s="64">
        <f>G26*G27</f>
        <v>14140873.460156206</v>
      </c>
      <c r="H28" s="64"/>
      <c r="I28" s="64">
        <f t="shared" ref="I28:M28" si="1">I26*I27</f>
        <v>7451142.9443125809</v>
      </c>
      <c r="J28" s="64"/>
      <c r="K28" s="64">
        <f t="shared" si="1"/>
        <v>12672857.40709094</v>
      </c>
      <c r="L28" s="64"/>
      <c r="M28" s="68">
        <f t="shared" si="1"/>
        <v>9021366.8130383343</v>
      </c>
    </row>
    <row r="29" spans="1:13" x14ac:dyDescent="0.3">
      <c r="A29" s="63" t="s">
        <v>192</v>
      </c>
      <c r="B29" s="33"/>
      <c r="C29" s="33"/>
      <c r="D29" s="33"/>
      <c r="E29" s="33"/>
      <c r="F29" s="33"/>
      <c r="G29" s="64"/>
      <c r="H29" s="64"/>
      <c r="I29" s="64"/>
      <c r="J29" s="64"/>
      <c r="K29" s="64"/>
      <c r="L29" s="64"/>
      <c r="M29" s="68">
        <f>SUM(G28,I28,K28,M28)</f>
        <v>43286240.624598056</v>
      </c>
    </row>
    <row r="30" spans="1:13" x14ac:dyDescent="0.3">
      <c r="A30" s="63" t="s">
        <v>194</v>
      </c>
      <c r="B30" s="33"/>
      <c r="C30" s="33"/>
      <c r="D30" s="33"/>
      <c r="E30" s="33"/>
      <c r="F30" s="33"/>
      <c r="G30" s="64"/>
      <c r="H30" s="64"/>
      <c r="I30" s="64"/>
      <c r="J30" s="64"/>
      <c r="K30" s="64"/>
      <c r="L30" s="64"/>
      <c r="M30" s="68">
        <f>SUM(F27:M27)*80/1000*2500</f>
        <v>445000</v>
      </c>
    </row>
    <row r="31" spans="1:13" x14ac:dyDescent="0.3">
      <c r="A31" s="51" t="s">
        <v>193</v>
      </c>
      <c r="B31" s="52"/>
      <c r="C31" s="52"/>
      <c r="D31" s="52"/>
      <c r="E31" s="52"/>
      <c r="F31" s="52"/>
      <c r="G31" s="65"/>
      <c r="H31" s="65"/>
      <c r="I31" s="65"/>
      <c r="J31" s="65"/>
      <c r="K31" s="65"/>
      <c r="L31" s="65"/>
      <c r="M31" s="53">
        <f>M29-M30</f>
        <v>42841240.624598056</v>
      </c>
    </row>
    <row r="33" spans="1:13" ht="20.25" x14ac:dyDescent="0.3">
      <c r="A33" s="43" t="s">
        <v>2</v>
      </c>
    </row>
    <row r="34" spans="1:13" ht="38.25" x14ac:dyDescent="0.3">
      <c r="A34" s="2" t="s">
        <v>85</v>
      </c>
      <c r="B34" s="44" t="s">
        <v>86</v>
      </c>
      <c r="C34" s="44" t="s">
        <v>87</v>
      </c>
      <c r="D34" s="44" t="s">
        <v>50</v>
      </c>
      <c r="E34" s="44" t="s">
        <v>88</v>
      </c>
      <c r="F34" s="54" t="s">
        <v>89</v>
      </c>
      <c r="G34" s="54" t="s">
        <v>90</v>
      </c>
      <c r="H34" s="54" t="s">
        <v>91</v>
      </c>
      <c r="I34" s="54" t="s">
        <v>92</v>
      </c>
      <c r="J34" s="54" t="s">
        <v>93</v>
      </c>
      <c r="K34" s="54" t="s">
        <v>94</v>
      </c>
      <c r="L34" s="54" t="s">
        <v>95</v>
      </c>
      <c r="M34" s="66" t="s">
        <v>96</v>
      </c>
    </row>
    <row r="35" spans="1:13" ht="28.05" customHeight="1" x14ac:dyDescent="0.3">
      <c r="A35" s="55" t="s">
        <v>97</v>
      </c>
      <c r="B35" s="56">
        <v>1</v>
      </c>
      <c r="C35" s="56" t="s">
        <v>98</v>
      </c>
      <c r="D35" s="56" t="s">
        <v>99</v>
      </c>
      <c r="E35" s="56"/>
      <c r="F35" s="57">
        <f>硅料单耗计算!H11*10000</f>
        <v>143.77357171679941</v>
      </c>
      <c r="G35" s="57">
        <f>硅料单耗计算!D11*F35</f>
        <v>14377.357171679942</v>
      </c>
      <c r="H35" s="57">
        <f>硅料单耗计算!H12*10000</f>
        <v>189.43239356725269</v>
      </c>
      <c r="I35" s="57">
        <f>硅料单耗计算!D12*H35</f>
        <v>18943.239356725269</v>
      </c>
      <c r="J35" s="57">
        <f>+硅料单耗计算!H13*10000</f>
        <v>163.98373571257727</v>
      </c>
      <c r="K35" s="57">
        <f>硅料单耗计算!D13*J35</f>
        <v>16398.373571257725</v>
      </c>
      <c r="L35" s="57">
        <f>硅料单耗计算!H14*10000</f>
        <v>212.45732538205689</v>
      </c>
      <c r="M35" s="67">
        <f>硅料单耗计算!D14*L35</f>
        <v>18058.872657474836</v>
      </c>
    </row>
    <row r="36" spans="1:13" x14ac:dyDescent="0.3">
      <c r="A36" s="58" t="s">
        <v>100</v>
      </c>
      <c r="B36" s="59">
        <v>2</v>
      </c>
      <c r="C36" s="59" t="s">
        <v>51</v>
      </c>
      <c r="D36" s="59" t="s">
        <v>52</v>
      </c>
      <c r="E36" s="59"/>
      <c r="F36" s="57">
        <v>400</v>
      </c>
      <c r="G36" s="57">
        <f>F36*耗材价格!D3</f>
        <v>255.7936039329428</v>
      </c>
      <c r="H36" s="57">
        <v>536.67999999999995</v>
      </c>
      <c r="I36" s="57">
        <f>H36*耗材价格!D3</f>
        <v>343.19827839682932</v>
      </c>
      <c r="J36" s="57">
        <v>520.4</v>
      </c>
      <c r="K36" s="57">
        <f>J36*耗材价格!D3</f>
        <v>332.78747871675859</v>
      </c>
      <c r="L36" s="57">
        <v>520.4</v>
      </c>
      <c r="M36" s="67">
        <f>L36*耗材价格!D3</f>
        <v>332.78747871675859</v>
      </c>
    </row>
    <row r="37" spans="1:13" x14ac:dyDescent="0.3">
      <c r="A37" s="102" t="s">
        <v>101</v>
      </c>
      <c r="B37" s="59">
        <v>3</v>
      </c>
      <c r="C37" s="59" t="s">
        <v>55</v>
      </c>
      <c r="D37" s="56" t="s">
        <v>56</v>
      </c>
      <c r="E37" s="59"/>
      <c r="F37" s="57">
        <v>0.158</v>
      </c>
      <c r="G37" s="57">
        <f>F37*耗材价格!D5</f>
        <v>5.0671858406945356</v>
      </c>
      <c r="H37" s="57">
        <v>0.18</v>
      </c>
      <c r="I37" s="57">
        <f>H37*耗材价格!D5</f>
        <v>5.7727433628165592</v>
      </c>
      <c r="J37" s="57">
        <v>0.158</v>
      </c>
      <c r="K37" s="57">
        <f>J37*耗材价格!D5</f>
        <v>5.0671858406945356</v>
      </c>
      <c r="L37" s="57">
        <v>0.158</v>
      </c>
      <c r="M37" s="67">
        <f>L37*耗材价格!D5</f>
        <v>5.0671858406945356</v>
      </c>
    </row>
    <row r="38" spans="1:13" x14ac:dyDescent="0.3">
      <c r="A38" s="103"/>
      <c r="B38" s="59">
        <v>4</v>
      </c>
      <c r="C38" s="59" t="s">
        <v>57</v>
      </c>
      <c r="D38" s="56" t="s">
        <v>56</v>
      </c>
      <c r="E38" s="59"/>
      <c r="F38" s="57">
        <v>0.14399999999999999</v>
      </c>
      <c r="G38" s="57">
        <f>F38*耗材价格!D6</f>
        <v>7.7861946902349013</v>
      </c>
      <c r="H38" s="57">
        <v>0.2</v>
      </c>
      <c r="I38" s="57">
        <f>H38*耗材价格!D6</f>
        <v>10.814159291992921</v>
      </c>
      <c r="J38" s="57">
        <v>0.14399999999999999</v>
      </c>
      <c r="K38" s="57">
        <f>J38*耗材价格!D6</f>
        <v>7.7861946902349013</v>
      </c>
      <c r="L38" s="57">
        <v>0.14399999999999999</v>
      </c>
      <c r="M38" s="67">
        <f>L38*耗材价格!D6</f>
        <v>7.7861946902349013</v>
      </c>
    </row>
    <row r="39" spans="1:13" ht="25.5" x14ac:dyDescent="0.3">
      <c r="A39" s="103"/>
      <c r="B39" s="59">
        <v>5</v>
      </c>
      <c r="C39" s="56" t="s">
        <v>58</v>
      </c>
      <c r="D39" s="56" t="s">
        <v>59</v>
      </c>
      <c r="E39" s="60" t="s">
        <v>102</v>
      </c>
      <c r="F39" s="57"/>
      <c r="G39" s="57">
        <f>F39*耗材价格!D7</f>
        <v>0</v>
      </c>
      <c r="H39" s="57"/>
      <c r="I39" s="57">
        <f>H39*耗材价格!D7</f>
        <v>0</v>
      </c>
      <c r="J39" s="57"/>
      <c r="K39" s="57">
        <f>J39*耗材价格!D7</f>
        <v>0</v>
      </c>
      <c r="L39" s="57"/>
      <c r="M39" s="67">
        <f>L39*耗材价格!D7</f>
        <v>0</v>
      </c>
    </row>
    <row r="40" spans="1:13" x14ac:dyDescent="0.3">
      <c r="A40" s="103"/>
      <c r="B40" s="59">
        <v>6</v>
      </c>
      <c r="C40" s="59" t="s">
        <v>60</v>
      </c>
      <c r="D40" s="56" t="s">
        <v>61</v>
      </c>
      <c r="E40" s="59"/>
      <c r="F40" s="57">
        <v>2.2530000000000001</v>
      </c>
      <c r="G40" s="57">
        <f>F40*耗材价格!D8</f>
        <v>33.89469026548668</v>
      </c>
      <c r="H40" s="57">
        <v>2.5640000000000001</v>
      </c>
      <c r="I40" s="57">
        <f>H40*耗材价格!D8</f>
        <v>38.573451327433581</v>
      </c>
      <c r="J40" s="57">
        <v>2.2530000000000001</v>
      </c>
      <c r="K40" s="57">
        <f>J40*耗材价格!D8</f>
        <v>33.89469026548668</v>
      </c>
      <c r="L40" s="57">
        <v>2.2530000000000001</v>
      </c>
      <c r="M40" s="67">
        <f>L40*耗材价格!D8</f>
        <v>33.89469026548668</v>
      </c>
    </row>
    <row r="41" spans="1:13" ht="25.5" x14ac:dyDescent="0.3">
      <c r="A41" s="104"/>
      <c r="B41" s="59">
        <v>7</v>
      </c>
      <c r="C41" s="56" t="s">
        <v>62</v>
      </c>
      <c r="D41" s="56" t="s">
        <v>59</v>
      </c>
      <c r="E41" s="60" t="s">
        <v>102</v>
      </c>
      <c r="F41" s="57"/>
      <c r="G41" s="57">
        <f>F41*耗材价格!D9</f>
        <v>0</v>
      </c>
      <c r="H41" s="57"/>
      <c r="I41" s="57">
        <f>H41*耗材价格!D9</f>
        <v>0</v>
      </c>
      <c r="J41" s="57"/>
      <c r="K41" s="57">
        <f>J41*耗材价格!D9</f>
        <v>0</v>
      </c>
      <c r="L41" s="57"/>
      <c r="M41" s="67">
        <f>L41*耗材价格!D9</f>
        <v>0</v>
      </c>
    </row>
    <row r="42" spans="1:13" x14ac:dyDescent="0.3">
      <c r="A42" s="102" t="s">
        <v>103</v>
      </c>
      <c r="B42" s="59">
        <v>8</v>
      </c>
      <c r="C42" s="59" t="s">
        <v>63</v>
      </c>
      <c r="D42" s="56" t="s">
        <v>64</v>
      </c>
      <c r="E42" s="61"/>
      <c r="F42" s="57">
        <v>34.965184239624598</v>
      </c>
      <c r="G42" s="57">
        <f>F42*耗材价格!D10</f>
        <v>553.98614807417482</v>
      </c>
      <c r="H42" s="57">
        <v>50</v>
      </c>
      <c r="I42" s="57">
        <f>H42*耗材价格!D10</f>
        <v>792.19680965725502</v>
      </c>
      <c r="J42" s="57">
        <v>43</v>
      </c>
      <c r="K42" s="57">
        <f>J42*耗材价格!D10</f>
        <v>681.28925630523929</v>
      </c>
      <c r="L42" s="57">
        <v>47.739268121041498</v>
      </c>
      <c r="M42" s="67">
        <f>L42*耗材价格!D10</f>
        <v>756.37791801722744</v>
      </c>
    </row>
    <row r="43" spans="1:13" x14ac:dyDescent="0.3">
      <c r="A43" s="103"/>
      <c r="B43" s="59">
        <v>9</v>
      </c>
      <c r="C43" s="59" t="s">
        <v>65</v>
      </c>
      <c r="D43" s="56" t="s">
        <v>56</v>
      </c>
      <c r="E43" s="61"/>
      <c r="F43" s="57">
        <v>8.1119227435929204</v>
      </c>
      <c r="G43" s="57">
        <f>F43*耗材价格!D11</f>
        <v>148.01964864638475</v>
      </c>
      <c r="H43" s="57">
        <v>13.9418112244898</v>
      </c>
      <c r="I43" s="57">
        <f>H43*耗材价格!D11</f>
        <v>254.39862584652397</v>
      </c>
      <c r="J43" s="57">
        <v>8.1119227435929204</v>
      </c>
      <c r="K43" s="57">
        <f>J43*耗材价格!D11</f>
        <v>148.01964864638475</v>
      </c>
      <c r="L43" s="57">
        <v>8.1119227435929204</v>
      </c>
      <c r="M43" s="67">
        <f>L43*耗材价格!D11</f>
        <v>148.01964864638475</v>
      </c>
    </row>
    <row r="44" spans="1:13" x14ac:dyDescent="0.3">
      <c r="A44" s="103"/>
      <c r="B44" s="59">
        <v>10</v>
      </c>
      <c r="C44" s="59" t="s">
        <v>66</v>
      </c>
      <c r="D44" s="56" t="s">
        <v>61</v>
      </c>
      <c r="E44" s="61"/>
      <c r="F44" s="57">
        <v>0.27</v>
      </c>
      <c r="G44" s="57">
        <f>F44*耗材价格!D12</f>
        <v>1.581769911492956</v>
      </c>
      <c r="H44" s="57">
        <v>0.308</v>
      </c>
      <c r="I44" s="57">
        <f>H44*耗材价格!D12</f>
        <v>1.8043893805178903</v>
      </c>
      <c r="J44" s="57">
        <v>0.27</v>
      </c>
      <c r="K44" s="57">
        <f>J44*耗材价格!D12</f>
        <v>1.581769911492956</v>
      </c>
      <c r="L44" s="57">
        <v>0.27</v>
      </c>
      <c r="M44" s="67">
        <f>L44*耗材价格!D12</f>
        <v>1.581769911492956</v>
      </c>
    </row>
    <row r="45" spans="1:13" ht="25.5" x14ac:dyDescent="0.3">
      <c r="A45" s="103"/>
      <c r="B45" s="59">
        <v>11</v>
      </c>
      <c r="C45" s="56" t="s">
        <v>67</v>
      </c>
      <c r="D45" s="56" t="s">
        <v>59</v>
      </c>
      <c r="E45" s="60" t="s">
        <v>102</v>
      </c>
      <c r="F45" s="62"/>
      <c r="G45" s="57">
        <f>F45*耗材价格!D13</f>
        <v>0</v>
      </c>
      <c r="H45" s="62"/>
      <c r="I45" s="57">
        <f>H45*耗材价格!D13</f>
        <v>0</v>
      </c>
      <c r="J45" s="62"/>
      <c r="K45" s="57">
        <f>J45*耗材价格!D13</f>
        <v>0</v>
      </c>
      <c r="L45" s="62"/>
      <c r="M45" s="67">
        <f>L45*耗材价格!D13</f>
        <v>0</v>
      </c>
    </row>
    <row r="46" spans="1:13" ht="25.5" x14ac:dyDescent="0.3">
      <c r="A46" s="103"/>
      <c r="B46" s="59">
        <v>12</v>
      </c>
      <c r="C46" s="56" t="s">
        <v>68</v>
      </c>
      <c r="D46" s="56" t="s">
        <v>59</v>
      </c>
      <c r="E46" s="60" t="s">
        <v>102</v>
      </c>
      <c r="F46" s="62"/>
      <c r="G46" s="57">
        <f>F46*耗材价格!D14</f>
        <v>0</v>
      </c>
      <c r="H46" s="62"/>
      <c r="I46" s="57">
        <f>H46*耗材价格!D14</f>
        <v>0</v>
      </c>
      <c r="J46" s="62"/>
      <c r="K46" s="57">
        <f>J46*耗材价格!D14</f>
        <v>0</v>
      </c>
      <c r="L46" s="62"/>
      <c r="M46" s="67">
        <f>L46*耗材价格!D14</f>
        <v>0</v>
      </c>
    </row>
    <row r="47" spans="1:13" x14ac:dyDescent="0.3">
      <c r="A47" s="104"/>
      <c r="B47" s="59">
        <v>13</v>
      </c>
      <c r="C47" s="59" t="s">
        <v>69</v>
      </c>
      <c r="D47" s="56" t="s">
        <v>61</v>
      </c>
      <c r="E47" s="61"/>
      <c r="F47" s="57">
        <v>0.45100000000000001</v>
      </c>
      <c r="G47" s="57">
        <f>F47*耗材价格!D15</f>
        <v>1.3969026548672554</v>
      </c>
      <c r="H47" s="57">
        <v>0.51300000000000001</v>
      </c>
      <c r="I47" s="57">
        <f>H47*耗材价格!D15</f>
        <v>1.5889380530973438</v>
      </c>
      <c r="J47" s="57">
        <v>0.45100000000000001</v>
      </c>
      <c r="K47" s="57">
        <f>J47*耗材价格!D15</f>
        <v>1.3969026548672554</v>
      </c>
      <c r="L47" s="57">
        <v>0.45100000000000001</v>
      </c>
      <c r="M47" s="67">
        <f>L47*耗材价格!D15</f>
        <v>1.3969026548672554</v>
      </c>
    </row>
    <row r="48" spans="1:13" x14ac:dyDescent="0.3">
      <c r="A48" s="102" t="s">
        <v>104</v>
      </c>
      <c r="B48" s="59">
        <v>14</v>
      </c>
      <c r="C48" s="59" t="s">
        <v>70</v>
      </c>
      <c r="D48" s="56" t="s">
        <v>56</v>
      </c>
      <c r="E48" s="61"/>
      <c r="F48" s="57">
        <v>2.1259999999999999</v>
      </c>
      <c r="G48" s="57">
        <f>F48*耗材价格!D16</f>
        <v>3.3579511504388582</v>
      </c>
      <c r="H48" s="57">
        <v>2.258</v>
      </c>
      <c r="I48" s="57">
        <f>H48*耗材价格!D16</f>
        <v>3.566441061943058</v>
      </c>
      <c r="J48" s="57">
        <v>2.1259999999999999</v>
      </c>
      <c r="K48" s="57">
        <f>J48*耗材价格!D16</f>
        <v>3.3579511504388582</v>
      </c>
      <c r="L48" s="57">
        <v>2.258</v>
      </c>
      <c r="M48" s="67">
        <f>L48*耗材价格!D16</f>
        <v>3.566441061943058</v>
      </c>
    </row>
    <row r="49" spans="1:13" x14ac:dyDescent="0.3">
      <c r="A49" s="103"/>
      <c r="B49" s="59">
        <v>15</v>
      </c>
      <c r="C49" s="59" t="s">
        <v>71</v>
      </c>
      <c r="D49" s="56" t="s">
        <v>56</v>
      </c>
      <c r="E49" s="61"/>
      <c r="F49" s="57">
        <v>6.0709999999999997</v>
      </c>
      <c r="G49" s="57">
        <f>F49*耗材价格!D17</f>
        <v>20.673635398126915</v>
      </c>
      <c r="H49" s="57">
        <v>7.843</v>
      </c>
      <c r="I49" s="57">
        <f>H49*耗材价格!D17</f>
        <v>26.707844247654325</v>
      </c>
      <c r="J49" s="57">
        <v>6.0709999999999997</v>
      </c>
      <c r="K49" s="57">
        <f>J49*耗材价格!D17</f>
        <v>20.673635398126915</v>
      </c>
      <c r="L49" s="57">
        <v>6.0709999999999997</v>
      </c>
      <c r="M49" s="67">
        <f>L49*耗材价格!D17</f>
        <v>20.673635398126915</v>
      </c>
    </row>
    <row r="50" spans="1:13" x14ac:dyDescent="0.3">
      <c r="A50" s="103"/>
      <c r="B50" s="59">
        <v>16</v>
      </c>
      <c r="C50" s="59" t="s">
        <v>72</v>
      </c>
      <c r="D50" s="56" t="s">
        <v>73</v>
      </c>
      <c r="E50" s="61"/>
      <c r="F50" s="57">
        <v>4.2999999999999997E-2</v>
      </c>
      <c r="G50" s="57">
        <f>F50*耗材价格!D18</f>
        <v>0.35861238938016554</v>
      </c>
      <c r="H50" s="57">
        <v>4.4999999999999998E-2</v>
      </c>
      <c r="I50" s="57">
        <f>H50*耗材价格!D18</f>
        <v>0.37529203539784772</v>
      </c>
      <c r="J50" s="57">
        <v>4.2999999999999997E-2</v>
      </c>
      <c r="K50" s="57">
        <f>J50*耗材价格!D18</f>
        <v>0.35861238938016554</v>
      </c>
      <c r="L50" s="57">
        <v>4.4999999999999998E-2</v>
      </c>
      <c r="M50" s="67">
        <f>L50*耗材价格!D18</f>
        <v>0.37529203539784772</v>
      </c>
    </row>
    <row r="51" spans="1:13" x14ac:dyDescent="0.3">
      <c r="A51" s="104"/>
      <c r="B51" s="59">
        <v>17</v>
      </c>
      <c r="C51" s="59" t="s">
        <v>74</v>
      </c>
      <c r="D51" s="56" t="s">
        <v>56</v>
      </c>
      <c r="E51" s="61"/>
      <c r="F51" s="57">
        <v>0.84499999999999997</v>
      </c>
      <c r="G51" s="57">
        <f>F51*耗材价格!D19</f>
        <v>5.7759115044175999</v>
      </c>
      <c r="H51" s="57">
        <v>0.96099999999999997</v>
      </c>
      <c r="I51" s="57">
        <f>H51*耗材价格!D19</f>
        <v>6.5688176991068801</v>
      </c>
      <c r="J51" s="57">
        <v>0.84499999999999997</v>
      </c>
      <c r="K51" s="57">
        <f>J51*耗材价格!D19</f>
        <v>5.7759115044175999</v>
      </c>
      <c r="L51" s="57">
        <v>0.84499999999999997</v>
      </c>
      <c r="M51" s="67">
        <f>L51*耗材价格!D19</f>
        <v>5.7759115044175999</v>
      </c>
    </row>
    <row r="52" spans="1:13" x14ac:dyDescent="0.3">
      <c r="A52" s="102" t="s">
        <v>105</v>
      </c>
      <c r="B52" s="59">
        <v>18</v>
      </c>
      <c r="C52" s="59" t="s">
        <v>75</v>
      </c>
      <c r="D52" s="56" t="s">
        <v>61</v>
      </c>
      <c r="E52" s="61"/>
      <c r="F52" s="57">
        <v>57.14</v>
      </c>
      <c r="G52" s="57">
        <f>F52*耗材价格!D20</f>
        <v>3.0582541592823267</v>
      </c>
      <c r="H52" s="57">
        <v>100</v>
      </c>
      <c r="I52" s="57">
        <f>H52*耗材价格!D20</f>
        <v>5.3522123893635403</v>
      </c>
      <c r="J52" s="57">
        <v>57.14</v>
      </c>
      <c r="K52" s="57">
        <f>J52*耗材价格!D20</f>
        <v>3.0582541592823267</v>
      </c>
      <c r="L52" s="57">
        <v>57.14</v>
      </c>
      <c r="M52" s="67">
        <f>L52*耗材价格!D20</f>
        <v>3.0582541592823267</v>
      </c>
    </row>
    <row r="53" spans="1:13" x14ac:dyDescent="0.3">
      <c r="A53" s="103"/>
      <c r="B53" s="59">
        <v>19</v>
      </c>
      <c r="C53" s="59" t="s">
        <v>76</v>
      </c>
      <c r="D53" s="56" t="s">
        <v>61</v>
      </c>
      <c r="E53" s="61"/>
      <c r="F53" s="57">
        <v>28.57</v>
      </c>
      <c r="G53" s="57">
        <f>F53*耗材价格!D21</f>
        <v>2.9834159292035416</v>
      </c>
      <c r="H53" s="57">
        <v>33.33</v>
      </c>
      <c r="I53" s="57">
        <f>H53*耗材价格!D21</f>
        <v>3.4804778761061965</v>
      </c>
      <c r="J53" s="57">
        <v>28.57</v>
      </c>
      <c r="K53" s="57">
        <f>J53*耗材价格!D21</f>
        <v>2.9834159292035416</v>
      </c>
      <c r="L53" s="57">
        <v>33.33</v>
      </c>
      <c r="M53" s="67">
        <f>L53*耗材价格!D21</f>
        <v>3.4804778761061965</v>
      </c>
    </row>
    <row r="54" spans="1:13" x14ac:dyDescent="0.3">
      <c r="A54" s="103"/>
      <c r="B54" s="59">
        <v>20</v>
      </c>
      <c r="C54" s="59" t="s">
        <v>77</v>
      </c>
      <c r="D54" s="56" t="s">
        <v>61</v>
      </c>
      <c r="E54" s="61"/>
      <c r="F54" s="57">
        <v>3.57</v>
      </c>
      <c r="G54" s="57">
        <f>F54*耗材价格!D22</f>
        <v>20.535398230088489</v>
      </c>
      <c r="H54" s="57">
        <v>4.17</v>
      </c>
      <c r="I54" s="57">
        <f>H54*耗材价格!D22</f>
        <v>23.986725663716808</v>
      </c>
      <c r="J54" s="57">
        <v>3.57</v>
      </c>
      <c r="K54" s="57">
        <f>J54*耗材价格!D22</f>
        <v>20.535398230088489</v>
      </c>
      <c r="L54" s="57">
        <v>3.57</v>
      </c>
      <c r="M54" s="67">
        <f>L54*耗材价格!D22</f>
        <v>20.535398230088489</v>
      </c>
    </row>
    <row r="55" spans="1:13" x14ac:dyDescent="0.3">
      <c r="A55" s="103"/>
      <c r="B55" s="59">
        <v>21</v>
      </c>
      <c r="C55" s="59" t="s">
        <v>78</v>
      </c>
      <c r="D55" s="56" t="s">
        <v>61</v>
      </c>
      <c r="E55" s="61"/>
      <c r="F55" s="57">
        <v>114</v>
      </c>
      <c r="G55" s="57">
        <f>F55*耗材价格!D23</f>
        <v>4.8424778761061953</v>
      </c>
      <c r="H55" s="57">
        <v>200</v>
      </c>
      <c r="I55" s="57">
        <f>H55*耗材价格!D23</f>
        <v>8.4955752212389388</v>
      </c>
      <c r="J55" s="57">
        <v>114</v>
      </c>
      <c r="K55" s="57">
        <f>J55*耗材价格!D23</f>
        <v>4.8424778761061953</v>
      </c>
      <c r="L55" s="57">
        <v>114</v>
      </c>
      <c r="M55" s="67">
        <f>L55*耗材价格!D23</f>
        <v>4.8424778761061953</v>
      </c>
    </row>
    <row r="56" spans="1:13" x14ac:dyDescent="0.3">
      <c r="A56" s="103"/>
      <c r="B56" s="59">
        <v>22</v>
      </c>
      <c r="C56" s="59" t="s">
        <v>79</v>
      </c>
      <c r="D56" s="56" t="s">
        <v>61</v>
      </c>
      <c r="E56" s="61"/>
      <c r="F56" s="57">
        <v>0.15</v>
      </c>
      <c r="G56" s="57">
        <f>F56*耗材价格!D24</f>
        <v>5.2340707964506201</v>
      </c>
      <c r="H56" s="57">
        <v>0.17</v>
      </c>
      <c r="I56" s="57">
        <f>H56*耗材价格!D24</f>
        <v>5.9319469026440368</v>
      </c>
      <c r="J56" s="57">
        <v>0.15</v>
      </c>
      <c r="K56" s="57">
        <f>J56*耗材价格!D24</f>
        <v>5.2340707964506201</v>
      </c>
      <c r="L56" s="57">
        <v>0.15</v>
      </c>
      <c r="M56" s="67">
        <f>L56*耗材价格!D24</f>
        <v>5.2340707964506201</v>
      </c>
    </row>
    <row r="57" spans="1:13" x14ac:dyDescent="0.3">
      <c r="A57" s="104"/>
      <c r="B57" s="59">
        <v>23</v>
      </c>
      <c r="C57" s="59" t="s">
        <v>80</v>
      </c>
      <c r="D57" s="56" t="s">
        <v>61</v>
      </c>
      <c r="E57" s="61"/>
      <c r="F57" s="57">
        <v>86</v>
      </c>
      <c r="G57" s="57">
        <f>F57*耗材价格!D25</f>
        <v>5.1752212389380547</v>
      </c>
      <c r="H57" s="57">
        <v>101</v>
      </c>
      <c r="I57" s="57">
        <f>H57*耗材价格!D25</f>
        <v>6.077876106194692</v>
      </c>
      <c r="J57" s="57">
        <v>86</v>
      </c>
      <c r="K57" s="57">
        <f>J57*耗材价格!D25</f>
        <v>5.1752212389380547</v>
      </c>
      <c r="L57" s="57">
        <v>101</v>
      </c>
      <c r="M57" s="67">
        <f>L57*耗材价格!D25</f>
        <v>6.077876106194692</v>
      </c>
    </row>
    <row r="58" spans="1:13" x14ac:dyDescent="0.3">
      <c r="A58" s="63" t="s">
        <v>106</v>
      </c>
      <c r="B58" s="59"/>
      <c r="C58" s="59"/>
      <c r="D58" s="56"/>
      <c r="E58" s="61"/>
      <c r="F58" s="57"/>
      <c r="G58" s="57">
        <f>SUM(G35:G57)</f>
        <v>15456.878264368654</v>
      </c>
      <c r="H58" s="57"/>
      <c r="I58" s="57">
        <f t="shared" ref="I58:K58" si="2">SUM(I35:I57)</f>
        <v>20482.129961245104</v>
      </c>
      <c r="J58" s="57"/>
      <c r="K58" s="57">
        <f t="shared" si="2"/>
        <v>17682.191646961317</v>
      </c>
      <c r="L58" s="57"/>
      <c r="M58" s="67">
        <f>SUM(M35:M57)</f>
        <v>19419.404281262097</v>
      </c>
    </row>
    <row r="59" spans="1:13" x14ac:dyDescent="0.3">
      <c r="A59" s="63" t="s">
        <v>107</v>
      </c>
      <c r="B59" s="33"/>
      <c r="C59" s="33"/>
      <c r="D59" s="33"/>
      <c r="E59" s="33"/>
      <c r="F59" s="33"/>
      <c r="G59" s="64">
        <f>销售收入!E10/10000</f>
        <v>600</v>
      </c>
      <c r="H59" s="64"/>
      <c r="I59" s="64">
        <f>销售收入!E11/10000</f>
        <v>355</v>
      </c>
      <c r="J59" s="64"/>
      <c r="K59" s="64">
        <f>销售收入!E12/10000</f>
        <v>500</v>
      </c>
      <c r="L59" s="64"/>
      <c r="M59" s="68">
        <f>销售收入!E13/10000</f>
        <v>430</v>
      </c>
    </row>
    <row r="60" spans="1:13" x14ac:dyDescent="0.3">
      <c r="A60" s="63" t="s">
        <v>108</v>
      </c>
      <c r="B60" s="33"/>
      <c r="C60" s="33"/>
      <c r="D60" s="33"/>
      <c r="E60" s="33"/>
      <c r="F60" s="33"/>
      <c r="G60" s="64">
        <f>G58*G59</f>
        <v>9274126.9586211927</v>
      </c>
      <c r="H60" s="64"/>
      <c r="I60" s="64">
        <f t="shared" ref="I60:K60" si="3">I58*I59</f>
        <v>7271156.1362420116</v>
      </c>
      <c r="J60" s="64"/>
      <c r="K60" s="64">
        <f t="shared" si="3"/>
        <v>8841095.8234806582</v>
      </c>
      <c r="L60" s="64"/>
      <c r="M60" s="68">
        <f>M58*M59</f>
        <v>8350343.8409427023</v>
      </c>
    </row>
    <row r="61" spans="1:13" x14ac:dyDescent="0.3">
      <c r="A61" s="63" t="s">
        <v>109</v>
      </c>
      <c r="B61" s="33"/>
      <c r="C61" s="33"/>
      <c r="D61" s="33"/>
      <c r="E61" s="33"/>
      <c r="F61" s="33"/>
      <c r="G61" s="64"/>
      <c r="H61" s="64"/>
      <c r="I61" s="64"/>
      <c r="J61" s="64"/>
      <c r="K61" s="64"/>
      <c r="L61" s="64"/>
      <c r="M61" s="68">
        <f>SUM(G60,I60,K60,M60)</f>
        <v>33736722.759286568</v>
      </c>
    </row>
    <row r="62" spans="1:13" x14ac:dyDescent="0.3">
      <c r="A62" s="63" t="s">
        <v>110</v>
      </c>
      <c r="B62" s="33"/>
      <c r="C62" s="33"/>
      <c r="D62" s="33"/>
      <c r="E62" s="33"/>
      <c r="F62" s="33"/>
      <c r="G62" s="64"/>
      <c r="H62" s="64"/>
      <c r="I62" s="64"/>
      <c r="J62" s="64"/>
      <c r="K62" s="64"/>
      <c r="L62" s="64"/>
      <c r="M62" s="68">
        <f>SUM(F59:M59)*80/1000*2500</f>
        <v>377000</v>
      </c>
    </row>
    <row r="63" spans="1:13" x14ac:dyDescent="0.3">
      <c r="A63" s="51" t="s">
        <v>111</v>
      </c>
      <c r="B63" s="52"/>
      <c r="C63" s="52"/>
      <c r="D63" s="52"/>
      <c r="E63" s="52"/>
      <c r="F63" s="52"/>
      <c r="G63" s="65"/>
      <c r="H63" s="65"/>
      <c r="I63" s="65"/>
      <c r="J63" s="65"/>
      <c r="K63" s="65"/>
      <c r="L63" s="65"/>
      <c r="M63" s="53">
        <f>M61-M62</f>
        <v>33359722.759286568</v>
      </c>
    </row>
    <row r="65" spans="1:13" ht="20.25" x14ac:dyDescent="0.3">
      <c r="A65" s="43" t="s">
        <v>3</v>
      </c>
    </row>
    <row r="66" spans="1:13" ht="38.25" x14ac:dyDescent="0.3">
      <c r="A66" s="2" t="s">
        <v>85</v>
      </c>
      <c r="B66" s="44" t="s">
        <v>86</v>
      </c>
      <c r="C66" s="44" t="s">
        <v>87</v>
      </c>
      <c r="D66" s="44" t="s">
        <v>50</v>
      </c>
      <c r="E66" s="44" t="s">
        <v>88</v>
      </c>
      <c r="F66" s="54" t="s">
        <v>89</v>
      </c>
      <c r="G66" s="54" t="s">
        <v>90</v>
      </c>
      <c r="H66" s="54" t="s">
        <v>91</v>
      </c>
      <c r="I66" s="54" t="s">
        <v>92</v>
      </c>
      <c r="J66" s="54" t="s">
        <v>93</v>
      </c>
      <c r="K66" s="54" t="s">
        <v>94</v>
      </c>
      <c r="L66" s="54" t="s">
        <v>95</v>
      </c>
      <c r="M66" s="66" t="s">
        <v>96</v>
      </c>
    </row>
    <row r="67" spans="1:13" ht="28.05" customHeight="1" x14ac:dyDescent="0.3">
      <c r="A67" s="55" t="s">
        <v>97</v>
      </c>
      <c r="B67" s="56">
        <v>1</v>
      </c>
      <c r="C67" s="56" t="s">
        <v>98</v>
      </c>
      <c r="D67" s="56" t="s">
        <v>99</v>
      </c>
      <c r="E67" s="56"/>
      <c r="F67" s="57">
        <f>硅料单耗计算!H19*10000</f>
        <v>143.92012989388076</v>
      </c>
      <c r="G67" s="57">
        <f>硅料单耗计算!D19*F67</f>
        <v>12808.891560555387</v>
      </c>
      <c r="H67" s="57">
        <f>硅料单耗计算!H20*10000</f>
        <v>189.62549488587374</v>
      </c>
      <c r="I67" s="57">
        <f>硅料单耗计算!D20*H67</f>
        <v>16876.669044842762</v>
      </c>
      <c r="J67" s="57">
        <f>+硅料单耗计算!H21*10000</f>
        <v>164.15089548394585</v>
      </c>
      <c r="K67" s="57">
        <f>硅料单耗计算!D21*J67</f>
        <v>14609.429698071181</v>
      </c>
      <c r="L67" s="57">
        <f>硅料单耗计算!H22*10000</f>
        <v>212.67389757918437</v>
      </c>
      <c r="M67" s="67">
        <f>硅料单耗计算!D22*L67</f>
        <v>15950.542318438827</v>
      </c>
    </row>
    <row r="68" spans="1:13" x14ac:dyDescent="0.3">
      <c r="A68" s="58" t="s">
        <v>100</v>
      </c>
      <c r="B68" s="59">
        <v>2</v>
      </c>
      <c r="C68" s="59" t="s">
        <v>51</v>
      </c>
      <c r="D68" s="59" t="s">
        <v>52</v>
      </c>
      <c r="E68" s="59"/>
      <c r="F68" s="57">
        <v>400</v>
      </c>
      <c r="G68" s="57">
        <f>F68*耗材价格!E3</f>
        <v>254.3007968970048</v>
      </c>
      <c r="H68" s="57">
        <v>536.67999999999995</v>
      </c>
      <c r="I68" s="57">
        <f>H68*耗材价格!E3</f>
        <v>341.19537919671131</v>
      </c>
      <c r="J68" s="57">
        <v>520.4</v>
      </c>
      <c r="K68" s="57">
        <f>J68*耗材价格!E3</f>
        <v>330.84533676300322</v>
      </c>
      <c r="L68" s="57">
        <v>520.4</v>
      </c>
      <c r="M68" s="67">
        <f>L68*耗材价格!E3</f>
        <v>330.84533676300322</v>
      </c>
    </row>
    <row r="69" spans="1:13" x14ac:dyDescent="0.3">
      <c r="A69" s="102" t="s">
        <v>101</v>
      </c>
      <c r="B69" s="59">
        <v>3</v>
      </c>
      <c r="C69" s="59" t="s">
        <v>55</v>
      </c>
      <c r="D69" s="56" t="s">
        <v>56</v>
      </c>
      <c r="E69" s="59"/>
      <c r="F69" s="57">
        <v>0.158</v>
      </c>
      <c r="G69" s="57">
        <f>F69*耗材价格!E5</f>
        <v>5.0671858406945356</v>
      </c>
      <c r="H69" s="57">
        <v>0.18</v>
      </c>
      <c r="I69" s="57">
        <f>H69*耗材价格!E5</f>
        <v>5.7727433628165592</v>
      </c>
      <c r="J69" s="57">
        <v>0.158</v>
      </c>
      <c r="K69" s="57">
        <f>J69*耗材价格!E5</f>
        <v>5.0671858406945356</v>
      </c>
      <c r="L69" s="57">
        <v>0.158</v>
      </c>
      <c r="M69" s="67">
        <f>L69*耗材价格!E5</f>
        <v>5.0671858406945356</v>
      </c>
    </row>
    <row r="70" spans="1:13" x14ac:dyDescent="0.3">
      <c r="A70" s="103"/>
      <c r="B70" s="59">
        <v>4</v>
      </c>
      <c r="C70" s="59" t="s">
        <v>57</v>
      </c>
      <c r="D70" s="56" t="s">
        <v>56</v>
      </c>
      <c r="E70" s="59"/>
      <c r="F70" s="57">
        <v>0.14399999999999999</v>
      </c>
      <c r="G70" s="57">
        <f>F70*耗材价格!E6</f>
        <v>7.7861946902349013</v>
      </c>
      <c r="H70" s="57">
        <v>0.2</v>
      </c>
      <c r="I70" s="57">
        <f>H70*耗材价格!E6</f>
        <v>10.814159291992921</v>
      </c>
      <c r="J70" s="57">
        <v>0.14399999999999999</v>
      </c>
      <c r="K70" s="57">
        <f>J70*耗材价格!E6</f>
        <v>7.7861946902349013</v>
      </c>
      <c r="L70" s="57">
        <v>0.14399999999999999</v>
      </c>
      <c r="M70" s="67">
        <f>L70*耗材价格!E6</f>
        <v>7.7861946902349013</v>
      </c>
    </row>
    <row r="71" spans="1:13" ht="25.5" x14ac:dyDescent="0.3">
      <c r="A71" s="103"/>
      <c r="B71" s="59">
        <v>5</v>
      </c>
      <c r="C71" s="56" t="s">
        <v>58</v>
      </c>
      <c r="D71" s="56" t="s">
        <v>59</v>
      </c>
      <c r="E71" s="60" t="s">
        <v>102</v>
      </c>
      <c r="F71" s="57"/>
      <c r="G71" s="57">
        <f>F71*耗材价格!E7</f>
        <v>0</v>
      </c>
      <c r="H71" s="57"/>
      <c r="I71" s="57">
        <f>H71*耗材价格!E7</f>
        <v>0</v>
      </c>
      <c r="J71" s="57"/>
      <c r="K71" s="57">
        <f>J71*耗材价格!E7</f>
        <v>0</v>
      </c>
      <c r="L71" s="57"/>
      <c r="M71" s="67">
        <f>L71*耗材价格!E7</f>
        <v>0</v>
      </c>
    </row>
    <row r="72" spans="1:13" x14ac:dyDescent="0.3">
      <c r="A72" s="103"/>
      <c r="B72" s="59">
        <v>6</v>
      </c>
      <c r="C72" s="59" t="s">
        <v>60</v>
      </c>
      <c r="D72" s="56" t="s">
        <v>61</v>
      </c>
      <c r="E72" s="59"/>
      <c r="F72" s="57">
        <v>2.2530000000000001</v>
      </c>
      <c r="G72" s="57">
        <f>F72*耗材价格!E8</f>
        <v>33.89469026548668</v>
      </c>
      <c r="H72" s="57">
        <v>2.5640000000000001</v>
      </c>
      <c r="I72" s="57">
        <f>H72*耗材价格!E8</f>
        <v>38.573451327433581</v>
      </c>
      <c r="J72" s="57">
        <v>2.2530000000000001</v>
      </c>
      <c r="K72" s="57">
        <f>J72*耗材价格!E8</f>
        <v>33.89469026548668</v>
      </c>
      <c r="L72" s="57">
        <v>2.2530000000000001</v>
      </c>
      <c r="M72" s="67">
        <f>L72*耗材价格!E8</f>
        <v>33.89469026548668</v>
      </c>
    </row>
    <row r="73" spans="1:13" ht="25.5" x14ac:dyDescent="0.3">
      <c r="A73" s="104"/>
      <c r="B73" s="59">
        <v>7</v>
      </c>
      <c r="C73" s="56" t="s">
        <v>62</v>
      </c>
      <c r="D73" s="56" t="s">
        <v>59</v>
      </c>
      <c r="E73" s="60" t="s">
        <v>102</v>
      </c>
      <c r="F73" s="57"/>
      <c r="G73" s="57">
        <f>F73*耗材价格!E9</f>
        <v>0</v>
      </c>
      <c r="H73" s="57"/>
      <c r="I73" s="57">
        <f>H73*耗材价格!E9</f>
        <v>0</v>
      </c>
      <c r="J73" s="57"/>
      <c r="K73" s="57">
        <f>J73*耗材价格!E9</f>
        <v>0</v>
      </c>
      <c r="L73" s="57"/>
      <c r="M73" s="67">
        <f>L73*耗材价格!E9</f>
        <v>0</v>
      </c>
    </row>
    <row r="74" spans="1:13" x14ac:dyDescent="0.3">
      <c r="A74" s="102" t="s">
        <v>103</v>
      </c>
      <c r="B74" s="59">
        <v>8</v>
      </c>
      <c r="C74" s="59" t="s">
        <v>63</v>
      </c>
      <c r="D74" s="56" t="s">
        <v>64</v>
      </c>
      <c r="E74" s="61"/>
      <c r="F74" s="57">
        <v>34.965184239624598</v>
      </c>
      <c r="G74" s="57">
        <f>F74*耗材价格!E10</f>
        <v>565.49154342366705</v>
      </c>
      <c r="H74" s="57">
        <v>50</v>
      </c>
      <c r="I74" s="57">
        <f>H74*耗材价格!E10</f>
        <v>808.64945476652008</v>
      </c>
      <c r="J74" s="57">
        <v>43</v>
      </c>
      <c r="K74" s="57">
        <f>J74*耗材价格!E10</f>
        <v>695.43853109920724</v>
      </c>
      <c r="L74" s="57">
        <v>47.739268121041498</v>
      </c>
      <c r="M74" s="67">
        <f>L74*耗材价格!E10</f>
        <v>772.08666274065843</v>
      </c>
    </row>
    <row r="75" spans="1:13" x14ac:dyDescent="0.3">
      <c r="A75" s="103"/>
      <c r="B75" s="59">
        <v>9</v>
      </c>
      <c r="C75" s="59" t="s">
        <v>65</v>
      </c>
      <c r="D75" s="56" t="s">
        <v>56</v>
      </c>
      <c r="E75" s="61"/>
      <c r="F75" s="57">
        <v>8.1119227435929204</v>
      </c>
      <c r="G75" s="57">
        <f>F75*耗材价格!E11</f>
        <v>136.17082125384772</v>
      </c>
      <c r="H75" s="57">
        <v>13.9418112244898</v>
      </c>
      <c r="I75" s="57">
        <f>H75*耗材价格!E11</f>
        <v>234.03426588404881</v>
      </c>
      <c r="J75" s="57">
        <v>8.1119227435929204</v>
      </c>
      <c r="K75" s="57">
        <f>J75*耗材价格!E11</f>
        <v>136.17082125384772</v>
      </c>
      <c r="L75" s="57">
        <v>8.1119227435929204</v>
      </c>
      <c r="M75" s="67">
        <f>L75*耗材价格!E11</f>
        <v>136.17082125384772</v>
      </c>
    </row>
    <row r="76" spans="1:13" x14ac:dyDescent="0.3">
      <c r="A76" s="103"/>
      <c r="B76" s="59">
        <v>10</v>
      </c>
      <c r="C76" s="59" t="s">
        <v>66</v>
      </c>
      <c r="D76" s="56" t="s">
        <v>61</v>
      </c>
      <c r="E76" s="61"/>
      <c r="F76" s="57">
        <v>0.27</v>
      </c>
      <c r="G76" s="57">
        <f>F76*耗材价格!E12</f>
        <v>1.581769911492956</v>
      </c>
      <c r="H76" s="57">
        <v>0.308</v>
      </c>
      <c r="I76" s="57">
        <f>H76*耗材价格!E12</f>
        <v>1.8043893805178903</v>
      </c>
      <c r="J76" s="57">
        <v>0.27</v>
      </c>
      <c r="K76" s="57">
        <f>J76*耗材价格!E12</f>
        <v>1.581769911492956</v>
      </c>
      <c r="L76" s="57">
        <v>0.27</v>
      </c>
      <c r="M76" s="67">
        <f>L76*耗材价格!E12</f>
        <v>1.581769911492956</v>
      </c>
    </row>
    <row r="77" spans="1:13" ht="25.5" x14ac:dyDescent="0.3">
      <c r="A77" s="103"/>
      <c r="B77" s="59">
        <v>11</v>
      </c>
      <c r="C77" s="56" t="s">
        <v>67</v>
      </c>
      <c r="D77" s="56" t="s">
        <v>59</v>
      </c>
      <c r="E77" s="60" t="s">
        <v>102</v>
      </c>
      <c r="F77" s="62"/>
      <c r="G77" s="57">
        <f>F77*耗材价格!E13</f>
        <v>0</v>
      </c>
      <c r="H77" s="62"/>
      <c r="I77" s="57">
        <f>H77*耗材价格!E13</f>
        <v>0</v>
      </c>
      <c r="J77" s="62"/>
      <c r="K77" s="57">
        <f>J77*耗材价格!E13</f>
        <v>0</v>
      </c>
      <c r="L77" s="62"/>
      <c r="M77" s="67">
        <f>L77*耗材价格!E13</f>
        <v>0</v>
      </c>
    </row>
    <row r="78" spans="1:13" ht="25.5" x14ac:dyDescent="0.3">
      <c r="A78" s="103"/>
      <c r="B78" s="59">
        <v>12</v>
      </c>
      <c r="C78" s="56" t="s">
        <v>68</v>
      </c>
      <c r="D78" s="56" t="s">
        <v>59</v>
      </c>
      <c r="E78" s="60" t="s">
        <v>102</v>
      </c>
      <c r="F78" s="62"/>
      <c r="G78" s="57">
        <f>F78*耗材价格!E14</f>
        <v>0</v>
      </c>
      <c r="H78" s="62"/>
      <c r="I78" s="57">
        <f>H78*耗材价格!E14</f>
        <v>0</v>
      </c>
      <c r="J78" s="62"/>
      <c r="K78" s="57">
        <f>J78*耗材价格!E14</f>
        <v>0</v>
      </c>
      <c r="L78" s="62"/>
      <c r="M78" s="67">
        <f>L78*耗材价格!E14</f>
        <v>0</v>
      </c>
    </row>
    <row r="79" spans="1:13" x14ac:dyDescent="0.3">
      <c r="A79" s="104"/>
      <c r="B79" s="59">
        <v>13</v>
      </c>
      <c r="C79" s="59" t="s">
        <v>69</v>
      </c>
      <c r="D79" s="56" t="s">
        <v>61</v>
      </c>
      <c r="E79" s="61"/>
      <c r="F79" s="57">
        <v>0.45100000000000001</v>
      </c>
      <c r="G79" s="57">
        <f>F79*耗材价格!E15</f>
        <v>1.3969026548672554</v>
      </c>
      <c r="H79" s="57">
        <v>0.51300000000000001</v>
      </c>
      <c r="I79" s="57">
        <f>H79*耗材价格!E15</f>
        <v>1.5889380530973438</v>
      </c>
      <c r="J79" s="57">
        <v>0.45100000000000001</v>
      </c>
      <c r="K79" s="57">
        <f>J79*耗材价格!E15</f>
        <v>1.3969026548672554</v>
      </c>
      <c r="L79" s="57">
        <v>0.45100000000000001</v>
      </c>
      <c r="M79" s="67">
        <f>L79*耗材价格!E15</f>
        <v>1.3969026548672554</v>
      </c>
    </row>
    <row r="80" spans="1:13" x14ac:dyDescent="0.3">
      <c r="A80" s="102" t="s">
        <v>104</v>
      </c>
      <c r="B80" s="59">
        <v>14</v>
      </c>
      <c r="C80" s="59" t="s">
        <v>70</v>
      </c>
      <c r="D80" s="56" t="s">
        <v>56</v>
      </c>
      <c r="E80" s="61"/>
      <c r="F80" s="57">
        <v>2.1259999999999999</v>
      </c>
      <c r="G80" s="57">
        <f>F80*耗材价格!E16</f>
        <v>3.3579511504388582</v>
      </c>
      <c r="H80" s="57">
        <v>2.258</v>
      </c>
      <c r="I80" s="57">
        <f>H80*耗材价格!E16</f>
        <v>3.566441061943058</v>
      </c>
      <c r="J80" s="57">
        <v>2.1259999999999999</v>
      </c>
      <c r="K80" s="57">
        <f>J80*耗材价格!E16</f>
        <v>3.3579511504388582</v>
      </c>
      <c r="L80" s="57">
        <v>2.258</v>
      </c>
      <c r="M80" s="67">
        <f>L80*耗材价格!E16</f>
        <v>3.566441061943058</v>
      </c>
    </row>
    <row r="81" spans="1:13" x14ac:dyDescent="0.3">
      <c r="A81" s="103"/>
      <c r="B81" s="59">
        <v>15</v>
      </c>
      <c r="C81" s="59" t="s">
        <v>71</v>
      </c>
      <c r="D81" s="56" t="s">
        <v>56</v>
      </c>
      <c r="E81" s="61"/>
      <c r="F81" s="57">
        <v>6.0709999999999997</v>
      </c>
      <c r="G81" s="57">
        <f>F81*耗材价格!E17</f>
        <v>20.673635398126915</v>
      </c>
      <c r="H81" s="57">
        <v>7.843</v>
      </c>
      <c r="I81" s="57">
        <f>H81*耗材价格!E17</f>
        <v>26.707844247654325</v>
      </c>
      <c r="J81" s="57">
        <v>6.0709999999999997</v>
      </c>
      <c r="K81" s="57">
        <f>J81*耗材价格!E17</f>
        <v>20.673635398126915</v>
      </c>
      <c r="L81" s="57">
        <v>6.0709999999999997</v>
      </c>
      <c r="M81" s="67">
        <f>L81*耗材价格!E17</f>
        <v>20.673635398126915</v>
      </c>
    </row>
    <row r="82" spans="1:13" x14ac:dyDescent="0.3">
      <c r="A82" s="103"/>
      <c r="B82" s="59">
        <v>16</v>
      </c>
      <c r="C82" s="59" t="s">
        <v>72</v>
      </c>
      <c r="D82" s="56" t="s">
        <v>73</v>
      </c>
      <c r="E82" s="61"/>
      <c r="F82" s="57">
        <v>4.2999999999999997E-2</v>
      </c>
      <c r="G82" s="57">
        <f>F82*耗材价格!E18</f>
        <v>0.35861238938016554</v>
      </c>
      <c r="H82" s="57">
        <v>4.4999999999999998E-2</v>
      </c>
      <c r="I82" s="57">
        <f>H82*耗材价格!E18</f>
        <v>0.37529203539784772</v>
      </c>
      <c r="J82" s="57">
        <v>4.2999999999999997E-2</v>
      </c>
      <c r="K82" s="57">
        <f>J82*耗材价格!E18</f>
        <v>0.35861238938016554</v>
      </c>
      <c r="L82" s="57">
        <v>4.4999999999999998E-2</v>
      </c>
      <c r="M82" s="67">
        <f>L82*耗材价格!E18</f>
        <v>0.37529203539784772</v>
      </c>
    </row>
    <row r="83" spans="1:13" x14ac:dyDescent="0.3">
      <c r="A83" s="104"/>
      <c r="B83" s="59">
        <v>17</v>
      </c>
      <c r="C83" s="59" t="s">
        <v>74</v>
      </c>
      <c r="D83" s="56" t="s">
        <v>56</v>
      </c>
      <c r="E83" s="61"/>
      <c r="F83" s="57">
        <v>0.84499999999999997</v>
      </c>
      <c r="G83" s="57">
        <f>F83*耗材价格!E19</f>
        <v>5.7759115044175999</v>
      </c>
      <c r="H83" s="57">
        <v>0.96099999999999997</v>
      </c>
      <c r="I83" s="57">
        <f>H83*耗材价格!E19</f>
        <v>6.5688176991068801</v>
      </c>
      <c r="J83" s="57">
        <v>0.84499999999999997</v>
      </c>
      <c r="K83" s="57">
        <f>J83*耗材价格!E19</f>
        <v>5.7759115044175999</v>
      </c>
      <c r="L83" s="57">
        <v>0.84499999999999997</v>
      </c>
      <c r="M83" s="67">
        <f>L83*耗材价格!E19</f>
        <v>5.7759115044175999</v>
      </c>
    </row>
    <row r="84" spans="1:13" x14ac:dyDescent="0.3">
      <c r="A84" s="102" t="s">
        <v>105</v>
      </c>
      <c r="B84" s="59">
        <v>18</v>
      </c>
      <c r="C84" s="59" t="s">
        <v>75</v>
      </c>
      <c r="D84" s="56" t="s">
        <v>61</v>
      </c>
      <c r="E84" s="61"/>
      <c r="F84" s="57">
        <v>57.14</v>
      </c>
      <c r="G84" s="57">
        <f>F84*耗材价格!E20</f>
        <v>3.0582541592823267</v>
      </c>
      <c r="H84" s="57">
        <v>100</v>
      </c>
      <c r="I84" s="57">
        <f>H84*耗材价格!E20</f>
        <v>5.3522123893635403</v>
      </c>
      <c r="J84" s="57">
        <v>57.14</v>
      </c>
      <c r="K84" s="57">
        <f>J84*耗材价格!E20</f>
        <v>3.0582541592823267</v>
      </c>
      <c r="L84" s="57">
        <v>57.14</v>
      </c>
      <c r="M84" s="67">
        <f>L84*耗材价格!E20</f>
        <v>3.0582541592823267</v>
      </c>
    </row>
    <row r="85" spans="1:13" x14ac:dyDescent="0.3">
      <c r="A85" s="103"/>
      <c r="B85" s="59">
        <v>19</v>
      </c>
      <c r="C85" s="59" t="s">
        <v>76</v>
      </c>
      <c r="D85" s="56" t="s">
        <v>61</v>
      </c>
      <c r="E85" s="61"/>
      <c r="F85" s="57">
        <v>28.57</v>
      </c>
      <c r="G85" s="57">
        <f>F85*耗材价格!E21</f>
        <v>2.9834159292035416</v>
      </c>
      <c r="H85" s="57">
        <v>33.33</v>
      </c>
      <c r="I85" s="57">
        <f>H85*耗材价格!E21</f>
        <v>3.4804778761061965</v>
      </c>
      <c r="J85" s="57">
        <v>28.57</v>
      </c>
      <c r="K85" s="57">
        <f>J85*耗材价格!E21</f>
        <v>2.9834159292035416</v>
      </c>
      <c r="L85" s="57">
        <v>33.33</v>
      </c>
      <c r="M85" s="67">
        <f>L85*耗材价格!E21</f>
        <v>3.4804778761061965</v>
      </c>
    </row>
    <row r="86" spans="1:13" x14ac:dyDescent="0.3">
      <c r="A86" s="103"/>
      <c r="B86" s="59">
        <v>20</v>
      </c>
      <c r="C86" s="59" t="s">
        <v>77</v>
      </c>
      <c r="D86" s="56" t="s">
        <v>61</v>
      </c>
      <c r="E86" s="61"/>
      <c r="F86" s="57">
        <v>3.57</v>
      </c>
      <c r="G86" s="57">
        <f>F86*耗材价格!E22</f>
        <v>20.535398230088489</v>
      </c>
      <c r="H86" s="57">
        <v>4.17</v>
      </c>
      <c r="I86" s="57">
        <f>H86*耗材价格!E22</f>
        <v>23.986725663716808</v>
      </c>
      <c r="J86" s="57">
        <v>3.57</v>
      </c>
      <c r="K86" s="57">
        <f>J86*耗材价格!E22</f>
        <v>20.535398230088489</v>
      </c>
      <c r="L86" s="57">
        <v>3.57</v>
      </c>
      <c r="M86" s="67">
        <f>L86*耗材价格!E22</f>
        <v>20.535398230088489</v>
      </c>
    </row>
    <row r="87" spans="1:13" x14ac:dyDescent="0.3">
      <c r="A87" s="103"/>
      <c r="B87" s="59">
        <v>21</v>
      </c>
      <c r="C87" s="59" t="s">
        <v>78</v>
      </c>
      <c r="D87" s="56" t="s">
        <v>61</v>
      </c>
      <c r="E87" s="61"/>
      <c r="F87" s="57">
        <v>114</v>
      </c>
      <c r="G87" s="57">
        <f>F87*耗材价格!E23</f>
        <v>4.8424778761061953</v>
      </c>
      <c r="H87" s="57">
        <v>200</v>
      </c>
      <c r="I87" s="57">
        <f>H87*耗材价格!E23</f>
        <v>8.4955752212389388</v>
      </c>
      <c r="J87" s="57">
        <v>114</v>
      </c>
      <c r="K87" s="57">
        <f>J87*耗材价格!E23</f>
        <v>4.8424778761061953</v>
      </c>
      <c r="L87" s="57">
        <v>114</v>
      </c>
      <c r="M87" s="67">
        <f>L87*耗材价格!E23</f>
        <v>4.8424778761061953</v>
      </c>
    </row>
    <row r="88" spans="1:13" x14ac:dyDescent="0.3">
      <c r="A88" s="103"/>
      <c r="B88" s="59">
        <v>22</v>
      </c>
      <c r="C88" s="59" t="s">
        <v>79</v>
      </c>
      <c r="D88" s="56" t="s">
        <v>61</v>
      </c>
      <c r="E88" s="61"/>
      <c r="F88" s="57">
        <v>0.15</v>
      </c>
      <c r="G88" s="57">
        <f>F88*耗材价格!E24</f>
        <v>5.2340707964506201</v>
      </c>
      <c r="H88" s="57">
        <v>0.17</v>
      </c>
      <c r="I88" s="57">
        <f>H88*耗材价格!E24</f>
        <v>5.9319469026440368</v>
      </c>
      <c r="J88" s="57">
        <v>0.15</v>
      </c>
      <c r="K88" s="57">
        <f>J88*耗材价格!E24</f>
        <v>5.2340707964506201</v>
      </c>
      <c r="L88" s="57">
        <v>0.15</v>
      </c>
      <c r="M88" s="67">
        <f>L88*耗材价格!E24</f>
        <v>5.2340707964506201</v>
      </c>
    </row>
    <row r="89" spans="1:13" x14ac:dyDescent="0.3">
      <c r="A89" s="104"/>
      <c r="B89" s="59">
        <v>23</v>
      </c>
      <c r="C89" s="59" t="s">
        <v>80</v>
      </c>
      <c r="D89" s="56" t="s">
        <v>61</v>
      </c>
      <c r="E89" s="61"/>
      <c r="F89" s="57">
        <v>86</v>
      </c>
      <c r="G89" s="57">
        <f>F89*耗材价格!E25</f>
        <v>5.1752212389380547</v>
      </c>
      <c r="H89" s="57">
        <v>101</v>
      </c>
      <c r="I89" s="57">
        <f>H89*耗材价格!E25</f>
        <v>6.077876106194692</v>
      </c>
      <c r="J89" s="57">
        <v>86</v>
      </c>
      <c r="K89" s="57">
        <f>J89*耗材价格!E25</f>
        <v>5.1752212389380547</v>
      </c>
      <c r="L89" s="57">
        <v>101</v>
      </c>
      <c r="M89" s="67">
        <f>L89*耗材价格!E25</f>
        <v>6.077876106194692</v>
      </c>
    </row>
    <row r="90" spans="1:13" x14ac:dyDescent="0.3">
      <c r="A90" s="63" t="s">
        <v>106</v>
      </c>
      <c r="B90" s="59"/>
      <c r="C90" s="59"/>
      <c r="D90" s="56"/>
      <c r="E90" s="61"/>
      <c r="F90" s="57"/>
      <c r="G90" s="57">
        <f>SUM(G67:G89)</f>
        <v>13886.576414165114</v>
      </c>
      <c r="H90" s="57"/>
      <c r="I90" s="57">
        <f t="shared" ref="I90:K90" si="4">SUM(I67:I89)</f>
        <v>18409.645035309266</v>
      </c>
      <c r="J90" s="57"/>
      <c r="K90" s="57">
        <f t="shared" si="4"/>
        <v>15893.606079222447</v>
      </c>
      <c r="L90" s="57"/>
      <c r="M90" s="67">
        <f>SUM(M67:M89)</f>
        <v>17312.991717603225</v>
      </c>
    </row>
    <row r="91" spans="1:13" x14ac:dyDescent="0.3">
      <c r="A91" s="63" t="s">
        <v>107</v>
      </c>
      <c r="B91" s="33"/>
      <c r="C91" s="33"/>
      <c r="D91" s="33"/>
      <c r="E91" s="33"/>
      <c r="F91" s="33"/>
      <c r="G91" s="64">
        <f>销售收入!E17/10000</f>
        <v>500</v>
      </c>
      <c r="H91" s="64"/>
      <c r="I91" s="64">
        <f>销售收入!E18/10000</f>
        <v>400</v>
      </c>
      <c r="J91" s="64"/>
      <c r="K91" s="64">
        <f>销售收入!E19/10000</f>
        <v>550</v>
      </c>
      <c r="L91" s="64"/>
      <c r="M91" s="68">
        <f>销售收入!E20/10000</f>
        <v>750</v>
      </c>
    </row>
    <row r="92" spans="1:13" x14ac:dyDescent="0.3">
      <c r="A92" s="63" t="s">
        <v>108</v>
      </c>
      <c r="B92" s="33"/>
      <c r="C92" s="33"/>
      <c r="D92" s="33"/>
      <c r="E92" s="33"/>
      <c r="F92" s="33"/>
      <c r="G92" s="64">
        <f t="shared" ref="G92:K92" si="5">G90*G91</f>
        <v>6943288.2070825575</v>
      </c>
      <c r="H92" s="64"/>
      <c r="I92" s="64">
        <f t="shared" si="5"/>
        <v>7363858.0141237061</v>
      </c>
      <c r="J92" s="64"/>
      <c r="K92" s="64">
        <f t="shared" si="5"/>
        <v>8741483.3435723465</v>
      </c>
      <c r="L92" s="64"/>
      <c r="M92" s="68">
        <f>M90*M91</f>
        <v>12984743.788202418</v>
      </c>
    </row>
    <row r="93" spans="1:13" x14ac:dyDescent="0.3">
      <c r="A93" s="63" t="s">
        <v>109</v>
      </c>
      <c r="B93" s="33"/>
      <c r="C93" s="33"/>
      <c r="D93" s="33"/>
      <c r="E93" s="33"/>
      <c r="F93" s="33"/>
      <c r="G93" s="64"/>
      <c r="H93" s="64"/>
      <c r="I93" s="64"/>
      <c r="J93" s="64"/>
      <c r="K93" s="64"/>
      <c r="L93" s="64"/>
      <c r="M93" s="68">
        <f>SUM(G92,I92,K92,M92)</f>
        <v>36033373.352981031</v>
      </c>
    </row>
    <row r="94" spans="1:13" x14ac:dyDescent="0.3">
      <c r="A94" s="63" t="s">
        <v>110</v>
      </c>
      <c r="B94" s="33"/>
      <c r="C94" s="33"/>
      <c r="D94" s="33"/>
      <c r="E94" s="33"/>
      <c r="F94" s="33"/>
      <c r="G94" s="64"/>
      <c r="H94" s="64"/>
      <c r="I94" s="64"/>
      <c r="J94" s="64"/>
      <c r="K94" s="64"/>
      <c r="L94" s="64"/>
      <c r="M94" s="68">
        <f>SUM(F91:M91)*80/1000*2500</f>
        <v>440000</v>
      </c>
    </row>
    <row r="95" spans="1:13" x14ac:dyDescent="0.3">
      <c r="A95" s="51" t="s">
        <v>111</v>
      </c>
      <c r="B95" s="52"/>
      <c r="C95" s="52"/>
      <c r="D95" s="52"/>
      <c r="E95" s="52"/>
      <c r="F95" s="52"/>
      <c r="G95" s="65"/>
      <c r="H95" s="65"/>
      <c r="I95" s="65"/>
      <c r="J95" s="65"/>
      <c r="K95" s="65"/>
      <c r="L95" s="65"/>
      <c r="M95" s="53">
        <f>M93-M94</f>
        <v>35593373.352981031</v>
      </c>
    </row>
    <row r="97" spans="1:13" ht="20.25" x14ac:dyDescent="0.3">
      <c r="A97" s="43" t="s">
        <v>4</v>
      </c>
    </row>
    <row r="98" spans="1:13" ht="38.25" x14ac:dyDescent="0.3">
      <c r="A98" s="2" t="s">
        <v>85</v>
      </c>
      <c r="B98" s="44" t="s">
        <v>86</v>
      </c>
      <c r="C98" s="44" t="s">
        <v>87</v>
      </c>
      <c r="D98" s="44" t="s">
        <v>50</v>
      </c>
      <c r="E98" s="44" t="s">
        <v>88</v>
      </c>
      <c r="F98" s="54" t="s">
        <v>89</v>
      </c>
      <c r="G98" s="54" t="s">
        <v>90</v>
      </c>
      <c r="H98" s="54" t="s">
        <v>91</v>
      </c>
      <c r="I98" s="54" t="s">
        <v>92</v>
      </c>
      <c r="J98" s="54" t="s">
        <v>93</v>
      </c>
      <c r="K98" s="54" t="s">
        <v>94</v>
      </c>
      <c r="L98" s="54" t="s">
        <v>95</v>
      </c>
      <c r="M98" s="66" t="s">
        <v>96</v>
      </c>
    </row>
    <row r="99" spans="1:13" ht="28.05" customHeight="1" x14ac:dyDescent="0.3">
      <c r="A99" s="55" t="s">
        <v>97</v>
      </c>
      <c r="B99" s="56">
        <v>1</v>
      </c>
      <c r="C99" s="56" t="s">
        <v>98</v>
      </c>
      <c r="D99" s="56" t="s">
        <v>99</v>
      </c>
      <c r="E99" s="56"/>
      <c r="F99" s="57">
        <f>硅料单耗计算!H27*10000</f>
        <v>143.48134901005795</v>
      </c>
      <c r="G99" s="57">
        <f>硅料单耗计算!D27*F99</f>
        <v>12195.914665854925</v>
      </c>
      <c r="H99" s="57">
        <f>硅料单耗计算!H28*10000</f>
        <v>189.04736837707534</v>
      </c>
      <c r="I99" s="57">
        <f>硅料单耗计算!D28*H99</f>
        <v>16069.026312051405</v>
      </c>
      <c r="J99" s="57">
        <f>+硅料单耗计算!H29*10000</f>
        <v>163.65043543673869</v>
      </c>
      <c r="K99" s="57">
        <f>硅料单耗计算!D29*J99</f>
        <v>13910.287012122788</v>
      </c>
      <c r="L99" s="57">
        <f>硅料单耗计算!H30*10000</f>
        <v>212.02550154997957</v>
      </c>
      <c r="M99" s="67">
        <f>硅料单耗计算!D30*L99</f>
        <v>15265.836111598528</v>
      </c>
    </row>
    <row r="100" spans="1:13" x14ac:dyDescent="0.3">
      <c r="A100" s="58" t="s">
        <v>100</v>
      </c>
      <c r="B100" s="59">
        <v>2</v>
      </c>
      <c r="C100" s="59" t="s">
        <v>51</v>
      </c>
      <c r="D100" s="59" t="s">
        <v>52</v>
      </c>
      <c r="E100" s="59"/>
      <c r="F100" s="57">
        <v>400</v>
      </c>
      <c r="G100" s="57">
        <f>F100*耗材价格!F3</f>
        <v>236.0183957870544</v>
      </c>
      <c r="H100" s="57">
        <v>536.67999999999995</v>
      </c>
      <c r="I100" s="57">
        <f>H100*耗材价格!F3</f>
        <v>316.66588162749082</v>
      </c>
      <c r="J100" s="57">
        <v>520.4</v>
      </c>
      <c r="K100" s="57">
        <f>J100*耗材价格!F3</f>
        <v>307.05993291895777</v>
      </c>
      <c r="L100" s="57">
        <v>520.4</v>
      </c>
      <c r="M100" s="67">
        <f>L100*耗材价格!F3</f>
        <v>307.05993291895777</v>
      </c>
    </row>
    <row r="101" spans="1:13" x14ac:dyDescent="0.3">
      <c r="A101" s="102" t="s">
        <v>101</v>
      </c>
      <c r="B101" s="59">
        <v>3</v>
      </c>
      <c r="C101" s="59" t="s">
        <v>55</v>
      </c>
      <c r="D101" s="56" t="s">
        <v>56</v>
      </c>
      <c r="E101" s="59"/>
      <c r="F101" s="57">
        <v>0.158</v>
      </c>
      <c r="G101" s="57">
        <f>F101*耗材价格!F5</f>
        <v>5.0671858406945356</v>
      </c>
      <c r="H101" s="57">
        <v>0.18</v>
      </c>
      <c r="I101" s="57">
        <f>H101*耗材价格!F5</f>
        <v>5.7727433628165592</v>
      </c>
      <c r="J101" s="57">
        <v>0.158</v>
      </c>
      <c r="K101" s="57">
        <f>J101*耗材价格!F5</f>
        <v>5.0671858406945356</v>
      </c>
      <c r="L101" s="57">
        <v>0.158</v>
      </c>
      <c r="M101" s="67">
        <f>L101*耗材价格!F5</f>
        <v>5.0671858406945356</v>
      </c>
    </row>
    <row r="102" spans="1:13" x14ac:dyDescent="0.3">
      <c r="A102" s="103"/>
      <c r="B102" s="59">
        <v>4</v>
      </c>
      <c r="C102" s="59" t="s">
        <v>57</v>
      </c>
      <c r="D102" s="56" t="s">
        <v>56</v>
      </c>
      <c r="E102" s="59"/>
      <c r="F102" s="57">
        <v>0.14399999999999999</v>
      </c>
      <c r="G102" s="57">
        <f>F102*耗材价格!F6</f>
        <v>7.7861946902349013</v>
      </c>
      <c r="H102" s="57">
        <v>0.2</v>
      </c>
      <c r="I102" s="57">
        <f>H102*耗材价格!F6</f>
        <v>10.814159291992921</v>
      </c>
      <c r="J102" s="57">
        <v>0.14399999999999999</v>
      </c>
      <c r="K102" s="57">
        <f>J102*耗材价格!F6</f>
        <v>7.7861946902349013</v>
      </c>
      <c r="L102" s="57">
        <v>0.14399999999999999</v>
      </c>
      <c r="M102" s="67">
        <f>L102*耗材价格!F6</f>
        <v>7.7861946902349013</v>
      </c>
    </row>
    <row r="103" spans="1:13" ht="25.5" x14ac:dyDescent="0.3">
      <c r="A103" s="103"/>
      <c r="B103" s="59">
        <v>5</v>
      </c>
      <c r="C103" s="56" t="s">
        <v>58</v>
      </c>
      <c r="D103" s="56" t="s">
        <v>59</v>
      </c>
      <c r="E103" s="60" t="s">
        <v>102</v>
      </c>
      <c r="F103" s="57"/>
      <c r="G103" s="57">
        <f>F103*耗材价格!F7</f>
        <v>0</v>
      </c>
      <c r="H103" s="57"/>
      <c r="I103" s="57">
        <f>H103*耗材价格!F7</f>
        <v>0</v>
      </c>
      <c r="J103" s="57"/>
      <c r="K103" s="57">
        <f>J103*耗材价格!F7</f>
        <v>0</v>
      </c>
      <c r="L103" s="57"/>
      <c r="M103" s="67">
        <f>L103*耗材价格!F7</f>
        <v>0</v>
      </c>
    </row>
    <row r="104" spans="1:13" x14ac:dyDescent="0.3">
      <c r="A104" s="103"/>
      <c r="B104" s="59">
        <v>6</v>
      </c>
      <c r="C104" s="59" t="s">
        <v>60</v>
      </c>
      <c r="D104" s="56" t="s">
        <v>61</v>
      </c>
      <c r="E104" s="59"/>
      <c r="F104" s="57">
        <v>2.2530000000000001</v>
      </c>
      <c r="G104" s="57">
        <f>F104*耗材价格!F8</f>
        <v>33.89469026548668</v>
      </c>
      <c r="H104" s="57">
        <v>2.5640000000000001</v>
      </c>
      <c r="I104" s="57">
        <f>H104*耗材价格!F8</f>
        <v>38.573451327433581</v>
      </c>
      <c r="J104" s="57">
        <v>2.2530000000000001</v>
      </c>
      <c r="K104" s="57">
        <f>J104*耗材价格!F8</f>
        <v>33.89469026548668</v>
      </c>
      <c r="L104" s="57">
        <v>2.2530000000000001</v>
      </c>
      <c r="M104" s="67">
        <f>L104*耗材价格!F8</f>
        <v>33.89469026548668</v>
      </c>
    </row>
    <row r="105" spans="1:13" ht="25.5" x14ac:dyDescent="0.3">
      <c r="A105" s="104"/>
      <c r="B105" s="59">
        <v>7</v>
      </c>
      <c r="C105" s="56" t="s">
        <v>62</v>
      </c>
      <c r="D105" s="56" t="s">
        <v>59</v>
      </c>
      <c r="E105" s="60" t="s">
        <v>102</v>
      </c>
      <c r="F105" s="57"/>
      <c r="G105" s="57">
        <f>F105*耗材价格!F9</f>
        <v>0</v>
      </c>
      <c r="H105" s="57"/>
      <c r="I105" s="57">
        <f>H105*耗材价格!F9</f>
        <v>0</v>
      </c>
      <c r="J105" s="57"/>
      <c r="K105" s="57">
        <f>J105*耗材价格!F9</f>
        <v>0</v>
      </c>
      <c r="L105" s="57"/>
      <c r="M105" s="67">
        <f>L105*耗材价格!F9</f>
        <v>0</v>
      </c>
    </row>
    <row r="106" spans="1:13" x14ac:dyDescent="0.3">
      <c r="A106" s="102" t="s">
        <v>103</v>
      </c>
      <c r="B106" s="59">
        <v>8</v>
      </c>
      <c r="C106" s="59" t="s">
        <v>63</v>
      </c>
      <c r="D106" s="56" t="s">
        <v>64</v>
      </c>
      <c r="E106" s="61"/>
      <c r="F106" s="57">
        <v>34.965184239624598</v>
      </c>
      <c r="G106" s="57">
        <f>F106*耗材价格!F10</f>
        <v>508.2024216355739</v>
      </c>
      <c r="H106" s="57">
        <v>50</v>
      </c>
      <c r="I106" s="57">
        <f>H106*耗材价格!F10</f>
        <v>726.72636035998494</v>
      </c>
      <c r="J106" s="57">
        <v>43</v>
      </c>
      <c r="K106" s="57">
        <f>J106*耗材价格!F10</f>
        <v>624.98466990958707</v>
      </c>
      <c r="L106" s="57">
        <v>47.739268121041498</v>
      </c>
      <c r="M106" s="67">
        <f>L106*耗材价格!F10</f>
        <v>693.86769135707891</v>
      </c>
    </row>
    <row r="107" spans="1:13" x14ac:dyDescent="0.3">
      <c r="A107" s="103"/>
      <c r="B107" s="59">
        <v>9</v>
      </c>
      <c r="C107" s="59" t="s">
        <v>65</v>
      </c>
      <c r="D107" s="56" t="s">
        <v>56</v>
      </c>
      <c r="E107" s="61"/>
      <c r="F107" s="57">
        <v>8.1119227435929204</v>
      </c>
      <c r="G107" s="57">
        <f>F107*耗材价格!F11</f>
        <v>125.99351636802061</v>
      </c>
      <c r="H107" s="57">
        <v>13.9418112244898</v>
      </c>
      <c r="I107" s="57">
        <f>H107*耗材价格!F11</f>
        <v>216.5427206638544</v>
      </c>
      <c r="J107" s="57">
        <v>8.1119227435929204</v>
      </c>
      <c r="K107" s="57">
        <f>J107*耗材价格!F11</f>
        <v>125.99351636802061</v>
      </c>
      <c r="L107" s="57">
        <v>8.1119227435929204</v>
      </c>
      <c r="M107" s="67">
        <f>L107*耗材价格!F11</f>
        <v>125.99351636802061</v>
      </c>
    </row>
    <row r="108" spans="1:13" x14ac:dyDescent="0.3">
      <c r="A108" s="103"/>
      <c r="B108" s="59">
        <v>10</v>
      </c>
      <c r="C108" s="59" t="s">
        <v>66</v>
      </c>
      <c r="D108" s="56" t="s">
        <v>61</v>
      </c>
      <c r="E108" s="61"/>
      <c r="F108" s="57">
        <v>0.27</v>
      </c>
      <c r="G108" s="57">
        <f>F108*耗材价格!F12</f>
        <v>1.581769911492956</v>
      </c>
      <c r="H108" s="57">
        <v>0.308</v>
      </c>
      <c r="I108" s="57">
        <f>H108*耗材价格!F12</f>
        <v>1.8043893805178903</v>
      </c>
      <c r="J108" s="57">
        <v>0.27</v>
      </c>
      <c r="K108" s="57">
        <f>J108*耗材价格!F12</f>
        <v>1.581769911492956</v>
      </c>
      <c r="L108" s="57">
        <v>0.27</v>
      </c>
      <c r="M108" s="67">
        <f>L108*耗材价格!F12</f>
        <v>1.581769911492956</v>
      </c>
    </row>
    <row r="109" spans="1:13" ht="25.5" x14ac:dyDescent="0.3">
      <c r="A109" s="103"/>
      <c r="B109" s="59">
        <v>11</v>
      </c>
      <c r="C109" s="56" t="s">
        <v>67</v>
      </c>
      <c r="D109" s="56" t="s">
        <v>59</v>
      </c>
      <c r="E109" s="60" t="s">
        <v>102</v>
      </c>
      <c r="F109" s="62"/>
      <c r="G109" s="57">
        <f>F109*耗材价格!F13</f>
        <v>0</v>
      </c>
      <c r="H109" s="62"/>
      <c r="I109" s="57">
        <f>H109*耗材价格!F13</f>
        <v>0</v>
      </c>
      <c r="J109" s="62"/>
      <c r="K109" s="57">
        <f>J109*耗材价格!F13</f>
        <v>0</v>
      </c>
      <c r="L109" s="62"/>
      <c r="M109" s="67">
        <f>L109*耗材价格!F13</f>
        <v>0</v>
      </c>
    </row>
    <row r="110" spans="1:13" ht="25.5" x14ac:dyDescent="0.3">
      <c r="A110" s="103"/>
      <c r="B110" s="59">
        <v>12</v>
      </c>
      <c r="C110" s="56" t="s">
        <v>68</v>
      </c>
      <c r="D110" s="56" t="s">
        <v>59</v>
      </c>
      <c r="E110" s="60" t="s">
        <v>102</v>
      </c>
      <c r="F110" s="62"/>
      <c r="G110" s="57">
        <f>F110*耗材价格!F14</f>
        <v>0</v>
      </c>
      <c r="H110" s="62"/>
      <c r="I110" s="57">
        <f>H110*耗材价格!F14</f>
        <v>0</v>
      </c>
      <c r="J110" s="62"/>
      <c r="K110" s="57">
        <f>J110*耗材价格!F14</f>
        <v>0</v>
      </c>
      <c r="L110" s="62"/>
      <c r="M110" s="67">
        <f>L110*耗材价格!F14</f>
        <v>0</v>
      </c>
    </row>
    <row r="111" spans="1:13" x14ac:dyDescent="0.3">
      <c r="A111" s="104"/>
      <c r="B111" s="59">
        <v>13</v>
      </c>
      <c r="C111" s="59" t="s">
        <v>69</v>
      </c>
      <c r="D111" s="56" t="s">
        <v>61</v>
      </c>
      <c r="E111" s="61"/>
      <c r="F111" s="57">
        <v>0.45100000000000001</v>
      </c>
      <c r="G111" s="57">
        <f>F111*耗材价格!F15</f>
        <v>1.3969026548672554</v>
      </c>
      <c r="H111" s="57">
        <v>0.51300000000000001</v>
      </c>
      <c r="I111" s="57">
        <f>H111*耗材价格!F15</f>
        <v>1.5889380530973438</v>
      </c>
      <c r="J111" s="57">
        <v>0.45100000000000001</v>
      </c>
      <c r="K111" s="57">
        <f>J111*耗材价格!F15</f>
        <v>1.3969026548672554</v>
      </c>
      <c r="L111" s="57">
        <v>0.45100000000000001</v>
      </c>
      <c r="M111" s="67">
        <f>L111*耗材价格!F15</f>
        <v>1.3969026548672554</v>
      </c>
    </row>
    <row r="112" spans="1:13" x14ac:dyDescent="0.3">
      <c r="A112" s="102" t="s">
        <v>104</v>
      </c>
      <c r="B112" s="59">
        <v>14</v>
      </c>
      <c r="C112" s="59" t="s">
        <v>70</v>
      </c>
      <c r="D112" s="56" t="s">
        <v>56</v>
      </c>
      <c r="E112" s="61"/>
      <c r="F112" s="57">
        <v>2.1259999999999999</v>
      </c>
      <c r="G112" s="57">
        <f>F112*耗材价格!F16</f>
        <v>3.3579511504388582</v>
      </c>
      <c r="H112" s="57">
        <v>2.258</v>
      </c>
      <c r="I112" s="57">
        <f>H112*耗材价格!F16</f>
        <v>3.566441061943058</v>
      </c>
      <c r="J112" s="57">
        <v>2.1259999999999999</v>
      </c>
      <c r="K112" s="57">
        <f>J112*耗材价格!F16</f>
        <v>3.3579511504388582</v>
      </c>
      <c r="L112" s="57">
        <v>2.258</v>
      </c>
      <c r="M112" s="67">
        <f>L112*耗材价格!F16</f>
        <v>3.566441061943058</v>
      </c>
    </row>
    <row r="113" spans="1:13" x14ac:dyDescent="0.3">
      <c r="A113" s="103"/>
      <c r="B113" s="59">
        <v>15</v>
      </c>
      <c r="C113" s="59" t="s">
        <v>71</v>
      </c>
      <c r="D113" s="56" t="s">
        <v>56</v>
      </c>
      <c r="E113" s="61"/>
      <c r="F113" s="57">
        <v>6.0709999999999997</v>
      </c>
      <c r="G113" s="57">
        <f>F113*耗材价格!F17</f>
        <v>20.673635398126915</v>
      </c>
      <c r="H113" s="57">
        <v>7.843</v>
      </c>
      <c r="I113" s="57">
        <f>H113*耗材价格!F17</f>
        <v>26.707844247654325</v>
      </c>
      <c r="J113" s="57">
        <v>6.0709999999999997</v>
      </c>
      <c r="K113" s="57">
        <f>J113*耗材价格!F17</f>
        <v>20.673635398126915</v>
      </c>
      <c r="L113" s="57">
        <v>6.0709999999999997</v>
      </c>
      <c r="M113" s="67">
        <f>L113*耗材价格!F17</f>
        <v>20.673635398126915</v>
      </c>
    </row>
    <row r="114" spans="1:13" x14ac:dyDescent="0.3">
      <c r="A114" s="103"/>
      <c r="B114" s="59">
        <v>16</v>
      </c>
      <c r="C114" s="59" t="s">
        <v>72</v>
      </c>
      <c r="D114" s="56" t="s">
        <v>73</v>
      </c>
      <c r="E114" s="61"/>
      <c r="F114" s="57">
        <v>4.2999999999999997E-2</v>
      </c>
      <c r="G114" s="57">
        <f>F114*耗材价格!F18</f>
        <v>0.35861238938016554</v>
      </c>
      <c r="H114" s="57">
        <v>4.4999999999999998E-2</v>
      </c>
      <c r="I114" s="57">
        <f>H114*耗材价格!F18</f>
        <v>0.37529203539784772</v>
      </c>
      <c r="J114" s="57">
        <v>4.2999999999999997E-2</v>
      </c>
      <c r="K114" s="57">
        <f>J114*耗材价格!F18</f>
        <v>0.35861238938016554</v>
      </c>
      <c r="L114" s="57">
        <v>4.4999999999999998E-2</v>
      </c>
      <c r="M114" s="67">
        <f>L114*耗材价格!F18</f>
        <v>0.37529203539784772</v>
      </c>
    </row>
    <row r="115" spans="1:13" x14ac:dyDescent="0.3">
      <c r="A115" s="104"/>
      <c r="B115" s="59">
        <v>17</v>
      </c>
      <c r="C115" s="59" t="s">
        <v>74</v>
      </c>
      <c r="D115" s="56" t="s">
        <v>56</v>
      </c>
      <c r="E115" s="61"/>
      <c r="F115" s="57">
        <v>0.84499999999999997</v>
      </c>
      <c r="G115" s="57">
        <f>F115*耗材价格!F19</f>
        <v>5.7759115044175999</v>
      </c>
      <c r="H115" s="57">
        <v>0.96099999999999997</v>
      </c>
      <c r="I115" s="57">
        <f>H115*耗材价格!F19</f>
        <v>6.5688176991068801</v>
      </c>
      <c r="J115" s="57">
        <v>0.84499999999999997</v>
      </c>
      <c r="K115" s="57">
        <f>J115*耗材价格!F19</f>
        <v>5.7759115044175999</v>
      </c>
      <c r="L115" s="57">
        <v>0.84499999999999997</v>
      </c>
      <c r="M115" s="67">
        <f>L115*耗材价格!F19</f>
        <v>5.7759115044175999</v>
      </c>
    </row>
    <row r="116" spans="1:13" x14ac:dyDescent="0.3">
      <c r="A116" s="102" t="s">
        <v>105</v>
      </c>
      <c r="B116" s="59">
        <v>18</v>
      </c>
      <c r="C116" s="59" t="s">
        <v>75</v>
      </c>
      <c r="D116" s="56" t="s">
        <v>61</v>
      </c>
      <c r="E116" s="61"/>
      <c r="F116" s="57">
        <v>57.14</v>
      </c>
      <c r="G116" s="57">
        <f>F116*耗材价格!F20</f>
        <v>3.0582541592823267</v>
      </c>
      <c r="H116" s="57">
        <v>100</v>
      </c>
      <c r="I116" s="57">
        <f>H116*耗材价格!F20</f>
        <v>5.3522123893635403</v>
      </c>
      <c r="J116" s="57">
        <v>57.14</v>
      </c>
      <c r="K116" s="57">
        <f>J116*耗材价格!F20</f>
        <v>3.0582541592823267</v>
      </c>
      <c r="L116" s="57">
        <v>57.14</v>
      </c>
      <c r="M116" s="67">
        <f>L116*耗材价格!F20</f>
        <v>3.0582541592823267</v>
      </c>
    </row>
    <row r="117" spans="1:13" x14ac:dyDescent="0.3">
      <c r="A117" s="103"/>
      <c r="B117" s="59">
        <v>19</v>
      </c>
      <c r="C117" s="59" t="s">
        <v>76</v>
      </c>
      <c r="D117" s="56" t="s">
        <v>61</v>
      </c>
      <c r="E117" s="61"/>
      <c r="F117" s="57">
        <v>28.57</v>
      </c>
      <c r="G117" s="57">
        <f>F117*耗材价格!F21</f>
        <v>2.9834159292035416</v>
      </c>
      <c r="H117" s="57">
        <v>33.33</v>
      </c>
      <c r="I117" s="57">
        <f>H117*耗材价格!F21</f>
        <v>3.4804778761061965</v>
      </c>
      <c r="J117" s="57">
        <v>28.57</v>
      </c>
      <c r="K117" s="57">
        <f>J117*耗材价格!F21</f>
        <v>2.9834159292035416</v>
      </c>
      <c r="L117" s="57">
        <v>33.33</v>
      </c>
      <c r="M117" s="67">
        <f>L117*耗材价格!F21</f>
        <v>3.4804778761061965</v>
      </c>
    </row>
    <row r="118" spans="1:13" x14ac:dyDescent="0.3">
      <c r="A118" s="103"/>
      <c r="B118" s="59">
        <v>20</v>
      </c>
      <c r="C118" s="59" t="s">
        <v>77</v>
      </c>
      <c r="D118" s="56" t="s">
        <v>61</v>
      </c>
      <c r="E118" s="61"/>
      <c r="F118" s="57">
        <v>3.57</v>
      </c>
      <c r="G118" s="57">
        <f>F118*耗材价格!F22</f>
        <v>20.535398230088489</v>
      </c>
      <c r="H118" s="57">
        <v>4.17</v>
      </c>
      <c r="I118" s="57">
        <f>H118*耗材价格!F22</f>
        <v>23.986725663716808</v>
      </c>
      <c r="J118" s="57">
        <v>3.57</v>
      </c>
      <c r="K118" s="57">
        <f>J118*耗材价格!F22</f>
        <v>20.535398230088489</v>
      </c>
      <c r="L118" s="57">
        <v>3.57</v>
      </c>
      <c r="M118" s="67">
        <f>L118*耗材价格!F22</f>
        <v>20.535398230088489</v>
      </c>
    </row>
    <row r="119" spans="1:13" x14ac:dyDescent="0.3">
      <c r="A119" s="103"/>
      <c r="B119" s="59">
        <v>21</v>
      </c>
      <c r="C119" s="59" t="s">
        <v>78</v>
      </c>
      <c r="D119" s="56" t="s">
        <v>61</v>
      </c>
      <c r="E119" s="61"/>
      <c r="F119" s="57">
        <v>114</v>
      </c>
      <c r="G119" s="57">
        <f>F119*耗材价格!F23</f>
        <v>4.8424778761061953</v>
      </c>
      <c r="H119" s="57">
        <v>200</v>
      </c>
      <c r="I119" s="57">
        <f>H119*耗材价格!F23</f>
        <v>8.4955752212389388</v>
      </c>
      <c r="J119" s="57">
        <v>114</v>
      </c>
      <c r="K119" s="57">
        <f>J119*耗材价格!F23</f>
        <v>4.8424778761061953</v>
      </c>
      <c r="L119" s="57">
        <v>114</v>
      </c>
      <c r="M119" s="67">
        <f>L119*耗材价格!F23</f>
        <v>4.8424778761061953</v>
      </c>
    </row>
    <row r="120" spans="1:13" x14ac:dyDescent="0.3">
      <c r="A120" s="103"/>
      <c r="B120" s="59">
        <v>22</v>
      </c>
      <c r="C120" s="59" t="s">
        <v>79</v>
      </c>
      <c r="D120" s="56" t="s">
        <v>61</v>
      </c>
      <c r="E120" s="61"/>
      <c r="F120" s="57">
        <v>0.15</v>
      </c>
      <c r="G120" s="57">
        <f>F120*耗材价格!F24</f>
        <v>5.2340707964506201</v>
      </c>
      <c r="H120" s="57">
        <v>0.17</v>
      </c>
      <c r="I120" s="57">
        <f>H120*耗材价格!F24</f>
        <v>5.9319469026440368</v>
      </c>
      <c r="J120" s="57">
        <v>0.15</v>
      </c>
      <c r="K120" s="57">
        <f>J120*耗材价格!F24</f>
        <v>5.2340707964506201</v>
      </c>
      <c r="L120" s="57">
        <v>0.15</v>
      </c>
      <c r="M120" s="67">
        <f>L120*耗材价格!F24</f>
        <v>5.2340707964506201</v>
      </c>
    </row>
    <row r="121" spans="1:13" x14ac:dyDescent="0.3">
      <c r="A121" s="104"/>
      <c r="B121" s="59">
        <v>23</v>
      </c>
      <c r="C121" s="59" t="s">
        <v>80</v>
      </c>
      <c r="D121" s="56" t="s">
        <v>61</v>
      </c>
      <c r="E121" s="61"/>
      <c r="F121" s="57">
        <v>86</v>
      </c>
      <c r="G121" s="57">
        <f>F121*耗材价格!F25</f>
        <v>5.1752212389380547</v>
      </c>
      <c r="H121" s="57">
        <v>101</v>
      </c>
      <c r="I121" s="57">
        <f>H121*耗材价格!F25</f>
        <v>6.077876106194692</v>
      </c>
      <c r="J121" s="57">
        <v>86</v>
      </c>
      <c r="K121" s="57">
        <f>J121*耗材价格!F25</f>
        <v>5.1752212389380547</v>
      </c>
      <c r="L121" s="57">
        <v>101</v>
      </c>
      <c r="M121" s="67">
        <f>L121*耗材价格!F25</f>
        <v>6.077876106194692</v>
      </c>
    </row>
    <row r="122" spans="1:13" x14ac:dyDescent="0.3">
      <c r="A122" s="63" t="s">
        <v>106</v>
      </c>
      <c r="B122" s="59"/>
      <c r="C122" s="59"/>
      <c r="D122" s="56"/>
      <c r="E122" s="61"/>
      <c r="F122" s="57"/>
      <c r="G122" s="57">
        <f>SUM(G99:G121)</f>
        <v>13187.850691680782</v>
      </c>
      <c r="H122" s="57"/>
      <c r="I122" s="57">
        <f t="shared" ref="I122:K122" si="6">SUM(I99:I121)</f>
        <v>17478.058165321963</v>
      </c>
      <c r="J122" s="57"/>
      <c r="K122" s="57">
        <f t="shared" si="6"/>
        <v>15090.046823354562</v>
      </c>
      <c r="L122" s="57"/>
      <c r="M122" s="67">
        <f>SUM(M99:M121)</f>
        <v>16516.103830649474</v>
      </c>
    </row>
    <row r="123" spans="1:13" x14ac:dyDescent="0.3">
      <c r="A123" s="63" t="s">
        <v>107</v>
      </c>
      <c r="B123" s="33"/>
      <c r="C123" s="33"/>
      <c r="D123" s="33"/>
      <c r="E123" s="33"/>
      <c r="F123" s="33"/>
      <c r="G123" s="64">
        <f>销售收入!E24/10000</f>
        <v>330</v>
      </c>
      <c r="H123" s="64"/>
      <c r="I123" s="64">
        <f>销售收入!E25/10000</f>
        <v>450</v>
      </c>
      <c r="J123" s="64"/>
      <c r="K123" s="64">
        <f>销售收入!E26/10000</f>
        <v>750</v>
      </c>
      <c r="L123" s="64"/>
      <c r="M123" s="68">
        <f>销售收入!E27/10000</f>
        <v>850</v>
      </c>
    </row>
    <row r="124" spans="1:13" x14ac:dyDescent="0.3">
      <c r="A124" s="63" t="s">
        <v>108</v>
      </c>
      <c r="B124" s="33"/>
      <c r="C124" s="33"/>
      <c r="D124" s="33"/>
      <c r="E124" s="33"/>
      <c r="F124" s="33"/>
      <c r="G124" s="64">
        <f>G122*G123</f>
        <v>4351990.7282546582</v>
      </c>
      <c r="H124" s="64"/>
      <c r="I124" s="64">
        <f>I122*I123</f>
        <v>7865126.1743948832</v>
      </c>
      <c r="J124" s="64"/>
      <c r="K124" s="64">
        <f>K122*K123</f>
        <v>11317535.117515922</v>
      </c>
      <c r="L124" s="64"/>
      <c r="M124" s="68">
        <f>M122*M123</f>
        <v>14038688.256052053</v>
      </c>
    </row>
    <row r="125" spans="1:13" x14ac:dyDescent="0.3">
      <c r="A125" s="63" t="s">
        <v>109</v>
      </c>
      <c r="B125" s="33"/>
      <c r="C125" s="33"/>
      <c r="D125" s="33"/>
      <c r="E125" s="33"/>
      <c r="F125" s="33"/>
      <c r="G125" s="64"/>
      <c r="H125" s="64"/>
      <c r="I125" s="64"/>
      <c r="J125" s="64"/>
      <c r="K125" s="64"/>
      <c r="L125" s="64"/>
      <c r="M125" s="68">
        <f>SUM(G124,I124,K124,M124)</f>
        <v>37573340.276217513</v>
      </c>
    </row>
    <row r="126" spans="1:13" x14ac:dyDescent="0.3">
      <c r="A126" s="63" t="s">
        <v>110</v>
      </c>
      <c r="B126" s="33"/>
      <c r="C126" s="33"/>
      <c r="D126" s="33"/>
      <c r="E126" s="33"/>
      <c r="F126" s="33"/>
      <c r="G126" s="64"/>
      <c r="H126" s="64"/>
      <c r="I126" s="64"/>
      <c r="J126" s="64"/>
      <c r="K126" s="64"/>
      <c r="L126" s="64"/>
      <c r="M126" s="68">
        <f>SUM(F123:M123)*80/1000*2500</f>
        <v>476000</v>
      </c>
    </row>
    <row r="127" spans="1:13" x14ac:dyDescent="0.3">
      <c r="A127" s="51" t="s">
        <v>111</v>
      </c>
      <c r="B127" s="52"/>
      <c r="C127" s="52"/>
      <c r="D127" s="52"/>
      <c r="E127" s="52"/>
      <c r="F127" s="52"/>
      <c r="G127" s="65"/>
      <c r="H127" s="65"/>
      <c r="I127" s="65"/>
      <c r="J127" s="65"/>
      <c r="K127" s="65"/>
      <c r="L127" s="65"/>
      <c r="M127" s="53">
        <f>M125-M126</f>
        <v>37097340.276217513</v>
      </c>
    </row>
    <row r="129" spans="1:13" ht="20.25" x14ac:dyDescent="0.3">
      <c r="A129" s="43" t="s">
        <v>5</v>
      </c>
    </row>
    <row r="130" spans="1:13" ht="38.25" x14ac:dyDescent="0.3">
      <c r="A130" s="2" t="s">
        <v>85</v>
      </c>
      <c r="B130" s="44" t="s">
        <v>86</v>
      </c>
      <c r="C130" s="44" t="s">
        <v>87</v>
      </c>
      <c r="D130" s="44" t="s">
        <v>50</v>
      </c>
      <c r="E130" s="44" t="s">
        <v>88</v>
      </c>
      <c r="F130" s="54" t="s">
        <v>89</v>
      </c>
      <c r="G130" s="54" t="s">
        <v>90</v>
      </c>
      <c r="H130" s="54" t="s">
        <v>91</v>
      </c>
      <c r="I130" s="54" t="s">
        <v>92</v>
      </c>
      <c r="J130" s="54" t="s">
        <v>93</v>
      </c>
      <c r="K130" s="54" t="s">
        <v>94</v>
      </c>
      <c r="L130" s="54" t="s">
        <v>95</v>
      </c>
      <c r="M130" s="66" t="s">
        <v>96</v>
      </c>
    </row>
    <row r="131" spans="1:13" ht="28.05" customHeight="1" x14ac:dyDescent="0.3">
      <c r="A131" s="55" t="s">
        <v>97</v>
      </c>
      <c r="B131" s="56">
        <v>1</v>
      </c>
      <c r="C131" s="56" t="s">
        <v>98</v>
      </c>
      <c r="D131" s="56" t="s">
        <v>99</v>
      </c>
      <c r="E131" s="56"/>
      <c r="F131" s="57">
        <f>硅料单耗计算!H35*10000</f>
        <v>143.33568266588532</v>
      </c>
      <c r="G131" s="57">
        <f>硅料单耗计算!D35*F131</f>
        <v>12183.533026600251</v>
      </c>
      <c r="H131" s="57">
        <f>硅料单耗计算!H36*10000</f>
        <v>188.85544211476358</v>
      </c>
      <c r="I131" s="57">
        <f>硅料单耗计算!D36*H131</f>
        <v>16052.712579754903</v>
      </c>
      <c r="J131" s="57">
        <f>+硅料单耗计算!H37*10000</f>
        <v>163.48429286269123</v>
      </c>
      <c r="K131" s="57">
        <f>硅料单耗计算!D37*J131</f>
        <v>13896.164893328754</v>
      </c>
      <c r="L131" s="57">
        <f>硅料单耗计算!H38*10000</f>
        <v>211.81024723368515</v>
      </c>
      <c r="M131" s="67">
        <f>硅料单耗计算!D38*L131</f>
        <v>15250.337800825331</v>
      </c>
    </row>
    <row r="132" spans="1:13" x14ac:dyDescent="0.3">
      <c r="A132" s="58" t="s">
        <v>100</v>
      </c>
      <c r="B132" s="59">
        <v>2</v>
      </c>
      <c r="C132" s="59" t="s">
        <v>51</v>
      </c>
      <c r="D132" s="59" t="s">
        <v>52</v>
      </c>
      <c r="E132" s="59"/>
      <c r="F132" s="57">
        <v>400</v>
      </c>
      <c r="G132" s="57">
        <f>F132*耗材价格!G3</f>
        <v>244.5836008870848</v>
      </c>
      <c r="H132" s="57">
        <v>536.67999999999995</v>
      </c>
      <c r="I132" s="57">
        <f>H132*耗材价格!G3</f>
        <v>328.15781731020166</v>
      </c>
      <c r="J132" s="57">
        <v>520.4</v>
      </c>
      <c r="K132" s="57">
        <f>J132*耗材价格!G3</f>
        <v>318.20326475409729</v>
      </c>
      <c r="L132" s="57">
        <v>520.4</v>
      </c>
      <c r="M132" s="67">
        <f>L132*耗材价格!G3</f>
        <v>318.20326475409729</v>
      </c>
    </row>
    <row r="133" spans="1:13" x14ac:dyDescent="0.3">
      <c r="A133" s="102" t="s">
        <v>101</v>
      </c>
      <c r="B133" s="59">
        <v>3</v>
      </c>
      <c r="C133" s="59" t="s">
        <v>55</v>
      </c>
      <c r="D133" s="56" t="s">
        <v>56</v>
      </c>
      <c r="E133" s="59"/>
      <c r="F133" s="57">
        <v>0.158</v>
      </c>
      <c r="G133" s="57">
        <f>F133*耗材价格!G5</f>
        <v>5.0671858406945356</v>
      </c>
      <c r="H133" s="57">
        <v>0.18</v>
      </c>
      <c r="I133" s="57">
        <f>H133*耗材价格!G5</f>
        <v>5.7727433628165592</v>
      </c>
      <c r="J133" s="57">
        <v>0.158</v>
      </c>
      <c r="K133" s="57">
        <f>J133*耗材价格!G5</f>
        <v>5.0671858406945356</v>
      </c>
      <c r="L133" s="57">
        <v>0.158</v>
      </c>
      <c r="M133" s="67">
        <f>L133*耗材价格!G5</f>
        <v>5.0671858406945356</v>
      </c>
    </row>
    <row r="134" spans="1:13" x14ac:dyDescent="0.3">
      <c r="A134" s="103"/>
      <c r="B134" s="59">
        <v>4</v>
      </c>
      <c r="C134" s="59" t="s">
        <v>57</v>
      </c>
      <c r="D134" s="56" t="s">
        <v>56</v>
      </c>
      <c r="E134" s="59"/>
      <c r="F134" s="57">
        <v>0.14399999999999999</v>
      </c>
      <c r="G134" s="57">
        <f>F134*耗材价格!G6</f>
        <v>7.7861946902349013</v>
      </c>
      <c r="H134" s="57">
        <v>0.2</v>
      </c>
      <c r="I134" s="57">
        <f>H134*耗材价格!G6</f>
        <v>10.814159291992921</v>
      </c>
      <c r="J134" s="57">
        <v>0.14399999999999999</v>
      </c>
      <c r="K134" s="57">
        <f>J134*耗材价格!G6</f>
        <v>7.7861946902349013</v>
      </c>
      <c r="L134" s="57">
        <v>0.14399999999999999</v>
      </c>
      <c r="M134" s="67">
        <f>L134*耗材价格!G6</f>
        <v>7.7861946902349013</v>
      </c>
    </row>
    <row r="135" spans="1:13" ht="25.5" x14ac:dyDescent="0.3">
      <c r="A135" s="103"/>
      <c r="B135" s="59">
        <v>5</v>
      </c>
      <c r="C135" s="56" t="s">
        <v>58</v>
      </c>
      <c r="D135" s="56" t="s">
        <v>59</v>
      </c>
      <c r="E135" s="60" t="s">
        <v>102</v>
      </c>
      <c r="F135" s="57"/>
      <c r="G135" s="57">
        <f>F135*耗材价格!G7</f>
        <v>0</v>
      </c>
      <c r="H135" s="57"/>
      <c r="I135" s="57">
        <f>H135*耗材价格!G7</f>
        <v>0</v>
      </c>
      <c r="J135" s="57"/>
      <c r="K135" s="57">
        <f>J135*耗材价格!G7</f>
        <v>0</v>
      </c>
      <c r="L135" s="57"/>
      <c r="M135" s="67">
        <f>L135*耗材价格!G7</f>
        <v>0</v>
      </c>
    </row>
    <row r="136" spans="1:13" x14ac:dyDescent="0.3">
      <c r="A136" s="103"/>
      <c r="B136" s="59">
        <v>6</v>
      </c>
      <c r="C136" s="59" t="s">
        <v>60</v>
      </c>
      <c r="D136" s="56" t="s">
        <v>61</v>
      </c>
      <c r="E136" s="59"/>
      <c r="F136" s="57">
        <v>2.2530000000000001</v>
      </c>
      <c r="G136" s="57">
        <f>F136*耗材价格!G8</f>
        <v>33.89469026548668</v>
      </c>
      <c r="H136" s="57">
        <v>2.5640000000000001</v>
      </c>
      <c r="I136" s="57">
        <f>H136*耗材价格!G8</f>
        <v>38.573451327433581</v>
      </c>
      <c r="J136" s="57">
        <v>2.2530000000000001</v>
      </c>
      <c r="K136" s="57">
        <f>J136*耗材价格!G8</f>
        <v>33.89469026548668</v>
      </c>
      <c r="L136" s="57">
        <v>2.2530000000000001</v>
      </c>
      <c r="M136" s="67">
        <f>L136*耗材价格!G8</f>
        <v>33.89469026548668</v>
      </c>
    </row>
    <row r="137" spans="1:13" ht="25.5" x14ac:dyDescent="0.3">
      <c r="A137" s="104"/>
      <c r="B137" s="59">
        <v>7</v>
      </c>
      <c r="C137" s="56" t="s">
        <v>62</v>
      </c>
      <c r="D137" s="56" t="s">
        <v>59</v>
      </c>
      <c r="E137" s="60" t="s">
        <v>102</v>
      </c>
      <c r="F137" s="57"/>
      <c r="G137" s="57">
        <f>F137*耗材价格!G9</f>
        <v>0</v>
      </c>
      <c r="H137" s="57"/>
      <c r="I137" s="57">
        <f>H137*耗材价格!G9</f>
        <v>0</v>
      </c>
      <c r="J137" s="57"/>
      <c r="K137" s="57">
        <f>J137*耗材价格!G9</f>
        <v>0</v>
      </c>
      <c r="L137" s="57"/>
      <c r="M137" s="67">
        <f>L137*耗材价格!G9</f>
        <v>0</v>
      </c>
    </row>
    <row r="138" spans="1:13" x14ac:dyDescent="0.3">
      <c r="A138" s="102" t="s">
        <v>103</v>
      </c>
      <c r="B138" s="59">
        <v>8</v>
      </c>
      <c r="C138" s="59" t="s">
        <v>63</v>
      </c>
      <c r="D138" s="56" t="s">
        <v>64</v>
      </c>
      <c r="E138" s="61"/>
      <c r="F138" s="57">
        <v>34.965184239624598</v>
      </c>
      <c r="G138" s="57">
        <f>F138*耗材价格!G10</f>
        <v>482.66150448971018</v>
      </c>
      <c r="H138" s="57">
        <v>50</v>
      </c>
      <c r="I138" s="57">
        <f>H138*耗材价格!G10</f>
        <v>690.20300476885495</v>
      </c>
      <c r="J138" s="57">
        <v>43</v>
      </c>
      <c r="K138" s="57">
        <f>J138*耗材价格!G10</f>
        <v>593.57458410121524</v>
      </c>
      <c r="L138" s="57">
        <v>47.739268121041498</v>
      </c>
      <c r="M138" s="67">
        <f>L138*耗材价格!G10</f>
        <v>658.99572605217702</v>
      </c>
    </row>
    <row r="139" spans="1:13" x14ac:dyDescent="0.3">
      <c r="A139" s="103"/>
      <c r="B139" s="59">
        <v>9</v>
      </c>
      <c r="C139" s="59" t="s">
        <v>65</v>
      </c>
      <c r="D139" s="56" t="s">
        <v>56</v>
      </c>
      <c r="E139" s="61"/>
      <c r="F139" s="57">
        <v>8.1119227435929204</v>
      </c>
      <c r="G139" s="57">
        <f>F139*耗材价格!G11</f>
        <v>122.33951782337643</v>
      </c>
      <c r="H139" s="57">
        <v>13.9418112244898</v>
      </c>
      <c r="I139" s="57">
        <f>H139*耗材价格!G11</f>
        <v>210.26266111025146</v>
      </c>
      <c r="J139" s="57">
        <v>8.1119227435929204</v>
      </c>
      <c r="K139" s="57">
        <f>J139*耗材价格!G11</f>
        <v>122.33951782337643</v>
      </c>
      <c r="L139" s="57">
        <v>8.1119227435929204</v>
      </c>
      <c r="M139" s="67">
        <f>L139*耗材价格!G11</f>
        <v>122.33951782337643</v>
      </c>
    </row>
    <row r="140" spans="1:13" x14ac:dyDescent="0.3">
      <c r="A140" s="103"/>
      <c r="B140" s="59">
        <v>10</v>
      </c>
      <c r="C140" s="59" t="s">
        <v>66</v>
      </c>
      <c r="D140" s="56" t="s">
        <v>61</v>
      </c>
      <c r="E140" s="61"/>
      <c r="F140" s="57">
        <v>0.27</v>
      </c>
      <c r="G140" s="57">
        <f>F140*耗材价格!G12</f>
        <v>1.581769911492956</v>
      </c>
      <c r="H140" s="57">
        <v>0.308</v>
      </c>
      <c r="I140" s="57">
        <f>H140*耗材价格!G12</f>
        <v>1.8043893805178903</v>
      </c>
      <c r="J140" s="57">
        <v>0.27</v>
      </c>
      <c r="K140" s="57">
        <f>J140*耗材价格!G12</f>
        <v>1.581769911492956</v>
      </c>
      <c r="L140" s="57">
        <v>0.27</v>
      </c>
      <c r="M140" s="67">
        <f>L140*耗材价格!G12</f>
        <v>1.581769911492956</v>
      </c>
    </row>
    <row r="141" spans="1:13" ht="25.5" x14ac:dyDescent="0.3">
      <c r="A141" s="103"/>
      <c r="B141" s="59">
        <v>11</v>
      </c>
      <c r="C141" s="56" t="s">
        <v>67</v>
      </c>
      <c r="D141" s="56" t="s">
        <v>59</v>
      </c>
      <c r="E141" s="60" t="s">
        <v>102</v>
      </c>
      <c r="F141" s="62"/>
      <c r="G141" s="57">
        <f>F141*耗材价格!G13</f>
        <v>0</v>
      </c>
      <c r="H141" s="62"/>
      <c r="I141" s="57">
        <f>H141*耗材价格!G13</f>
        <v>0</v>
      </c>
      <c r="J141" s="62"/>
      <c r="K141" s="57">
        <f>J141*耗材价格!G13</f>
        <v>0</v>
      </c>
      <c r="L141" s="62"/>
      <c r="M141" s="67">
        <f>L141*耗材价格!G13</f>
        <v>0</v>
      </c>
    </row>
    <row r="142" spans="1:13" ht="25.5" x14ac:dyDescent="0.3">
      <c r="A142" s="103"/>
      <c r="B142" s="59">
        <v>12</v>
      </c>
      <c r="C142" s="56" t="s">
        <v>68</v>
      </c>
      <c r="D142" s="56" t="s">
        <v>59</v>
      </c>
      <c r="E142" s="60" t="s">
        <v>102</v>
      </c>
      <c r="F142" s="62"/>
      <c r="G142" s="57">
        <f>F142*耗材价格!G14</f>
        <v>0</v>
      </c>
      <c r="H142" s="62"/>
      <c r="I142" s="57">
        <f>H142*耗材价格!G14</f>
        <v>0</v>
      </c>
      <c r="J142" s="62"/>
      <c r="K142" s="57">
        <f>J142*耗材价格!G14</f>
        <v>0</v>
      </c>
      <c r="L142" s="62"/>
      <c r="M142" s="67">
        <f>L142*耗材价格!G14</f>
        <v>0</v>
      </c>
    </row>
    <row r="143" spans="1:13" x14ac:dyDescent="0.3">
      <c r="A143" s="104"/>
      <c r="B143" s="59">
        <v>13</v>
      </c>
      <c r="C143" s="59" t="s">
        <v>69</v>
      </c>
      <c r="D143" s="56" t="s">
        <v>61</v>
      </c>
      <c r="E143" s="61"/>
      <c r="F143" s="57">
        <v>0.45100000000000001</v>
      </c>
      <c r="G143" s="57">
        <f>F143*耗材价格!G15</f>
        <v>1.3969026548672554</v>
      </c>
      <c r="H143" s="57">
        <v>0.51300000000000001</v>
      </c>
      <c r="I143" s="57">
        <f>H143*耗材价格!G15</f>
        <v>1.5889380530973438</v>
      </c>
      <c r="J143" s="57">
        <v>0.45100000000000001</v>
      </c>
      <c r="K143" s="57">
        <f>J143*耗材价格!G15</f>
        <v>1.3969026548672554</v>
      </c>
      <c r="L143" s="57">
        <v>0.45100000000000001</v>
      </c>
      <c r="M143" s="67">
        <f>L143*耗材价格!G15</f>
        <v>1.3969026548672554</v>
      </c>
    </row>
    <row r="144" spans="1:13" x14ac:dyDescent="0.3">
      <c r="A144" s="102" t="s">
        <v>104</v>
      </c>
      <c r="B144" s="59">
        <v>14</v>
      </c>
      <c r="C144" s="59" t="s">
        <v>70</v>
      </c>
      <c r="D144" s="56" t="s">
        <v>56</v>
      </c>
      <c r="E144" s="61"/>
      <c r="F144" s="57">
        <v>2.1259999999999999</v>
      </c>
      <c r="G144" s="57">
        <f>F144*耗材价格!G16</f>
        <v>3.3579511504388582</v>
      </c>
      <c r="H144" s="57">
        <v>2.258</v>
      </c>
      <c r="I144" s="57">
        <f>H144*耗材价格!G16</f>
        <v>3.566441061943058</v>
      </c>
      <c r="J144" s="57">
        <v>2.1259999999999999</v>
      </c>
      <c r="K144" s="57">
        <f>J144*耗材价格!G16</f>
        <v>3.3579511504388582</v>
      </c>
      <c r="L144" s="57">
        <v>2.258</v>
      </c>
      <c r="M144" s="67">
        <f>L144*耗材价格!G16</f>
        <v>3.566441061943058</v>
      </c>
    </row>
    <row r="145" spans="1:13" x14ac:dyDescent="0.3">
      <c r="A145" s="103"/>
      <c r="B145" s="59">
        <v>15</v>
      </c>
      <c r="C145" s="59" t="s">
        <v>71</v>
      </c>
      <c r="D145" s="56" t="s">
        <v>56</v>
      </c>
      <c r="E145" s="61"/>
      <c r="F145" s="57">
        <v>6.0709999999999997</v>
      </c>
      <c r="G145" s="57">
        <f>F145*耗材价格!G17</f>
        <v>20.673635398126915</v>
      </c>
      <c r="H145" s="57">
        <v>7.843</v>
      </c>
      <c r="I145" s="57">
        <f>H145*耗材价格!G17</f>
        <v>26.707844247654325</v>
      </c>
      <c r="J145" s="57">
        <v>6.0709999999999997</v>
      </c>
      <c r="K145" s="57">
        <f>J145*耗材价格!G17</f>
        <v>20.673635398126915</v>
      </c>
      <c r="L145" s="57">
        <v>6.0709999999999997</v>
      </c>
      <c r="M145" s="67">
        <f>L145*耗材价格!G17</f>
        <v>20.673635398126915</v>
      </c>
    </row>
    <row r="146" spans="1:13" x14ac:dyDescent="0.3">
      <c r="A146" s="103"/>
      <c r="B146" s="59">
        <v>16</v>
      </c>
      <c r="C146" s="59" t="s">
        <v>72</v>
      </c>
      <c r="D146" s="56" t="s">
        <v>73</v>
      </c>
      <c r="E146" s="61"/>
      <c r="F146" s="57">
        <v>4.2999999999999997E-2</v>
      </c>
      <c r="G146" s="57">
        <f>F146*耗材价格!G18</f>
        <v>0.35861238938016554</v>
      </c>
      <c r="H146" s="57">
        <v>4.4999999999999998E-2</v>
      </c>
      <c r="I146" s="57">
        <f>H146*耗材价格!G18</f>
        <v>0.37529203539784772</v>
      </c>
      <c r="J146" s="57">
        <v>4.2999999999999997E-2</v>
      </c>
      <c r="K146" s="57">
        <f>J146*耗材价格!G18</f>
        <v>0.35861238938016554</v>
      </c>
      <c r="L146" s="57">
        <v>4.4999999999999998E-2</v>
      </c>
      <c r="M146" s="67">
        <f>L146*耗材价格!G18</f>
        <v>0.37529203539784772</v>
      </c>
    </row>
    <row r="147" spans="1:13" x14ac:dyDescent="0.3">
      <c r="A147" s="104"/>
      <c r="B147" s="59">
        <v>17</v>
      </c>
      <c r="C147" s="59" t="s">
        <v>74</v>
      </c>
      <c r="D147" s="56" t="s">
        <v>56</v>
      </c>
      <c r="E147" s="61"/>
      <c r="F147" s="57">
        <v>0.84499999999999997</v>
      </c>
      <c r="G147" s="57">
        <f>F147*耗材价格!G19</f>
        <v>5.7759115044175999</v>
      </c>
      <c r="H147" s="57">
        <v>0.96099999999999997</v>
      </c>
      <c r="I147" s="57">
        <f>H147*耗材价格!G19</f>
        <v>6.5688176991068801</v>
      </c>
      <c r="J147" s="57">
        <v>0.84499999999999997</v>
      </c>
      <c r="K147" s="57">
        <f>J147*耗材价格!G19</f>
        <v>5.7759115044175999</v>
      </c>
      <c r="L147" s="57">
        <v>0.84499999999999997</v>
      </c>
      <c r="M147" s="67">
        <f>L147*耗材价格!G19</f>
        <v>5.7759115044175999</v>
      </c>
    </row>
    <row r="148" spans="1:13" x14ac:dyDescent="0.3">
      <c r="A148" s="102" t="s">
        <v>105</v>
      </c>
      <c r="B148" s="59">
        <v>18</v>
      </c>
      <c r="C148" s="59" t="s">
        <v>75</v>
      </c>
      <c r="D148" s="56" t="s">
        <v>61</v>
      </c>
      <c r="E148" s="61"/>
      <c r="F148" s="57">
        <v>57.14</v>
      </c>
      <c r="G148" s="57">
        <f>F148*耗材价格!G20</f>
        <v>3.0582541592823267</v>
      </c>
      <c r="H148" s="57">
        <v>100</v>
      </c>
      <c r="I148" s="57">
        <f>H148*耗材价格!G20</f>
        <v>5.3522123893635403</v>
      </c>
      <c r="J148" s="57">
        <v>57.14</v>
      </c>
      <c r="K148" s="57">
        <f>J148*耗材价格!G20</f>
        <v>3.0582541592823267</v>
      </c>
      <c r="L148" s="57">
        <v>57.14</v>
      </c>
      <c r="M148" s="67">
        <f>L148*耗材价格!G20</f>
        <v>3.0582541592823267</v>
      </c>
    </row>
    <row r="149" spans="1:13" x14ac:dyDescent="0.3">
      <c r="A149" s="103"/>
      <c r="B149" s="59">
        <v>19</v>
      </c>
      <c r="C149" s="59" t="s">
        <v>76</v>
      </c>
      <c r="D149" s="56" t="s">
        <v>61</v>
      </c>
      <c r="E149" s="61"/>
      <c r="F149" s="57">
        <v>28.57</v>
      </c>
      <c r="G149" s="57">
        <f>F149*耗材价格!G21</f>
        <v>2.9834159292035416</v>
      </c>
      <c r="H149" s="57">
        <v>33.33</v>
      </c>
      <c r="I149" s="57">
        <f>H149*耗材价格!G21</f>
        <v>3.4804778761061965</v>
      </c>
      <c r="J149" s="57">
        <v>28.57</v>
      </c>
      <c r="K149" s="57">
        <f>J149*耗材价格!G21</f>
        <v>2.9834159292035416</v>
      </c>
      <c r="L149" s="57">
        <v>33.33</v>
      </c>
      <c r="M149" s="67">
        <f>L149*耗材价格!G21</f>
        <v>3.4804778761061965</v>
      </c>
    </row>
    <row r="150" spans="1:13" x14ac:dyDescent="0.3">
      <c r="A150" s="103"/>
      <c r="B150" s="59">
        <v>20</v>
      </c>
      <c r="C150" s="59" t="s">
        <v>77</v>
      </c>
      <c r="D150" s="56" t="s">
        <v>61</v>
      </c>
      <c r="E150" s="61"/>
      <c r="F150" s="57">
        <v>3.57</v>
      </c>
      <c r="G150" s="57">
        <f>F150*耗材价格!G22</f>
        <v>20.535398230088489</v>
      </c>
      <c r="H150" s="57">
        <v>4.17</v>
      </c>
      <c r="I150" s="57">
        <f>H150*耗材价格!G22</f>
        <v>23.986725663716808</v>
      </c>
      <c r="J150" s="57">
        <v>3.57</v>
      </c>
      <c r="K150" s="57">
        <f>J150*耗材价格!G22</f>
        <v>20.535398230088489</v>
      </c>
      <c r="L150" s="57">
        <v>3.57</v>
      </c>
      <c r="M150" s="67">
        <f>L150*耗材价格!G22</f>
        <v>20.535398230088489</v>
      </c>
    </row>
    <row r="151" spans="1:13" x14ac:dyDescent="0.3">
      <c r="A151" s="103"/>
      <c r="B151" s="59">
        <v>21</v>
      </c>
      <c r="C151" s="59" t="s">
        <v>78</v>
      </c>
      <c r="D151" s="56" t="s">
        <v>61</v>
      </c>
      <c r="E151" s="61"/>
      <c r="F151" s="57">
        <v>114</v>
      </c>
      <c r="G151" s="57">
        <f>F151*耗材价格!G23</f>
        <v>4.8424778761061953</v>
      </c>
      <c r="H151" s="57">
        <v>200</v>
      </c>
      <c r="I151" s="57">
        <f>H151*耗材价格!G23</f>
        <v>8.4955752212389388</v>
      </c>
      <c r="J151" s="57">
        <v>114</v>
      </c>
      <c r="K151" s="57">
        <f>J151*耗材价格!G23</f>
        <v>4.8424778761061953</v>
      </c>
      <c r="L151" s="57">
        <v>114</v>
      </c>
      <c r="M151" s="67">
        <f>L151*耗材价格!G23</f>
        <v>4.8424778761061953</v>
      </c>
    </row>
    <row r="152" spans="1:13" x14ac:dyDescent="0.3">
      <c r="A152" s="103"/>
      <c r="B152" s="59">
        <v>22</v>
      </c>
      <c r="C152" s="59" t="s">
        <v>79</v>
      </c>
      <c r="D152" s="56" t="s">
        <v>61</v>
      </c>
      <c r="E152" s="61"/>
      <c r="F152" s="57">
        <v>0.15</v>
      </c>
      <c r="G152" s="57">
        <f>F152*耗材价格!G24</f>
        <v>5.2340707964506201</v>
      </c>
      <c r="H152" s="57">
        <v>0.17</v>
      </c>
      <c r="I152" s="57">
        <f>H152*耗材价格!G24</f>
        <v>5.9319469026440368</v>
      </c>
      <c r="J152" s="57">
        <v>0.15</v>
      </c>
      <c r="K152" s="57">
        <f>J152*耗材价格!G24</f>
        <v>5.2340707964506201</v>
      </c>
      <c r="L152" s="57">
        <v>0.15</v>
      </c>
      <c r="M152" s="67">
        <f>L152*耗材价格!G24</f>
        <v>5.2340707964506201</v>
      </c>
    </row>
    <row r="153" spans="1:13" x14ac:dyDescent="0.3">
      <c r="A153" s="104"/>
      <c r="B153" s="59">
        <v>23</v>
      </c>
      <c r="C153" s="59" t="s">
        <v>80</v>
      </c>
      <c r="D153" s="56" t="s">
        <v>61</v>
      </c>
      <c r="E153" s="61"/>
      <c r="F153" s="57">
        <v>86</v>
      </c>
      <c r="G153" s="57">
        <f>F153*耗材价格!G25</f>
        <v>5.1752212389380547</v>
      </c>
      <c r="H153" s="57">
        <v>101</v>
      </c>
      <c r="I153" s="57">
        <f>H153*耗材价格!G25</f>
        <v>6.077876106194692</v>
      </c>
      <c r="J153" s="57">
        <v>86</v>
      </c>
      <c r="K153" s="57">
        <f>J153*耗材价格!G25</f>
        <v>5.1752212389380547</v>
      </c>
      <c r="L153" s="57">
        <v>101</v>
      </c>
      <c r="M153" s="67">
        <f>L153*耗材价格!G25</f>
        <v>6.077876106194692</v>
      </c>
    </row>
    <row r="154" spans="1:13" x14ac:dyDescent="0.3">
      <c r="A154" s="63" t="s">
        <v>106</v>
      </c>
      <c r="B154" s="59"/>
      <c r="C154" s="59"/>
      <c r="D154" s="56"/>
      <c r="E154" s="61"/>
      <c r="F154" s="57"/>
      <c r="G154" s="57">
        <f>SUM(G131:G153)</f>
        <v>13154.839341835632</v>
      </c>
      <c r="H154" s="57"/>
      <c r="I154" s="57">
        <f t="shared" ref="I154:K154" si="7">SUM(I131:I153)</f>
        <v>17430.432953563439</v>
      </c>
      <c r="J154" s="57"/>
      <c r="K154" s="57">
        <f t="shared" si="7"/>
        <v>15052.003952042654</v>
      </c>
      <c r="L154" s="57"/>
      <c r="M154" s="67">
        <f>SUM(M131:M153)</f>
        <v>16473.222887861873</v>
      </c>
    </row>
    <row r="155" spans="1:13" x14ac:dyDescent="0.3">
      <c r="A155" s="63" t="s">
        <v>107</v>
      </c>
      <c r="B155" s="33"/>
      <c r="C155" s="33"/>
      <c r="D155" s="33"/>
      <c r="E155" s="33"/>
      <c r="F155" s="33"/>
      <c r="G155" s="64">
        <f>销售收入!E31/10000</f>
        <v>800</v>
      </c>
      <c r="H155" s="64"/>
      <c r="I155" s="64">
        <f>销售收入!E32/10000</f>
        <v>250</v>
      </c>
      <c r="J155" s="64"/>
      <c r="K155" s="64">
        <f>销售收入!E33/10000</f>
        <v>700</v>
      </c>
      <c r="L155" s="64"/>
      <c r="M155" s="68">
        <f>销售收入!E34/10000</f>
        <v>800</v>
      </c>
    </row>
    <row r="156" spans="1:13" x14ac:dyDescent="0.3">
      <c r="A156" s="63" t="s">
        <v>108</v>
      </c>
      <c r="B156" s="33"/>
      <c r="C156" s="33"/>
      <c r="D156" s="33"/>
      <c r="E156" s="33"/>
      <c r="F156" s="33"/>
      <c r="G156" s="64">
        <f t="shared" ref="G156:I156" si="8">G154*G155</f>
        <v>10523871.473468505</v>
      </c>
      <c r="H156" s="64"/>
      <c r="I156" s="64">
        <f t="shared" si="8"/>
        <v>4357608.2383908601</v>
      </c>
      <c r="J156" s="64"/>
      <c r="K156" s="64">
        <f>K154*K155</f>
        <v>10536402.766429858</v>
      </c>
      <c r="L156" s="64"/>
      <c r="M156" s="68">
        <f>M154*M155</f>
        <v>13178578.310289498</v>
      </c>
    </row>
    <row r="157" spans="1:13" x14ac:dyDescent="0.3">
      <c r="A157" s="63" t="s">
        <v>109</v>
      </c>
      <c r="B157" s="33"/>
      <c r="C157" s="33"/>
      <c r="D157" s="33"/>
      <c r="E157" s="33"/>
      <c r="F157" s="33"/>
      <c r="G157" s="64"/>
      <c r="H157" s="64"/>
      <c r="I157" s="64"/>
      <c r="J157" s="64"/>
      <c r="K157" s="64"/>
      <c r="L157" s="64"/>
      <c r="M157" s="68">
        <f>SUM(G156,I156,K156,M156)</f>
        <v>38596460.788578719</v>
      </c>
    </row>
    <row r="158" spans="1:13" x14ac:dyDescent="0.3">
      <c r="A158" s="63" t="s">
        <v>110</v>
      </c>
      <c r="B158" s="33"/>
      <c r="C158" s="33"/>
      <c r="D158" s="33"/>
      <c r="E158" s="33"/>
      <c r="F158" s="33"/>
      <c r="G158" s="64"/>
      <c r="H158" s="64"/>
      <c r="I158" s="64"/>
      <c r="J158" s="64"/>
      <c r="K158" s="64"/>
      <c r="L158" s="64"/>
      <c r="M158" s="68">
        <f>SUM(F155:M155)*80/1000*2500</f>
        <v>510000</v>
      </c>
    </row>
    <row r="159" spans="1:13" x14ac:dyDescent="0.3">
      <c r="A159" s="51" t="s">
        <v>111</v>
      </c>
      <c r="B159" s="52"/>
      <c r="C159" s="52"/>
      <c r="D159" s="52"/>
      <c r="E159" s="52"/>
      <c r="F159" s="52"/>
      <c r="G159" s="65"/>
      <c r="H159" s="65"/>
      <c r="I159" s="65"/>
      <c r="J159" s="65"/>
      <c r="K159" s="65"/>
      <c r="L159" s="65"/>
      <c r="M159" s="53">
        <f>M157-M158</f>
        <v>38086460.788578719</v>
      </c>
    </row>
    <row r="161" spans="1:13" ht="20.25" x14ac:dyDescent="0.3">
      <c r="A161" s="43" t="s">
        <v>6</v>
      </c>
    </row>
    <row r="162" spans="1:13" ht="38.25" x14ac:dyDescent="0.3">
      <c r="A162" s="2" t="s">
        <v>85</v>
      </c>
      <c r="B162" s="44" t="s">
        <v>86</v>
      </c>
      <c r="C162" s="44" t="s">
        <v>87</v>
      </c>
      <c r="D162" s="44" t="s">
        <v>50</v>
      </c>
      <c r="E162" s="44" t="s">
        <v>88</v>
      </c>
      <c r="F162" s="54" t="s">
        <v>89</v>
      </c>
      <c r="G162" s="54" t="s">
        <v>90</v>
      </c>
      <c r="H162" s="54" t="s">
        <v>91</v>
      </c>
      <c r="I162" s="54" t="s">
        <v>92</v>
      </c>
      <c r="J162" s="54" t="s">
        <v>93</v>
      </c>
      <c r="K162" s="54" t="s">
        <v>94</v>
      </c>
      <c r="L162" s="54" t="s">
        <v>95</v>
      </c>
      <c r="M162" s="66" t="s">
        <v>96</v>
      </c>
    </row>
    <row r="163" spans="1:13" ht="28.05" customHeight="1" x14ac:dyDescent="0.3">
      <c r="A163" s="55" t="s">
        <v>97</v>
      </c>
      <c r="B163" s="56">
        <v>1</v>
      </c>
      <c r="C163" s="56" t="s">
        <v>98</v>
      </c>
      <c r="D163" s="56" t="s">
        <v>99</v>
      </c>
      <c r="E163" s="56"/>
      <c r="F163" s="57">
        <f>硅料单耗计算!H43*10000</f>
        <v>142.83379066597047</v>
      </c>
      <c r="G163" s="57">
        <f>硅料单耗计算!D43*F163</f>
        <v>10712.534299947785</v>
      </c>
      <c r="H163" s="57">
        <f>硅料单耗计算!H44*10000</f>
        <v>188.19416200798992</v>
      </c>
      <c r="I163" s="57">
        <f>硅料单耗计算!D44*H163</f>
        <v>14114.562150599244</v>
      </c>
      <c r="J163" s="57">
        <f>+硅料单耗计算!H45*10000</f>
        <v>162.91185020798412</v>
      </c>
      <c r="K163" s="57">
        <f>硅料单耗计算!D45*J163</f>
        <v>12218.388765598809</v>
      </c>
      <c r="L163" s="57">
        <f>硅料单耗计算!H46*10000</f>
        <v>209.10462445332209</v>
      </c>
      <c r="M163" s="67">
        <f>硅料单耗计算!D46*L163</f>
        <v>12546.277467199325</v>
      </c>
    </row>
    <row r="164" spans="1:13" x14ac:dyDescent="0.3">
      <c r="A164" s="58" t="s">
        <v>100</v>
      </c>
      <c r="B164" s="59">
        <v>2</v>
      </c>
      <c r="C164" s="59" t="s">
        <v>51</v>
      </c>
      <c r="D164" s="59" t="s">
        <v>52</v>
      </c>
      <c r="E164" s="59"/>
      <c r="F164" s="57">
        <v>400</v>
      </c>
      <c r="G164" s="57">
        <f>F164*耗材价格!H3</f>
        <v>235.750018507406</v>
      </c>
      <c r="H164" s="57">
        <v>536.67999999999995</v>
      </c>
      <c r="I164" s="57">
        <f>H164*耗材价格!H3</f>
        <v>316.30579983138659</v>
      </c>
      <c r="J164" s="57">
        <v>520.4</v>
      </c>
      <c r="K164" s="57">
        <f>J164*耗材价格!H3</f>
        <v>306.71077407813522</v>
      </c>
      <c r="L164" s="57">
        <v>520.4</v>
      </c>
      <c r="M164" s="67">
        <f>L164*耗材价格!H3</f>
        <v>306.71077407813522</v>
      </c>
    </row>
    <row r="165" spans="1:13" x14ac:dyDescent="0.3">
      <c r="A165" s="102" t="s">
        <v>101</v>
      </c>
      <c r="B165" s="59">
        <v>3</v>
      </c>
      <c r="C165" s="59" t="s">
        <v>55</v>
      </c>
      <c r="D165" s="56" t="s">
        <v>56</v>
      </c>
      <c r="E165" s="59"/>
      <c r="F165" s="57">
        <v>0.158</v>
      </c>
      <c r="G165" s="57">
        <f>F165*耗材价格!H5</f>
        <v>5.0671858406945356</v>
      </c>
      <c r="H165" s="57">
        <v>0.18</v>
      </c>
      <c r="I165" s="57">
        <f>H165*耗材价格!H5</f>
        <v>5.7727433628165592</v>
      </c>
      <c r="J165" s="57">
        <v>0.158</v>
      </c>
      <c r="K165" s="57">
        <f>J165*耗材价格!H5</f>
        <v>5.0671858406945356</v>
      </c>
      <c r="L165" s="57">
        <v>0.158</v>
      </c>
      <c r="M165" s="67">
        <f>L165*耗材价格!H5</f>
        <v>5.0671858406945356</v>
      </c>
    </row>
    <row r="166" spans="1:13" x14ac:dyDescent="0.3">
      <c r="A166" s="103"/>
      <c r="B166" s="59">
        <v>4</v>
      </c>
      <c r="C166" s="59" t="s">
        <v>57</v>
      </c>
      <c r="D166" s="56" t="s">
        <v>56</v>
      </c>
      <c r="E166" s="59"/>
      <c r="F166" s="57">
        <v>0.14399999999999999</v>
      </c>
      <c r="G166" s="57">
        <f>F166*耗材价格!H6</f>
        <v>7.7861946902349013</v>
      </c>
      <c r="H166" s="57">
        <v>0.2</v>
      </c>
      <c r="I166" s="57">
        <f>H166*耗材价格!H6</f>
        <v>10.814159291992921</v>
      </c>
      <c r="J166" s="57">
        <v>0.14399999999999999</v>
      </c>
      <c r="K166" s="57">
        <f>J166*耗材价格!H6</f>
        <v>7.7861946902349013</v>
      </c>
      <c r="L166" s="57">
        <v>0.14399999999999999</v>
      </c>
      <c r="M166" s="67">
        <f>L166*耗材价格!H6</f>
        <v>7.7861946902349013</v>
      </c>
    </row>
    <row r="167" spans="1:13" ht="25.5" x14ac:dyDescent="0.3">
      <c r="A167" s="103"/>
      <c r="B167" s="59">
        <v>5</v>
      </c>
      <c r="C167" s="56" t="s">
        <v>58</v>
      </c>
      <c r="D167" s="56" t="s">
        <v>59</v>
      </c>
      <c r="E167" s="60" t="s">
        <v>102</v>
      </c>
      <c r="F167" s="57"/>
      <c r="G167" s="57">
        <f>F167*耗材价格!H7</f>
        <v>0</v>
      </c>
      <c r="H167" s="57"/>
      <c r="I167" s="57">
        <f>H167*耗材价格!H7</f>
        <v>0</v>
      </c>
      <c r="J167" s="57"/>
      <c r="K167" s="57">
        <f>J167*耗材价格!H7</f>
        <v>0</v>
      </c>
      <c r="L167" s="57"/>
      <c r="M167" s="67">
        <f>L167*耗材价格!H7</f>
        <v>0</v>
      </c>
    </row>
    <row r="168" spans="1:13" x14ac:dyDescent="0.3">
      <c r="A168" s="103"/>
      <c r="B168" s="59">
        <v>6</v>
      </c>
      <c r="C168" s="59" t="s">
        <v>60</v>
      </c>
      <c r="D168" s="56" t="s">
        <v>61</v>
      </c>
      <c r="E168" s="59"/>
      <c r="F168" s="57">
        <v>2.2530000000000001</v>
      </c>
      <c r="G168" s="57">
        <f>F168*耗材价格!H8</f>
        <v>33.89469026548668</v>
      </c>
      <c r="H168" s="57">
        <v>2.5640000000000001</v>
      </c>
      <c r="I168" s="57">
        <f>H168*耗材价格!H8</f>
        <v>38.573451327433581</v>
      </c>
      <c r="J168" s="57">
        <v>2.2530000000000001</v>
      </c>
      <c r="K168" s="57">
        <f>J168*耗材价格!H8</f>
        <v>33.89469026548668</v>
      </c>
      <c r="L168" s="57">
        <v>2.2530000000000001</v>
      </c>
      <c r="M168" s="67">
        <f>L168*耗材价格!H8</f>
        <v>33.89469026548668</v>
      </c>
    </row>
    <row r="169" spans="1:13" ht="25.5" x14ac:dyDescent="0.3">
      <c r="A169" s="104"/>
      <c r="B169" s="59">
        <v>7</v>
      </c>
      <c r="C169" s="56" t="s">
        <v>62</v>
      </c>
      <c r="D169" s="56" t="s">
        <v>59</v>
      </c>
      <c r="E169" s="60" t="s">
        <v>102</v>
      </c>
      <c r="F169" s="57"/>
      <c r="G169" s="57">
        <f>F169*耗材价格!H9</f>
        <v>0</v>
      </c>
      <c r="H169" s="57"/>
      <c r="I169" s="57">
        <f>H169*耗材价格!H9</f>
        <v>0</v>
      </c>
      <c r="J169" s="57"/>
      <c r="K169" s="57">
        <f>J169*耗材价格!H9</f>
        <v>0</v>
      </c>
      <c r="L169" s="57"/>
      <c r="M169" s="67">
        <f>L169*耗材价格!H9</f>
        <v>0</v>
      </c>
    </row>
    <row r="170" spans="1:13" x14ac:dyDescent="0.3">
      <c r="A170" s="102" t="s">
        <v>103</v>
      </c>
      <c r="B170" s="59">
        <v>8</v>
      </c>
      <c r="C170" s="59" t="s">
        <v>63</v>
      </c>
      <c r="D170" s="56" t="s">
        <v>64</v>
      </c>
      <c r="E170" s="61"/>
      <c r="F170" s="57">
        <v>34.965184239624598</v>
      </c>
      <c r="G170" s="57">
        <f>F170*耗材价格!H10</f>
        <v>443.831012781239</v>
      </c>
      <c r="H170" s="57">
        <v>50</v>
      </c>
      <c r="I170" s="57">
        <f>H170*耗材价格!H10</f>
        <v>634.67563868613001</v>
      </c>
      <c r="J170" s="57">
        <v>43</v>
      </c>
      <c r="K170" s="57">
        <f>J170*耗材价格!H10</f>
        <v>545.82104927007185</v>
      </c>
      <c r="L170" s="57">
        <v>47.739268121041498</v>
      </c>
      <c r="M170" s="67">
        <f>L170*耗材价格!H10</f>
        <v>605.97900970260844</v>
      </c>
    </row>
    <row r="171" spans="1:13" x14ac:dyDescent="0.3">
      <c r="A171" s="103"/>
      <c r="B171" s="59">
        <v>9</v>
      </c>
      <c r="C171" s="59" t="s">
        <v>65</v>
      </c>
      <c r="D171" s="56" t="s">
        <v>56</v>
      </c>
      <c r="E171" s="61"/>
      <c r="F171" s="57">
        <v>8.1119227435929204</v>
      </c>
      <c r="G171" s="57">
        <f>F171*耗材价格!H11</f>
        <v>120.87540810998466</v>
      </c>
      <c r="H171" s="57">
        <v>13.9418112244898</v>
      </c>
      <c r="I171" s="57">
        <f>H171*耗材价格!H11</f>
        <v>207.74632289041668</v>
      </c>
      <c r="J171" s="57">
        <v>8.1119227435929204</v>
      </c>
      <c r="K171" s="57">
        <f>J171*耗材价格!H11</f>
        <v>120.87540810998466</v>
      </c>
      <c r="L171" s="57">
        <v>8.1119227435929204</v>
      </c>
      <c r="M171" s="67">
        <f>L171*耗材价格!H11</f>
        <v>120.87540810998466</v>
      </c>
    </row>
    <row r="172" spans="1:13" x14ac:dyDescent="0.3">
      <c r="A172" s="103"/>
      <c r="B172" s="59">
        <v>10</v>
      </c>
      <c r="C172" s="59" t="s">
        <v>66</v>
      </c>
      <c r="D172" s="56" t="s">
        <v>61</v>
      </c>
      <c r="E172" s="61"/>
      <c r="F172" s="57">
        <v>0.27</v>
      </c>
      <c r="G172" s="57">
        <f>F172*耗材价格!H12</f>
        <v>1.581769911492956</v>
      </c>
      <c r="H172" s="57">
        <v>0.308</v>
      </c>
      <c r="I172" s="57">
        <f>H172*耗材价格!H12</f>
        <v>1.8043893805178903</v>
      </c>
      <c r="J172" s="57">
        <v>0.27</v>
      </c>
      <c r="K172" s="57">
        <f>J172*耗材价格!H12</f>
        <v>1.581769911492956</v>
      </c>
      <c r="L172" s="57">
        <v>0.27</v>
      </c>
      <c r="M172" s="67">
        <f>L172*耗材价格!H12</f>
        <v>1.581769911492956</v>
      </c>
    </row>
    <row r="173" spans="1:13" ht="25.5" x14ac:dyDescent="0.3">
      <c r="A173" s="103"/>
      <c r="B173" s="59">
        <v>11</v>
      </c>
      <c r="C173" s="56" t="s">
        <v>67</v>
      </c>
      <c r="D173" s="56" t="s">
        <v>59</v>
      </c>
      <c r="E173" s="60" t="s">
        <v>102</v>
      </c>
      <c r="F173" s="62"/>
      <c r="G173" s="57">
        <f>F173*耗材价格!H13</f>
        <v>0</v>
      </c>
      <c r="H173" s="62"/>
      <c r="I173" s="57">
        <f>H173*耗材价格!H13</f>
        <v>0</v>
      </c>
      <c r="J173" s="62"/>
      <c r="K173" s="57">
        <f>J173*耗材价格!H13</f>
        <v>0</v>
      </c>
      <c r="L173" s="62"/>
      <c r="M173" s="67">
        <f>L173*耗材价格!H13</f>
        <v>0</v>
      </c>
    </row>
    <row r="174" spans="1:13" ht="25.5" x14ac:dyDescent="0.3">
      <c r="A174" s="103"/>
      <c r="B174" s="59">
        <v>12</v>
      </c>
      <c r="C174" s="56" t="s">
        <v>68</v>
      </c>
      <c r="D174" s="56" t="s">
        <v>59</v>
      </c>
      <c r="E174" s="60" t="s">
        <v>102</v>
      </c>
      <c r="F174" s="62"/>
      <c r="G174" s="57">
        <f>F174*耗材价格!H14</f>
        <v>0</v>
      </c>
      <c r="H174" s="62"/>
      <c r="I174" s="57">
        <f>H174*耗材价格!H14</f>
        <v>0</v>
      </c>
      <c r="J174" s="62"/>
      <c r="K174" s="57">
        <f>J174*耗材价格!H14</f>
        <v>0</v>
      </c>
      <c r="L174" s="62"/>
      <c r="M174" s="67">
        <f>L174*耗材价格!H14</f>
        <v>0</v>
      </c>
    </row>
    <row r="175" spans="1:13" x14ac:dyDescent="0.3">
      <c r="A175" s="104"/>
      <c r="B175" s="59">
        <v>13</v>
      </c>
      <c r="C175" s="59" t="s">
        <v>69</v>
      </c>
      <c r="D175" s="56" t="s">
        <v>61</v>
      </c>
      <c r="E175" s="61"/>
      <c r="F175" s="57">
        <v>0.45100000000000001</v>
      </c>
      <c r="G175" s="57">
        <f>F175*耗材价格!H15</f>
        <v>1.3969026548672554</v>
      </c>
      <c r="H175" s="57">
        <v>0.51300000000000001</v>
      </c>
      <c r="I175" s="57">
        <f>H175*耗材价格!H15</f>
        <v>1.5889380530973438</v>
      </c>
      <c r="J175" s="57">
        <v>0.45100000000000001</v>
      </c>
      <c r="K175" s="57">
        <f>J175*耗材价格!H15</f>
        <v>1.3969026548672554</v>
      </c>
      <c r="L175" s="57">
        <v>0.45100000000000001</v>
      </c>
      <c r="M175" s="67">
        <f>L175*耗材价格!H15</f>
        <v>1.3969026548672554</v>
      </c>
    </row>
    <row r="176" spans="1:13" x14ac:dyDescent="0.3">
      <c r="A176" s="102" t="s">
        <v>104</v>
      </c>
      <c r="B176" s="59">
        <v>14</v>
      </c>
      <c r="C176" s="59" t="s">
        <v>70</v>
      </c>
      <c r="D176" s="56" t="s">
        <v>56</v>
      </c>
      <c r="E176" s="61"/>
      <c r="F176" s="57">
        <v>2.1259999999999999</v>
      </c>
      <c r="G176" s="57">
        <f>F176*耗材价格!H16</f>
        <v>3.3579511504388582</v>
      </c>
      <c r="H176" s="57">
        <v>2.258</v>
      </c>
      <c r="I176" s="57">
        <f>H176*耗材价格!H16</f>
        <v>3.566441061943058</v>
      </c>
      <c r="J176" s="57">
        <v>2.1259999999999999</v>
      </c>
      <c r="K176" s="57">
        <f>J176*耗材价格!H16</f>
        <v>3.3579511504388582</v>
      </c>
      <c r="L176" s="57">
        <v>2.258</v>
      </c>
      <c r="M176" s="67">
        <f>L176*耗材价格!H16</f>
        <v>3.566441061943058</v>
      </c>
    </row>
    <row r="177" spans="1:13" x14ac:dyDescent="0.3">
      <c r="A177" s="103"/>
      <c r="B177" s="59">
        <v>15</v>
      </c>
      <c r="C177" s="59" t="s">
        <v>71</v>
      </c>
      <c r="D177" s="56" t="s">
        <v>56</v>
      </c>
      <c r="E177" s="61"/>
      <c r="F177" s="57">
        <v>6.0709999999999997</v>
      </c>
      <c r="G177" s="57">
        <f>F177*耗材价格!H17</f>
        <v>20.673635398126915</v>
      </c>
      <c r="H177" s="57">
        <v>7.843</v>
      </c>
      <c r="I177" s="57">
        <f>H177*耗材价格!H17</f>
        <v>26.707844247654325</v>
      </c>
      <c r="J177" s="57">
        <v>6.0709999999999997</v>
      </c>
      <c r="K177" s="57">
        <f>J177*耗材价格!H17</f>
        <v>20.673635398126915</v>
      </c>
      <c r="L177" s="57">
        <v>6.0709999999999997</v>
      </c>
      <c r="M177" s="67">
        <f>L177*耗材价格!H17</f>
        <v>20.673635398126915</v>
      </c>
    </row>
    <row r="178" spans="1:13" x14ac:dyDescent="0.3">
      <c r="A178" s="103"/>
      <c r="B178" s="59">
        <v>16</v>
      </c>
      <c r="C178" s="59" t="s">
        <v>72</v>
      </c>
      <c r="D178" s="56" t="s">
        <v>73</v>
      </c>
      <c r="E178" s="61"/>
      <c r="F178" s="57">
        <v>4.2999999999999997E-2</v>
      </c>
      <c r="G178" s="57">
        <f>F178*耗材价格!H18</f>
        <v>0.35861238938016554</v>
      </c>
      <c r="H178" s="57">
        <v>4.4999999999999998E-2</v>
      </c>
      <c r="I178" s="57">
        <f>H178*耗材价格!H18</f>
        <v>0.37529203539784772</v>
      </c>
      <c r="J178" s="57">
        <v>4.2999999999999997E-2</v>
      </c>
      <c r="K178" s="57">
        <f>J178*耗材价格!H18</f>
        <v>0.35861238938016554</v>
      </c>
      <c r="L178" s="57">
        <v>4.4999999999999998E-2</v>
      </c>
      <c r="M178" s="67">
        <f>L178*耗材价格!H18</f>
        <v>0.37529203539784772</v>
      </c>
    </row>
    <row r="179" spans="1:13" x14ac:dyDescent="0.3">
      <c r="A179" s="104"/>
      <c r="B179" s="59">
        <v>17</v>
      </c>
      <c r="C179" s="59" t="s">
        <v>74</v>
      </c>
      <c r="D179" s="56" t="s">
        <v>56</v>
      </c>
      <c r="E179" s="61"/>
      <c r="F179" s="57">
        <v>0.84499999999999997</v>
      </c>
      <c r="G179" s="57">
        <f>F179*耗材价格!H19</f>
        <v>5.7759115044175999</v>
      </c>
      <c r="H179" s="57">
        <v>0.96099999999999997</v>
      </c>
      <c r="I179" s="57">
        <f>H179*耗材价格!H19</f>
        <v>6.5688176991068801</v>
      </c>
      <c r="J179" s="57">
        <v>0.84499999999999997</v>
      </c>
      <c r="K179" s="57">
        <f>J179*耗材价格!H19</f>
        <v>5.7759115044175999</v>
      </c>
      <c r="L179" s="57">
        <v>0.84499999999999997</v>
      </c>
      <c r="M179" s="67">
        <f>L179*耗材价格!H19</f>
        <v>5.7759115044175999</v>
      </c>
    </row>
    <row r="180" spans="1:13" x14ac:dyDescent="0.3">
      <c r="A180" s="102" t="s">
        <v>105</v>
      </c>
      <c r="B180" s="59">
        <v>18</v>
      </c>
      <c r="C180" s="59" t="s">
        <v>75</v>
      </c>
      <c r="D180" s="56" t="s">
        <v>61</v>
      </c>
      <c r="E180" s="61"/>
      <c r="F180" s="57">
        <v>57.14</v>
      </c>
      <c r="G180" s="57">
        <f>F180*耗材价格!H20</f>
        <v>3.0582541592823267</v>
      </c>
      <c r="H180" s="57">
        <v>100</v>
      </c>
      <c r="I180" s="57">
        <f>H180*耗材价格!H20</f>
        <v>5.3522123893635403</v>
      </c>
      <c r="J180" s="57">
        <v>57.14</v>
      </c>
      <c r="K180" s="57">
        <f>J180*耗材价格!H20</f>
        <v>3.0582541592823267</v>
      </c>
      <c r="L180" s="57">
        <v>57.14</v>
      </c>
      <c r="M180" s="67">
        <f>L180*耗材价格!H20</f>
        <v>3.0582541592823267</v>
      </c>
    </row>
    <row r="181" spans="1:13" x14ac:dyDescent="0.3">
      <c r="A181" s="103"/>
      <c r="B181" s="59">
        <v>19</v>
      </c>
      <c r="C181" s="59" t="s">
        <v>76</v>
      </c>
      <c r="D181" s="56" t="s">
        <v>61</v>
      </c>
      <c r="E181" s="61"/>
      <c r="F181" s="57">
        <v>28.57</v>
      </c>
      <c r="G181" s="57">
        <f>F181*耗材价格!H21</f>
        <v>2.9834159292035416</v>
      </c>
      <c r="H181" s="57">
        <v>33.33</v>
      </c>
      <c r="I181" s="57">
        <f>H181*耗材价格!H21</f>
        <v>3.4804778761061965</v>
      </c>
      <c r="J181" s="57">
        <v>28.57</v>
      </c>
      <c r="K181" s="57">
        <f>J181*耗材价格!H21</f>
        <v>2.9834159292035416</v>
      </c>
      <c r="L181" s="57">
        <v>33.33</v>
      </c>
      <c r="M181" s="67">
        <f>L181*耗材价格!H21</f>
        <v>3.4804778761061965</v>
      </c>
    </row>
    <row r="182" spans="1:13" x14ac:dyDescent="0.3">
      <c r="A182" s="103"/>
      <c r="B182" s="59">
        <v>20</v>
      </c>
      <c r="C182" s="59" t="s">
        <v>77</v>
      </c>
      <c r="D182" s="56" t="s">
        <v>61</v>
      </c>
      <c r="E182" s="61"/>
      <c r="F182" s="57">
        <v>3.57</v>
      </c>
      <c r="G182" s="57">
        <f>F182*耗材价格!H22</f>
        <v>20.535398230088489</v>
      </c>
      <c r="H182" s="57">
        <v>4.17</v>
      </c>
      <c r="I182" s="57">
        <f>H182*耗材价格!H22</f>
        <v>23.986725663716808</v>
      </c>
      <c r="J182" s="57">
        <v>3.57</v>
      </c>
      <c r="K182" s="57">
        <f>J182*耗材价格!H22</f>
        <v>20.535398230088489</v>
      </c>
      <c r="L182" s="57">
        <v>3.57</v>
      </c>
      <c r="M182" s="67">
        <f>L182*耗材价格!H22</f>
        <v>20.535398230088489</v>
      </c>
    </row>
    <row r="183" spans="1:13" x14ac:dyDescent="0.3">
      <c r="A183" s="103"/>
      <c r="B183" s="59">
        <v>21</v>
      </c>
      <c r="C183" s="59" t="s">
        <v>78</v>
      </c>
      <c r="D183" s="56" t="s">
        <v>61</v>
      </c>
      <c r="E183" s="61"/>
      <c r="F183" s="57">
        <v>114</v>
      </c>
      <c r="G183" s="57">
        <f>F183*耗材价格!H23</f>
        <v>4.8424778761061953</v>
      </c>
      <c r="H183" s="57">
        <v>200</v>
      </c>
      <c r="I183" s="57">
        <f>H183*耗材价格!H23</f>
        <v>8.4955752212389388</v>
      </c>
      <c r="J183" s="57">
        <v>114</v>
      </c>
      <c r="K183" s="57">
        <f>J183*耗材价格!H23</f>
        <v>4.8424778761061953</v>
      </c>
      <c r="L183" s="57">
        <v>114</v>
      </c>
      <c r="M183" s="67">
        <f>L183*耗材价格!H23</f>
        <v>4.8424778761061953</v>
      </c>
    </row>
    <row r="184" spans="1:13" x14ac:dyDescent="0.3">
      <c r="A184" s="103"/>
      <c r="B184" s="59">
        <v>22</v>
      </c>
      <c r="C184" s="59" t="s">
        <v>79</v>
      </c>
      <c r="D184" s="56" t="s">
        <v>61</v>
      </c>
      <c r="E184" s="61"/>
      <c r="F184" s="57">
        <v>0.15</v>
      </c>
      <c r="G184" s="57">
        <f>F184*耗材价格!H24</f>
        <v>5.2340707964506201</v>
      </c>
      <c r="H184" s="57">
        <v>0.17</v>
      </c>
      <c r="I184" s="57">
        <f>H184*耗材价格!H24</f>
        <v>5.9319469026440368</v>
      </c>
      <c r="J184" s="57">
        <v>0.15</v>
      </c>
      <c r="K184" s="57">
        <f>J184*耗材价格!H24</f>
        <v>5.2340707964506201</v>
      </c>
      <c r="L184" s="57">
        <v>0.15</v>
      </c>
      <c r="M184" s="67">
        <f>L184*耗材价格!H24</f>
        <v>5.2340707964506201</v>
      </c>
    </row>
    <row r="185" spans="1:13" x14ac:dyDescent="0.3">
      <c r="A185" s="104"/>
      <c r="B185" s="59">
        <v>23</v>
      </c>
      <c r="C185" s="59" t="s">
        <v>80</v>
      </c>
      <c r="D185" s="56" t="s">
        <v>61</v>
      </c>
      <c r="E185" s="61"/>
      <c r="F185" s="57">
        <v>86</v>
      </c>
      <c r="G185" s="57">
        <f>F185*耗材价格!H25</f>
        <v>5.1752212389380547</v>
      </c>
      <c r="H185" s="57">
        <v>101</v>
      </c>
      <c r="I185" s="57">
        <f>H185*耗材价格!H25</f>
        <v>6.077876106194692</v>
      </c>
      <c r="J185" s="57">
        <v>86</v>
      </c>
      <c r="K185" s="57">
        <f>J185*耗材价格!H25</f>
        <v>5.1752212389380547</v>
      </c>
      <c r="L185" s="57">
        <v>101</v>
      </c>
      <c r="M185" s="67">
        <f>L185*耗材价格!H25</f>
        <v>6.077876106194692</v>
      </c>
    </row>
    <row r="186" spans="1:13" x14ac:dyDescent="0.3">
      <c r="A186" s="63" t="s">
        <v>106</v>
      </c>
      <c r="B186" s="59"/>
      <c r="C186" s="59"/>
      <c r="D186" s="56"/>
      <c r="E186" s="61"/>
      <c r="F186" s="57"/>
      <c r="G186" s="57">
        <f>SUM(G163:G185)</f>
        <v>11634.712431381624</v>
      </c>
      <c r="H186" s="57"/>
      <c r="I186" s="57">
        <f t="shared" ref="I186:K186" si="9">SUM(I163:I185)</f>
        <v>15422.386802626399</v>
      </c>
      <c r="J186" s="57"/>
      <c r="K186" s="57">
        <f t="shared" si="9"/>
        <v>13313.517689092212</v>
      </c>
      <c r="L186" s="57"/>
      <c r="M186" s="67">
        <f>SUM(M163:M185)</f>
        <v>13703.189237496943</v>
      </c>
    </row>
    <row r="187" spans="1:13" x14ac:dyDescent="0.3">
      <c r="A187" s="63" t="s">
        <v>107</v>
      </c>
      <c r="B187" s="33"/>
      <c r="C187" s="33"/>
      <c r="D187" s="33"/>
      <c r="E187" s="33"/>
      <c r="F187" s="33"/>
      <c r="G187" s="64">
        <f>销售收入!E38/10000</f>
        <v>780</v>
      </c>
      <c r="H187" s="64"/>
      <c r="I187" s="64">
        <f>销售收入!E39/10000</f>
        <v>410</v>
      </c>
      <c r="J187" s="64"/>
      <c r="K187" s="64">
        <f>销售收入!E40/10000</f>
        <v>480</v>
      </c>
      <c r="L187" s="64"/>
      <c r="M187" s="68">
        <f>销售收入!E41/10000</f>
        <v>650</v>
      </c>
    </row>
    <row r="188" spans="1:13" x14ac:dyDescent="0.3">
      <c r="A188" s="63" t="s">
        <v>108</v>
      </c>
      <c r="B188" s="33"/>
      <c r="C188" s="33"/>
      <c r="D188" s="33"/>
      <c r="E188" s="33"/>
      <c r="F188" s="33"/>
      <c r="G188" s="64">
        <f>G186*G187</f>
        <v>9075075.6964776665</v>
      </c>
      <c r="H188" s="64"/>
      <c r="I188" s="64">
        <f>I186*I187</f>
        <v>6323178.5890768236</v>
      </c>
      <c r="J188" s="64"/>
      <c r="K188" s="64">
        <f>K186*K187</f>
        <v>6390488.4907642622</v>
      </c>
      <c r="L188" s="64"/>
      <c r="M188" s="68">
        <f>M186*M187</f>
        <v>8907073.0043730121</v>
      </c>
    </row>
    <row r="189" spans="1:13" x14ac:dyDescent="0.3">
      <c r="A189" s="63" t="s">
        <v>109</v>
      </c>
      <c r="B189" s="33"/>
      <c r="C189" s="33"/>
      <c r="D189" s="33"/>
      <c r="E189" s="33"/>
      <c r="F189" s="33"/>
      <c r="G189" s="64"/>
      <c r="H189" s="64"/>
      <c r="I189" s="64"/>
      <c r="J189" s="64"/>
      <c r="K189" s="64"/>
      <c r="L189" s="64"/>
      <c r="M189" s="68">
        <f>SUM(G188,I188,K188,M188)</f>
        <v>30695815.780691765</v>
      </c>
    </row>
    <row r="190" spans="1:13" ht="12" customHeight="1" x14ac:dyDescent="0.3">
      <c r="A190" s="63" t="s">
        <v>110</v>
      </c>
      <c r="B190" s="33"/>
      <c r="C190" s="33"/>
      <c r="D190" s="33"/>
      <c r="E190" s="33"/>
      <c r="F190" s="33"/>
      <c r="G190" s="64"/>
      <c r="H190" s="64"/>
      <c r="I190" s="64"/>
      <c r="J190" s="64"/>
      <c r="K190" s="64"/>
      <c r="L190" s="64"/>
      <c r="M190" s="68">
        <f>SUM(F187:M187)*80/1000*2500</f>
        <v>464000</v>
      </c>
    </row>
    <row r="191" spans="1:13" x14ac:dyDescent="0.3">
      <c r="A191" s="51" t="s">
        <v>111</v>
      </c>
      <c r="B191" s="52"/>
      <c r="C191" s="52"/>
      <c r="D191" s="52"/>
      <c r="E191" s="52"/>
      <c r="F191" s="52"/>
      <c r="G191" s="65"/>
      <c r="H191" s="65"/>
      <c r="I191" s="65"/>
      <c r="J191" s="65"/>
      <c r="K191" s="65"/>
      <c r="L191" s="65"/>
      <c r="M191" s="53">
        <f>M189-M190</f>
        <v>30231815.780691765</v>
      </c>
    </row>
    <row r="193" spans="1:13" ht="20.25" x14ac:dyDescent="0.3">
      <c r="A193" s="43" t="s">
        <v>7</v>
      </c>
    </row>
    <row r="194" spans="1:13" ht="38.25" x14ac:dyDescent="0.3">
      <c r="A194" s="2" t="s">
        <v>85</v>
      </c>
      <c r="B194" s="44" t="s">
        <v>86</v>
      </c>
      <c r="C194" s="44" t="s">
        <v>87</v>
      </c>
      <c r="D194" s="44" t="s">
        <v>50</v>
      </c>
      <c r="E194" s="44" t="s">
        <v>88</v>
      </c>
      <c r="F194" s="54" t="s">
        <v>89</v>
      </c>
      <c r="G194" s="54" t="s">
        <v>90</v>
      </c>
      <c r="H194" s="54" t="s">
        <v>91</v>
      </c>
      <c r="I194" s="54" t="s">
        <v>92</v>
      </c>
      <c r="J194" s="54" t="s">
        <v>93</v>
      </c>
      <c r="K194" s="54" t="s">
        <v>94</v>
      </c>
      <c r="L194" s="54" t="s">
        <v>95</v>
      </c>
      <c r="M194" s="66" t="s">
        <v>96</v>
      </c>
    </row>
    <row r="195" spans="1:13" ht="28.05" customHeight="1" x14ac:dyDescent="0.3">
      <c r="A195" s="55" t="s">
        <v>97</v>
      </c>
      <c r="B195" s="56">
        <v>1</v>
      </c>
      <c r="C195" s="56" t="s">
        <v>98</v>
      </c>
      <c r="D195" s="56" t="s">
        <v>99</v>
      </c>
      <c r="E195" s="56"/>
      <c r="F195" s="57">
        <f>硅料单耗计算!H51*10000</f>
        <v>142.1478178924111</v>
      </c>
      <c r="G195" s="57">
        <f>硅料单耗计算!D51*F195</f>
        <v>9950.3472524687768</v>
      </c>
      <c r="H195" s="57">
        <f>硅料单耗计算!H52*10000</f>
        <v>187.29034176574621</v>
      </c>
      <c r="I195" s="57">
        <f>硅料单耗计算!D52*H195</f>
        <v>13110.323923602235</v>
      </c>
      <c r="J195" s="57">
        <f>+硅料单耗计算!H53*10000</f>
        <v>162.12945065664684</v>
      </c>
      <c r="K195" s="57">
        <f>硅料单耗计算!D53*J195</f>
        <v>11349.061545965278</v>
      </c>
      <c r="L195" s="57">
        <f>硅料单耗计算!H54*10000</f>
        <v>208.68004653565038</v>
      </c>
      <c r="M195" s="67">
        <f>硅料单耗计算!D54*L195</f>
        <v>12520.802792139022</v>
      </c>
    </row>
    <row r="196" spans="1:13" x14ac:dyDescent="0.3">
      <c r="A196" s="58" t="s">
        <v>100</v>
      </c>
      <c r="B196" s="59">
        <v>2</v>
      </c>
      <c r="C196" s="59" t="s">
        <v>51</v>
      </c>
      <c r="D196" s="59" t="s">
        <v>52</v>
      </c>
      <c r="E196" s="59"/>
      <c r="F196" s="57">
        <v>400</v>
      </c>
      <c r="G196" s="57">
        <f>F196*耗材价格!I3</f>
        <v>238.83398594840401</v>
      </c>
      <c r="H196" s="57">
        <v>536.67999999999995</v>
      </c>
      <c r="I196" s="57">
        <f>H196*耗材价格!I3</f>
        <v>320.44355894697361</v>
      </c>
      <c r="J196" s="57">
        <v>520.4</v>
      </c>
      <c r="K196" s="57">
        <f>J196*耗材价格!I3</f>
        <v>310.72301571887363</v>
      </c>
      <c r="L196" s="57">
        <v>520.4</v>
      </c>
      <c r="M196" s="67">
        <f>L196*耗材价格!I3</f>
        <v>310.72301571887363</v>
      </c>
    </row>
    <row r="197" spans="1:13" x14ac:dyDescent="0.3">
      <c r="A197" s="102" t="s">
        <v>101</v>
      </c>
      <c r="B197" s="59">
        <v>3</v>
      </c>
      <c r="C197" s="59" t="s">
        <v>55</v>
      </c>
      <c r="D197" s="56" t="s">
        <v>56</v>
      </c>
      <c r="E197" s="59"/>
      <c r="F197" s="57">
        <v>0.158</v>
      </c>
      <c r="G197" s="57">
        <f>F197*耗材价格!I5</f>
        <v>5.0671858406945356</v>
      </c>
      <c r="H197" s="57">
        <v>0.18</v>
      </c>
      <c r="I197" s="57">
        <f>H197*耗材价格!I5</f>
        <v>5.7727433628165592</v>
      </c>
      <c r="J197" s="57">
        <v>0.158</v>
      </c>
      <c r="K197" s="57">
        <f>J197*耗材价格!I5</f>
        <v>5.0671858406945356</v>
      </c>
      <c r="L197" s="57">
        <v>0.158</v>
      </c>
      <c r="M197" s="67">
        <f>L197*耗材价格!I5</f>
        <v>5.0671858406945356</v>
      </c>
    </row>
    <row r="198" spans="1:13" x14ac:dyDescent="0.3">
      <c r="A198" s="103"/>
      <c r="B198" s="59">
        <v>4</v>
      </c>
      <c r="C198" s="59" t="s">
        <v>57</v>
      </c>
      <c r="D198" s="56" t="s">
        <v>56</v>
      </c>
      <c r="E198" s="59"/>
      <c r="F198" s="57">
        <v>0.14399999999999999</v>
      </c>
      <c r="G198" s="57">
        <f>F198*耗材价格!I6</f>
        <v>7.7861946902349013</v>
      </c>
      <c r="H198" s="57">
        <v>0.2</v>
      </c>
      <c r="I198" s="57">
        <f>H198*耗材价格!I6</f>
        <v>10.814159291992921</v>
      </c>
      <c r="J198" s="57">
        <v>0.14399999999999999</v>
      </c>
      <c r="K198" s="57">
        <f>J198*耗材价格!I6</f>
        <v>7.7861946902349013</v>
      </c>
      <c r="L198" s="57">
        <v>0.14399999999999999</v>
      </c>
      <c r="M198" s="67">
        <f>L198*耗材价格!I6</f>
        <v>7.7861946902349013</v>
      </c>
    </row>
    <row r="199" spans="1:13" ht="25.5" x14ac:dyDescent="0.3">
      <c r="A199" s="103"/>
      <c r="B199" s="59">
        <v>5</v>
      </c>
      <c r="C199" s="56" t="s">
        <v>58</v>
      </c>
      <c r="D199" s="56" t="s">
        <v>59</v>
      </c>
      <c r="E199" s="60" t="s">
        <v>102</v>
      </c>
      <c r="F199" s="57"/>
      <c r="G199" s="57">
        <f>F199*耗材价格!I7</f>
        <v>0</v>
      </c>
      <c r="H199" s="57"/>
      <c r="I199" s="57">
        <f>H199*耗材价格!I7</f>
        <v>0</v>
      </c>
      <c r="J199" s="57"/>
      <c r="K199" s="57">
        <f>J199*耗材价格!I7</f>
        <v>0</v>
      </c>
      <c r="L199" s="57"/>
      <c r="M199" s="67">
        <f>L199*耗材价格!I7</f>
        <v>0</v>
      </c>
    </row>
    <row r="200" spans="1:13" x14ac:dyDescent="0.3">
      <c r="A200" s="103"/>
      <c r="B200" s="59">
        <v>6</v>
      </c>
      <c r="C200" s="59" t="s">
        <v>60</v>
      </c>
      <c r="D200" s="56" t="s">
        <v>61</v>
      </c>
      <c r="E200" s="59"/>
      <c r="F200" s="57">
        <v>2.2530000000000001</v>
      </c>
      <c r="G200" s="57">
        <f>F200*耗材价格!I8</f>
        <v>33.89469026548668</v>
      </c>
      <c r="H200" s="57">
        <v>2.5640000000000001</v>
      </c>
      <c r="I200" s="57">
        <f>H200*耗材价格!I8</f>
        <v>38.573451327433581</v>
      </c>
      <c r="J200" s="57">
        <v>2.2530000000000001</v>
      </c>
      <c r="K200" s="57">
        <f>J200*耗材价格!I8</f>
        <v>33.89469026548668</v>
      </c>
      <c r="L200" s="57">
        <v>2.2530000000000001</v>
      </c>
      <c r="M200" s="67">
        <f>L200*耗材价格!I8</f>
        <v>33.89469026548668</v>
      </c>
    </row>
    <row r="201" spans="1:13" ht="25.5" x14ac:dyDescent="0.3">
      <c r="A201" s="104"/>
      <c r="B201" s="59">
        <v>7</v>
      </c>
      <c r="C201" s="56" t="s">
        <v>62</v>
      </c>
      <c r="D201" s="56" t="s">
        <v>59</v>
      </c>
      <c r="E201" s="60" t="s">
        <v>102</v>
      </c>
      <c r="F201" s="57"/>
      <c r="G201" s="57">
        <f>F201*耗材价格!I9</f>
        <v>0</v>
      </c>
      <c r="H201" s="57"/>
      <c r="I201" s="57">
        <f>H201*耗材价格!I9</f>
        <v>0</v>
      </c>
      <c r="J201" s="57"/>
      <c r="K201" s="57">
        <f>J201*耗材价格!I9</f>
        <v>0</v>
      </c>
      <c r="L201" s="57"/>
      <c r="M201" s="67">
        <f>L201*耗材价格!I9</f>
        <v>0</v>
      </c>
    </row>
    <row r="202" spans="1:13" x14ac:dyDescent="0.3">
      <c r="A202" s="102" t="s">
        <v>103</v>
      </c>
      <c r="B202" s="59">
        <v>8</v>
      </c>
      <c r="C202" s="59" t="s">
        <v>63</v>
      </c>
      <c r="D202" s="56" t="s">
        <v>64</v>
      </c>
      <c r="E202" s="61"/>
      <c r="F202" s="57">
        <v>34.965184239624598</v>
      </c>
      <c r="G202" s="57">
        <f>F202*耗材价格!I10</f>
        <v>433.48140210073103</v>
      </c>
      <c r="H202" s="57">
        <v>50</v>
      </c>
      <c r="I202" s="57">
        <f>H202*耗材价格!I10</f>
        <v>619.87575859744004</v>
      </c>
      <c r="J202" s="57">
        <v>43</v>
      </c>
      <c r="K202" s="57">
        <f>J202*耗材价格!I10</f>
        <v>533.09315239379839</v>
      </c>
      <c r="L202" s="57">
        <v>47.739268121041498</v>
      </c>
      <c r="M202" s="67">
        <f>L202*耗材价格!I10</f>
        <v>591.84830082834367</v>
      </c>
    </row>
    <row r="203" spans="1:13" x14ac:dyDescent="0.3">
      <c r="A203" s="103"/>
      <c r="B203" s="59">
        <v>9</v>
      </c>
      <c r="C203" s="59" t="s">
        <v>65</v>
      </c>
      <c r="D203" s="56" t="s">
        <v>56</v>
      </c>
      <c r="E203" s="61"/>
      <c r="F203" s="57">
        <v>8.1119227435929204</v>
      </c>
      <c r="G203" s="57">
        <f>F203*耗材价格!I11</f>
        <v>118.09340687983416</v>
      </c>
      <c r="H203" s="57">
        <v>13.9418112244898</v>
      </c>
      <c r="I203" s="57">
        <f>H203*耗材价格!I11</f>
        <v>202.9649489544172</v>
      </c>
      <c r="J203" s="57">
        <v>8.1119227435929204</v>
      </c>
      <c r="K203" s="57">
        <f>J203*耗材价格!I11</f>
        <v>118.09340687983416</v>
      </c>
      <c r="L203" s="57">
        <v>8.1119227435929204</v>
      </c>
      <c r="M203" s="67">
        <f>L203*耗材价格!I11</f>
        <v>118.09340687983416</v>
      </c>
    </row>
    <row r="204" spans="1:13" x14ac:dyDescent="0.3">
      <c r="A204" s="103"/>
      <c r="B204" s="59">
        <v>10</v>
      </c>
      <c r="C204" s="59" t="s">
        <v>66</v>
      </c>
      <c r="D204" s="56" t="s">
        <v>61</v>
      </c>
      <c r="E204" s="61"/>
      <c r="F204" s="57">
        <v>0.27</v>
      </c>
      <c r="G204" s="57">
        <f>F204*耗材价格!I12</f>
        <v>1.581769911492956</v>
      </c>
      <c r="H204" s="57">
        <v>0.308</v>
      </c>
      <c r="I204" s="57">
        <f>H204*耗材价格!I12</f>
        <v>1.8043893805178903</v>
      </c>
      <c r="J204" s="57">
        <v>0.27</v>
      </c>
      <c r="K204" s="57">
        <f>J204*耗材价格!I12</f>
        <v>1.581769911492956</v>
      </c>
      <c r="L204" s="57">
        <v>0.27</v>
      </c>
      <c r="M204" s="67">
        <f>L204*耗材价格!I12</f>
        <v>1.581769911492956</v>
      </c>
    </row>
    <row r="205" spans="1:13" ht="25.5" x14ac:dyDescent="0.3">
      <c r="A205" s="103"/>
      <c r="B205" s="59">
        <v>11</v>
      </c>
      <c r="C205" s="56" t="s">
        <v>67</v>
      </c>
      <c r="D205" s="56" t="s">
        <v>59</v>
      </c>
      <c r="E205" s="60" t="s">
        <v>102</v>
      </c>
      <c r="F205" s="62"/>
      <c r="G205" s="57">
        <f>F205*耗材价格!I13</f>
        <v>0</v>
      </c>
      <c r="H205" s="62"/>
      <c r="I205" s="57">
        <f>H205*耗材价格!I13</f>
        <v>0</v>
      </c>
      <c r="J205" s="62"/>
      <c r="K205" s="57">
        <f>J205*耗材价格!I13</f>
        <v>0</v>
      </c>
      <c r="L205" s="62"/>
      <c r="M205" s="67">
        <f>L205*耗材价格!I13</f>
        <v>0</v>
      </c>
    </row>
    <row r="206" spans="1:13" ht="25.5" x14ac:dyDescent="0.3">
      <c r="A206" s="103"/>
      <c r="B206" s="59">
        <v>12</v>
      </c>
      <c r="C206" s="56" t="s">
        <v>68</v>
      </c>
      <c r="D206" s="56" t="s">
        <v>59</v>
      </c>
      <c r="E206" s="60" t="s">
        <v>102</v>
      </c>
      <c r="F206" s="62"/>
      <c r="G206" s="57">
        <f>F206*耗材价格!I14</f>
        <v>0</v>
      </c>
      <c r="H206" s="62"/>
      <c r="I206" s="57">
        <f>H206*耗材价格!I14</f>
        <v>0</v>
      </c>
      <c r="J206" s="62"/>
      <c r="K206" s="57">
        <f>J206*耗材价格!I14</f>
        <v>0</v>
      </c>
      <c r="L206" s="62"/>
      <c r="M206" s="67">
        <f>L206*耗材价格!I14</f>
        <v>0</v>
      </c>
    </row>
    <row r="207" spans="1:13" x14ac:dyDescent="0.3">
      <c r="A207" s="104"/>
      <c r="B207" s="59">
        <v>13</v>
      </c>
      <c r="C207" s="59" t="s">
        <v>69</v>
      </c>
      <c r="D207" s="56" t="s">
        <v>61</v>
      </c>
      <c r="E207" s="61"/>
      <c r="F207" s="57">
        <v>0.45100000000000001</v>
      </c>
      <c r="G207" s="57">
        <f>F207*耗材价格!I15</f>
        <v>1.3969026548672554</v>
      </c>
      <c r="H207" s="57">
        <v>0.51300000000000001</v>
      </c>
      <c r="I207" s="57">
        <f>H207*耗材价格!I15</f>
        <v>1.5889380530973438</v>
      </c>
      <c r="J207" s="57">
        <v>0.45100000000000001</v>
      </c>
      <c r="K207" s="57">
        <f>J207*耗材价格!I15</f>
        <v>1.3969026548672554</v>
      </c>
      <c r="L207" s="57">
        <v>0.45100000000000001</v>
      </c>
      <c r="M207" s="67">
        <f>L207*耗材价格!I15</f>
        <v>1.3969026548672554</v>
      </c>
    </row>
    <row r="208" spans="1:13" x14ac:dyDescent="0.3">
      <c r="A208" s="102" t="s">
        <v>104</v>
      </c>
      <c r="B208" s="59">
        <v>14</v>
      </c>
      <c r="C208" s="59" t="s">
        <v>70</v>
      </c>
      <c r="D208" s="56" t="s">
        <v>56</v>
      </c>
      <c r="E208" s="61"/>
      <c r="F208" s="57">
        <v>2.1259999999999999</v>
      </c>
      <c r="G208" s="57">
        <f>F208*耗材价格!I16</f>
        <v>3.3579511504388582</v>
      </c>
      <c r="H208" s="57">
        <v>2.258</v>
      </c>
      <c r="I208" s="57">
        <f>H208*耗材价格!I16</f>
        <v>3.566441061943058</v>
      </c>
      <c r="J208" s="57">
        <v>2.1259999999999999</v>
      </c>
      <c r="K208" s="57">
        <f>J208*耗材价格!I16</f>
        <v>3.3579511504388582</v>
      </c>
      <c r="L208" s="57">
        <v>2.258</v>
      </c>
      <c r="M208" s="67">
        <f>L208*耗材价格!I16</f>
        <v>3.566441061943058</v>
      </c>
    </row>
    <row r="209" spans="1:13" x14ac:dyDescent="0.3">
      <c r="A209" s="103"/>
      <c r="B209" s="59">
        <v>15</v>
      </c>
      <c r="C209" s="59" t="s">
        <v>71</v>
      </c>
      <c r="D209" s="56" t="s">
        <v>56</v>
      </c>
      <c r="E209" s="61"/>
      <c r="F209" s="57">
        <v>6.0709999999999997</v>
      </c>
      <c r="G209" s="57">
        <f>F209*耗材价格!I17</f>
        <v>20.673635398126915</v>
      </c>
      <c r="H209" s="57">
        <v>7.843</v>
      </c>
      <c r="I209" s="57">
        <f>H209*耗材价格!I17</f>
        <v>26.707844247654325</v>
      </c>
      <c r="J209" s="57">
        <v>6.0709999999999997</v>
      </c>
      <c r="K209" s="57">
        <f>J209*耗材价格!I17</f>
        <v>20.673635398126915</v>
      </c>
      <c r="L209" s="57">
        <v>6.0709999999999997</v>
      </c>
      <c r="M209" s="67">
        <f>L209*耗材价格!I17</f>
        <v>20.673635398126915</v>
      </c>
    </row>
    <row r="210" spans="1:13" x14ac:dyDescent="0.3">
      <c r="A210" s="103"/>
      <c r="B210" s="59">
        <v>16</v>
      </c>
      <c r="C210" s="59" t="s">
        <v>72</v>
      </c>
      <c r="D210" s="56" t="s">
        <v>73</v>
      </c>
      <c r="E210" s="61"/>
      <c r="F210" s="57">
        <v>4.2999999999999997E-2</v>
      </c>
      <c r="G210" s="57">
        <f>F210*耗材价格!I18</f>
        <v>0.35861238938016554</v>
      </c>
      <c r="H210" s="57">
        <v>4.4999999999999998E-2</v>
      </c>
      <c r="I210" s="57">
        <f>H210*耗材价格!I18</f>
        <v>0.37529203539784772</v>
      </c>
      <c r="J210" s="57">
        <v>4.2999999999999997E-2</v>
      </c>
      <c r="K210" s="57">
        <f>J210*耗材价格!I18</f>
        <v>0.35861238938016554</v>
      </c>
      <c r="L210" s="57">
        <v>4.4999999999999998E-2</v>
      </c>
      <c r="M210" s="67">
        <f>L210*耗材价格!I18</f>
        <v>0.37529203539784772</v>
      </c>
    </row>
    <row r="211" spans="1:13" x14ac:dyDescent="0.3">
      <c r="A211" s="104"/>
      <c r="B211" s="59">
        <v>17</v>
      </c>
      <c r="C211" s="59" t="s">
        <v>74</v>
      </c>
      <c r="D211" s="56" t="s">
        <v>56</v>
      </c>
      <c r="E211" s="61"/>
      <c r="F211" s="57">
        <v>0.84499999999999997</v>
      </c>
      <c r="G211" s="57">
        <f>F211*耗材价格!I19</f>
        <v>5.7759115044175999</v>
      </c>
      <c r="H211" s="57">
        <v>0.96099999999999997</v>
      </c>
      <c r="I211" s="57">
        <f>H211*耗材价格!I19</f>
        <v>6.5688176991068801</v>
      </c>
      <c r="J211" s="57">
        <v>0.84499999999999997</v>
      </c>
      <c r="K211" s="57">
        <f>J211*耗材价格!I19</f>
        <v>5.7759115044175999</v>
      </c>
      <c r="L211" s="57">
        <v>0.84499999999999997</v>
      </c>
      <c r="M211" s="67">
        <f>L211*耗材价格!I19</f>
        <v>5.7759115044175999</v>
      </c>
    </row>
    <row r="212" spans="1:13" x14ac:dyDescent="0.3">
      <c r="A212" s="102" t="s">
        <v>105</v>
      </c>
      <c r="B212" s="59">
        <v>18</v>
      </c>
      <c r="C212" s="59" t="s">
        <v>75</v>
      </c>
      <c r="D212" s="56" t="s">
        <v>61</v>
      </c>
      <c r="E212" s="61"/>
      <c r="F212" s="57">
        <v>57.14</v>
      </c>
      <c r="G212" s="57">
        <f>F212*耗材价格!I20</f>
        <v>3.0582541592823267</v>
      </c>
      <c r="H212" s="57">
        <v>100</v>
      </c>
      <c r="I212" s="57">
        <f>H212*耗材价格!I20</f>
        <v>5.3522123893635403</v>
      </c>
      <c r="J212" s="57">
        <v>57.14</v>
      </c>
      <c r="K212" s="57">
        <f>J212*耗材价格!I20</f>
        <v>3.0582541592823267</v>
      </c>
      <c r="L212" s="57">
        <v>57.14</v>
      </c>
      <c r="M212" s="67">
        <f>L212*耗材价格!I20</f>
        <v>3.0582541592823267</v>
      </c>
    </row>
    <row r="213" spans="1:13" x14ac:dyDescent="0.3">
      <c r="A213" s="103"/>
      <c r="B213" s="59">
        <v>19</v>
      </c>
      <c r="C213" s="59" t="s">
        <v>76</v>
      </c>
      <c r="D213" s="56" t="s">
        <v>61</v>
      </c>
      <c r="E213" s="61"/>
      <c r="F213" s="57">
        <v>28.57</v>
      </c>
      <c r="G213" s="57">
        <f>F213*耗材价格!I21</f>
        <v>2.9834159292035416</v>
      </c>
      <c r="H213" s="57">
        <v>33.33</v>
      </c>
      <c r="I213" s="57">
        <f>H213*耗材价格!I21</f>
        <v>3.4804778761061965</v>
      </c>
      <c r="J213" s="57">
        <v>28.57</v>
      </c>
      <c r="K213" s="57">
        <f>J213*耗材价格!I21</f>
        <v>2.9834159292035416</v>
      </c>
      <c r="L213" s="57">
        <v>33.33</v>
      </c>
      <c r="M213" s="67">
        <f>L213*耗材价格!I21</f>
        <v>3.4804778761061965</v>
      </c>
    </row>
    <row r="214" spans="1:13" x14ac:dyDescent="0.3">
      <c r="A214" s="103"/>
      <c r="B214" s="59">
        <v>20</v>
      </c>
      <c r="C214" s="59" t="s">
        <v>77</v>
      </c>
      <c r="D214" s="56" t="s">
        <v>61</v>
      </c>
      <c r="E214" s="61"/>
      <c r="F214" s="57">
        <v>3.57</v>
      </c>
      <c r="G214" s="57">
        <f>F214*耗材价格!I22</f>
        <v>20.535398230088489</v>
      </c>
      <c r="H214" s="57">
        <v>4.17</v>
      </c>
      <c r="I214" s="57">
        <f>H214*耗材价格!I22</f>
        <v>23.986725663716808</v>
      </c>
      <c r="J214" s="57">
        <v>3.57</v>
      </c>
      <c r="K214" s="57">
        <f>J214*耗材价格!I22</f>
        <v>20.535398230088489</v>
      </c>
      <c r="L214" s="57">
        <v>3.57</v>
      </c>
      <c r="M214" s="67">
        <f>L214*耗材价格!I22</f>
        <v>20.535398230088489</v>
      </c>
    </row>
    <row r="215" spans="1:13" x14ac:dyDescent="0.3">
      <c r="A215" s="103"/>
      <c r="B215" s="59">
        <v>21</v>
      </c>
      <c r="C215" s="59" t="s">
        <v>78</v>
      </c>
      <c r="D215" s="56" t="s">
        <v>61</v>
      </c>
      <c r="E215" s="61"/>
      <c r="F215" s="57">
        <v>114</v>
      </c>
      <c r="G215" s="57">
        <f>F215*耗材价格!I23</f>
        <v>4.8424778761061953</v>
      </c>
      <c r="H215" s="57">
        <v>200</v>
      </c>
      <c r="I215" s="57">
        <f>H215*耗材价格!I23</f>
        <v>8.4955752212389388</v>
      </c>
      <c r="J215" s="57">
        <v>114</v>
      </c>
      <c r="K215" s="57">
        <f>J215*耗材价格!I23</f>
        <v>4.8424778761061953</v>
      </c>
      <c r="L215" s="57">
        <v>114</v>
      </c>
      <c r="M215" s="67">
        <f>L215*耗材价格!I23</f>
        <v>4.8424778761061953</v>
      </c>
    </row>
    <row r="216" spans="1:13" x14ac:dyDescent="0.3">
      <c r="A216" s="103"/>
      <c r="B216" s="59">
        <v>22</v>
      </c>
      <c r="C216" s="59" t="s">
        <v>79</v>
      </c>
      <c r="D216" s="56" t="s">
        <v>61</v>
      </c>
      <c r="E216" s="61"/>
      <c r="F216" s="57">
        <v>0.15</v>
      </c>
      <c r="G216" s="57">
        <f>F216*耗材价格!I24</f>
        <v>5.2340707964506201</v>
      </c>
      <c r="H216" s="57">
        <v>0.17</v>
      </c>
      <c r="I216" s="57">
        <f>H216*耗材价格!I24</f>
        <v>5.9319469026440368</v>
      </c>
      <c r="J216" s="57">
        <v>0.15</v>
      </c>
      <c r="K216" s="57">
        <f>J216*耗材价格!I24</f>
        <v>5.2340707964506201</v>
      </c>
      <c r="L216" s="57">
        <v>0.15</v>
      </c>
      <c r="M216" s="67">
        <f>L216*耗材价格!I24</f>
        <v>5.2340707964506201</v>
      </c>
    </row>
    <row r="217" spans="1:13" x14ac:dyDescent="0.3">
      <c r="A217" s="104"/>
      <c r="B217" s="59">
        <v>23</v>
      </c>
      <c r="C217" s="59" t="s">
        <v>80</v>
      </c>
      <c r="D217" s="56" t="s">
        <v>61</v>
      </c>
      <c r="E217" s="61"/>
      <c r="F217" s="57">
        <v>86</v>
      </c>
      <c r="G217" s="57">
        <f>F217*耗材价格!I25</f>
        <v>5.1752212389380547</v>
      </c>
      <c r="H217" s="57">
        <v>101</v>
      </c>
      <c r="I217" s="57">
        <f>H217*耗材价格!I25</f>
        <v>6.077876106194692</v>
      </c>
      <c r="J217" s="57">
        <v>86</v>
      </c>
      <c r="K217" s="57">
        <f>J217*耗材价格!I25</f>
        <v>5.1752212389380547</v>
      </c>
      <c r="L217" s="57">
        <v>101</v>
      </c>
      <c r="M217" s="67">
        <f>L217*耗材价格!I25</f>
        <v>6.077876106194692</v>
      </c>
    </row>
    <row r="218" spans="1:13" x14ac:dyDescent="0.3">
      <c r="A218" s="63" t="s">
        <v>106</v>
      </c>
      <c r="B218" s="59"/>
      <c r="C218" s="59"/>
      <c r="D218" s="56"/>
      <c r="E218" s="61"/>
      <c r="F218" s="57"/>
      <c r="G218" s="57">
        <f t="shared" ref="G218:K218" si="10">SUM(G195:G217)</f>
        <v>10862.477739432956</v>
      </c>
      <c r="H218" s="57"/>
      <c r="I218" s="57">
        <f t="shared" si="10"/>
        <v>14402.705080720287</v>
      </c>
      <c r="J218" s="57"/>
      <c r="K218" s="57">
        <f t="shared" si="10"/>
        <v>12432.692812992993</v>
      </c>
      <c r="L218" s="57"/>
      <c r="M218" s="67">
        <f>SUM(M195:M217)</f>
        <v>13664.814093972962</v>
      </c>
    </row>
    <row r="219" spans="1:13" x14ac:dyDescent="0.3">
      <c r="A219" s="63" t="s">
        <v>107</v>
      </c>
      <c r="B219" s="33"/>
      <c r="C219" s="33"/>
      <c r="D219" s="33"/>
      <c r="E219" s="33"/>
      <c r="F219" s="33"/>
      <c r="G219" s="64">
        <f>销售收入!E45/10000</f>
        <v>750</v>
      </c>
      <c r="H219" s="64"/>
      <c r="I219" s="64">
        <f>销售收入!E46/10000</f>
        <v>420</v>
      </c>
      <c r="J219" s="64"/>
      <c r="K219" s="64">
        <f>销售收入!E47/10000</f>
        <v>420</v>
      </c>
      <c r="L219" s="64"/>
      <c r="M219" s="68">
        <f>销售收入!E48/10000</f>
        <v>705</v>
      </c>
    </row>
    <row r="220" spans="1:13" x14ac:dyDescent="0.3">
      <c r="A220" s="63" t="s">
        <v>108</v>
      </c>
      <c r="B220" s="33"/>
      <c r="C220" s="33"/>
      <c r="D220" s="33"/>
      <c r="E220" s="33"/>
      <c r="F220" s="33"/>
      <c r="G220" s="64">
        <f t="shared" ref="G220:K220" si="11">G218*G219</f>
        <v>8146858.3045747168</v>
      </c>
      <c r="H220" s="64"/>
      <c r="I220" s="64">
        <f t="shared" si="11"/>
        <v>6049136.1339025209</v>
      </c>
      <c r="J220" s="64"/>
      <c r="K220" s="64">
        <f t="shared" si="11"/>
        <v>5221730.9814570574</v>
      </c>
      <c r="L220" s="64"/>
      <c r="M220" s="68">
        <f>M218*M219</f>
        <v>9633693.9362509381</v>
      </c>
    </row>
    <row r="221" spans="1:13" x14ac:dyDescent="0.3">
      <c r="A221" s="63" t="s">
        <v>109</v>
      </c>
      <c r="B221" s="33"/>
      <c r="C221" s="33"/>
      <c r="D221" s="33"/>
      <c r="E221" s="33"/>
      <c r="F221" s="33"/>
      <c r="G221" s="64"/>
      <c r="H221" s="64"/>
      <c r="I221" s="64"/>
      <c r="J221" s="64"/>
      <c r="K221" s="64"/>
      <c r="L221" s="64"/>
      <c r="M221" s="68">
        <f>SUM(G220,I220,K220,M220)</f>
        <v>29051419.356185235</v>
      </c>
    </row>
    <row r="222" spans="1:13" ht="12" customHeight="1" x14ac:dyDescent="0.3">
      <c r="A222" s="63" t="s">
        <v>110</v>
      </c>
      <c r="B222" s="33"/>
      <c r="C222" s="33"/>
      <c r="D222" s="33"/>
      <c r="E222" s="33"/>
      <c r="F222" s="33"/>
      <c r="G222" s="64"/>
      <c r="H222" s="64"/>
      <c r="I222" s="64"/>
      <c r="J222" s="64"/>
      <c r="K222" s="64"/>
      <c r="L222" s="64"/>
      <c r="M222" s="68">
        <f>SUM(F219:M219)*80/1000*2500</f>
        <v>459000</v>
      </c>
    </row>
    <row r="223" spans="1:13" x14ac:dyDescent="0.3">
      <c r="A223" s="51" t="s">
        <v>111</v>
      </c>
      <c r="B223" s="52"/>
      <c r="C223" s="52"/>
      <c r="D223" s="52"/>
      <c r="E223" s="52"/>
      <c r="F223" s="52"/>
      <c r="G223" s="65"/>
      <c r="H223" s="65"/>
      <c r="I223" s="65"/>
      <c r="J223" s="65"/>
      <c r="K223" s="65"/>
      <c r="L223" s="65"/>
      <c r="M223" s="53">
        <f>M221-M222</f>
        <v>28592419.356185235</v>
      </c>
    </row>
    <row r="225" spans="1:13" ht="20.25" x14ac:dyDescent="0.3">
      <c r="A225" s="43" t="s">
        <v>8</v>
      </c>
    </row>
    <row r="226" spans="1:13" ht="38.25" x14ac:dyDescent="0.3">
      <c r="A226" s="2" t="s">
        <v>85</v>
      </c>
      <c r="B226" s="44" t="s">
        <v>86</v>
      </c>
      <c r="C226" s="44" t="s">
        <v>87</v>
      </c>
      <c r="D226" s="44" t="s">
        <v>50</v>
      </c>
      <c r="E226" s="44" t="s">
        <v>88</v>
      </c>
      <c r="F226" s="54" t="s">
        <v>89</v>
      </c>
      <c r="G226" s="54" t="s">
        <v>90</v>
      </c>
      <c r="H226" s="54" t="s">
        <v>91</v>
      </c>
      <c r="I226" s="54" t="s">
        <v>92</v>
      </c>
      <c r="J226" s="54" t="s">
        <v>93</v>
      </c>
      <c r="K226" s="54" t="s">
        <v>94</v>
      </c>
      <c r="L226" s="54" t="s">
        <v>95</v>
      </c>
      <c r="M226" s="66" t="s">
        <v>96</v>
      </c>
    </row>
    <row r="227" spans="1:13" ht="28.05" customHeight="1" x14ac:dyDescent="0.3">
      <c r="A227" s="55" t="s">
        <v>97</v>
      </c>
      <c r="B227" s="56">
        <v>1</v>
      </c>
      <c r="C227" s="56" t="s">
        <v>98</v>
      </c>
      <c r="D227" s="56" t="s">
        <v>99</v>
      </c>
      <c r="E227" s="56"/>
      <c r="F227" s="57">
        <f>硅料单耗计算!H59*10000</f>
        <v>142.00365174850398</v>
      </c>
      <c r="G227" s="57">
        <f>硅料单耗计算!D59*F227</f>
        <v>8520.2191049102385</v>
      </c>
      <c r="H227" s="57">
        <f>硅料单耗计算!H60*10000</f>
        <v>187.10039212906693</v>
      </c>
      <c r="I227" s="57">
        <f>硅料单耗计算!D60*H227</f>
        <v>11226.023527744015</v>
      </c>
      <c r="J227" s="57">
        <f>+硅料单耗计算!H61*10000</f>
        <v>161.96501916510866</v>
      </c>
      <c r="K227" s="57">
        <f>硅料单耗计算!D61*J227</f>
        <v>9717.90114990652</v>
      </c>
      <c r="L227" s="57">
        <f>硅料单耗计算!H62*10000</f>
        <v>208.46840348642559</v>
      </c>
      <c r="M227" s="67">
        <f>硅料单耗计算!D62*L227</f>
        <v>10423.42017432128</v>
      </c>
    </row>
    <row r="228" spans="1:13" x14ac:dyDescent="0.3">
      <c r="A228" s="58" t="s">
        <v>100</v>
      </c>
      <c r="B228" s="59">
        <v>2</v>
      </c>
      <c r="C228" s="59" t="s">
        <v>51</v>
      </c>
      <c r="D228" s="59" t="s">
        <v>52</v>
      </c>
      <c r="E228" s="59"/>
      <c r="F228" s="57">
        <v>400</v>
      </c>
      <c r="G228" s="57">
        <f>F228*耗材价格!J3</f>
        <v>243.52039878880319</v>
      </c>
      <c r="H228" s="57">
        <v>536.67999999999995</v>
      </c>
      <c r="I228" s="57">
        <f>H228*耗材价格!J3</f>
        <v>326.73131905493722</v>
      </c>
      <c r="J228" s="57">
        <v>520.4</v>
      </c>
      <c r="K228" s="57">
        <f>J228*耗材价格!J3</f>
        <v>316.82003882423294</v>
      </c>
      <c r="L228" s="57">
        <v>520.4</v>
      </c>
      <c r="M228" s="67">
        <f>L228*耗材价格!J3</f>
        <v>316.82003882423294</v>
      </c>
    </row>
    <row r="229" spans="1:13" x14ac:dyDescent="0.3">
      <c r="A229" s="102" t="s">
        <v>101</v>
      </c>
      <c r="B229" s="59">
        <v>3</v>
      </c>
      <c r="C229" s="59" t="s">
        <v>55</v>
      </c>
      <c r="D229" s="56" t="s">
        <v>56</v>
      </c>
      <c r="E229" s="59"/>
      <c r="F229" s="57">
        <v>0.158</v>
      </c>
      <c r="G229" s="57">
        <f>F229*耗材价格!J5</f>
        <v>5.0671858406945356</v>
      </c>
      <c r="H229" s="57">
        <v>0.18</v>
      </c>
      <c r="I229" s="57">
        <f>H229*耗材价格!J5</f>
        <v>5.7727433628165592</v>
      </c>
      <c r="J229" s="57">
        <v>0.158</v>
      </c>
      <c r="K229" s="57">
        <f>J229*耗材价格!J5</f>
        <v>5.0671858406945356</v>
      </c>
      <c r="L229" s="57">
        <v>0.158</v>
      </c>
      <c r="M229" s="67">
        <f>L229*耗材价格!J5</f>
        <v>5.0671858406945356</v>
      </c>
    </row>
    <row r="230" spans="1:13" x14ac:dyDescent="0.3">
      <c r="A230" s="103"/>
      <c r="B230" s="59">
        <v>4</v>
      </c>
      <c r="C230" s="59" t="s">
        <v>57</v>
      </c>
      <c r="D230" s="56" t="s">
        <v>56</v>
      </c>
      <c r="E230" s="59"/>
      <c r="F230" s="57">
        <v>0.14399999999999999</v>
      </c>
      <c r="G230" s="57">
        <f>F230*耗材价格!J6</f>
        <v>7.7861946902349013</v>
      </c>
      <c r="H230" s="57">
        <v>0.2</v>
      </c>
      <c r="I230" s="57">
        <f>H230*耗材价格!J6</f>
        <v>10.814159291992921</v>
      </c>
      <c r="J230" s="57">
        <v>0.14399999999999999</v>
      </c>
      <c r="K230" s="57">
        <f>J230*耗材价格!J6</f>
        <v>7.7861946902349013</v>
      </c>
      <c r="L230" s="57">
        <v>0.14399999999999999</v>
      </c>
      <c r="M230" s="67">
        <f>L230*耗材价格!J6</f>
        <v>7.7861946902349013</v>
      </c>
    </row>
    <row r="231" spans="1:13" ht="25.5" x14ac:dyDescent="0.3">
      <c r="A231" s="103"/>
      <c r="B231" s="59">
        <v>5</v>
      </c>
      <c r="C231" s="56" t="s">
        <v>58</v>
      </c>
      <c r="D231" s="56" t="s">
        <v>59</v>
      </c>
      <c r="E231" s="60" t="s">
        <v>102</v>
      </c>
      <c r="F231" s="57"/>
      <c r="G231" s="57">
        <f>F231*耗材价格!J7</f>
        <v>0</v>
      </c>
      <c r="H231" s="57"/>
      <c r="I231" s="57">
        <f>H231*耗材价格!J7</f>
        <v>0</v>
      </c>
      <c r="J231" s="57"/>
      <c r="K231" s="57">
        <f>J231*耗材价格!J7</f>
        <v>0</v>
      </c>
      <c r="L231" s="57"/>
      <c r="M231" s="67">
        <f>L231*耗材价格!J7</f>
        <v>0</v>
      </c>
    </row>
    <row r="232" spans="1:13" x14ac:dyDescent="0.3">
      <c r="A232" s="103"/>
      <c r="B232" s="59">
        <v>6</v>
      </c>
      <c r="C232" s="59" t="s">
        <v>60</v>
      </c>
      <c r="D232" s="56" t="s">
        <v>61</v>
      </c>
      <c r="E232" s="59"/>
      <c r="F232" s="57">
        <v>2.2530000000000001</v>
      </c>
      <c r="G232" s="57">
        <f>F232*耗材价格!J8</f>
        <v>33.89469026548668</v>
      </c>
      <c r="H232" s="57">
        <v>2.5640000000000001</v>
      </c>
      <c r="I232" s="57">
        <f>H232*耗材价格!J8</f>
        <v>38.573451327433581</v>
      </c>
      <c r="J232" s="57">
        <v>2.2530000000000001</v>
      </c>
      <c r="K232" s="57">
        <f>J232*耗材价格!J8</f>
        <v>33.89469026548668</v>
      </c>
      <c r="L232" s="57">
        <v>2.2530000000000001</v>
      </c>
      <c r="M232" s="67">
        <f>L232*耗材价格!J8</f>
        <v>33.89469026548668</v>
      </c>
    </row>
    <row r="233" spans="1:13" ht="25.5" x14ac:dyDescent="0.3">
      <c r="A233" s="104"/>
      <c r="B233" s="59">
        <v>7</v>
      </c>
      <c r="C233" s="56" t="s">
        <v>62</v>
      </c>
      <c r="D233" s="56" t="s">
        <v>59</v>
      </c>
      <c r="E233" s="60" t="s">
        <v>102</v>
      </c>
      <c r="F233" s="57"/>
      <c r="G233" s="57">
        <f>F233*耗材价格!J9</f>
        <v>0</v>
      </c>
      <c r="H233" s="57"/>
      <c r="I233" s="57">
        <f>H233*耗材价格!J9</f>
        <v>0</v>
      </c>
      <c r="J233" s="57"/>
      <c r="K233" s="57">
        <f>J233*耗材价格!J9</f>
        <v>0</v>
      </c>
      <c r="L233" s="57"/>
      <c r="M233" s="67">
        <f>L233*耗材价格!J9</f>
        <v>0</v>
      </c>
    </row>
    <row r="234" spans="1:13" x14ac:dyDescent="0.3">
      <c r="A234" s="102" t="s">
        <v>103</v>
      </c>
      <c r="B234" s="59">
        <v>8</v>
      </c>
      <c r="C234" s="59" t="s">
        <v>63</v>
      </c>
      <c r="D234" s="56" t="s">
        <v>64</v>
      </c>
      <c r="E234" s="61"/>
      <c r="F234" s="57">
        <v>34.965184239624598</v>
      </c>
      <c r="G234" s="57">
        <f>F234*耗材价格!J10</f>
        <v>382.88894202576773</v>
      </c>
      <c r="H234" s="57">
        <v>50</v>
      </c>
      <c r="I234" s="57">
        <f>H234*耗材价格!J10</f>
        <v>547.52884955752006</v>
      </c>
      <c r="J234" s="57">
        <v>43</v>
      </c>
      <c r="K234" s="57">
        <f>J234*耗材价格!J10</f>
        <v>470.87481061946721</v>
      </c>
      <c r="L234" s="57">
        <v>47.739268121041498</v>
      </c>
      <c r="M234" s="67">
        <f>L234*耗材价格!J10</f>
        <v>522.77253106063688</v>
      </c>
    </row>
    <row r="235" spans="1:13" x14ac:dyDescent="0.3">
      <c r="A235" s="103"/>
      <c r="B235" s="59">
        <v>9</v>
      </c>
      <c r="C235" s="59" t="s">
        <v>65</v>
      </c>
      <c r="D235" s="56" t="s">
        <v>56</v>
      </c>
      <c r="E235" s="61"/>
      <c r="F235" s="57">
        <v>8.1119227435929204</v>
      </c>
      <c r="G235" s="57">
        <f>F235*耗材价格!J11</f>
        <v>116.11081738269162</v>
      </c>
      <c r="H235" s="57">
        <v>13.9418112244898</v>
      </c>
      <c r="I235" s="57">
        <f>H235*耗材价格!J11</f>
        <v>199.55750914285719</v>
      </c>
      <c r="J235" s="57">
        <v>8.1119227435929204</v>
      </c>
      <c r="K235" s="57">
        <f>J235*耗材价格!J11</f>
        <v>116.11081738269162</v>
      </c>
      <c r="L235" s="57">
        <v>8.1119227435929204</v>
      </c>
      <c r="M235" s="67">
        <f>L235*耗材价格!J11</f>
        <v>116.11081738269162</v>
      </c>
    </row>
    <row r="236" spans="1:13" x14ac:dyDescent="0.3">
      <c r="A236" s="103"/>
      <c r="B236" s="59">
        <v>10</v>
      </c>
      <c r="C236" s="59" t="s">
        <v>66</v>
      </c>
      <c r="D236" s="56" t="s">
        <v>61</v>
      </c>
      <c r="E236" s="61"/>
      <c r="F236" s="57">
        <v>0.27</v>
      </c>
      <c r="G236" s="57">
        <f>F236*耗材价格!J12</f>
        <v>1.581769911492956</v>
      </c>
      <c r="H236" s="57">
        <v>0.308</v>
      </c>
      <c r="I236" s="57">
        <f>H236*耗材价格!J12</f>
        <v>1.8043893805178903</v>
      </c>
      <c r="J236" s="57">
        <v>0.27</v>
      </c>
      <c r="K236" s="57">
        <f>J236*耗材价格!J12</f>
        <v>1.581769911492956</v>
      </c>
      <c r="L236" s="57">
        <v>0.27</v>
      </c>
      <c r="M236" s="67">
        <f>L236*耗材价格!J12</f>
        <v>1.581769911492956</v>
      </c>
    </row>
    <row r="237" spans="1:13" ht="25.5" x14ac:dyDescent="0.3">
      <c r="A237" s="103"/>
      <c r="B237" s="59">
        <v>11</v>
      </c>
      <c r="C237" s="56" t="s">
        <v>67</v>
      </c>
      <c r="D237" s="56" t="s">
        <v>59</v>
      </c>
      <c r="E237" s="60" t="s">
        <v>102</v>
      </c>
      <c r="F237" s="62"/>
      <c r="G237" s="57">
        <f>F237*耗材价格!J13</f>
        <v>0</v>
      </c>
      <c r="H237" s="62"/>
      <c r="I237" s="57">
        <f>H237*耗材价格!J13</f>
        <v>0</v>
      </c>
      <c r="J237" s="62"/>
      <c r="K237" s="57">
        <f>J237*耗材价格!J13</f>
        <v>0</v>
      </c>
      <c r="L237" s="62"/>
      <c r="M237" s="67">
        <f>L237*耗材价格!J13</f>
        <v>0</v>
      </c>
    </row>
    <row r="238" spans="1:13" ht="25.5" x14ac:dyDescent="0.3">
      <c r="A238" s="103"/>
      <c r="B238" s="59">
        <v>12</v>
      </c>
      <c r="C238" s="56" t="s">
        <v>68</v>
      </c>
      <c r="D238" s="56" t="s">
        <v>59</v>
      </c>
      <c r="E238" s="60" t="s">
        <v>102</v>
      </c>
      <c r="F238" s="62"/>
      <c r="G238" s="57">
        <f>F238*耗材价格!J14</f>
        <v>0</v>
      </c>
      <c r="H238" s="62"/>
      <c r="I238" s="57">
        <f>H238*耗材价格!J14</f>
        <v>0</v>
      </c>
      <c r="J238" s="62"/>
      <c r="K238" s="57">
        <f>J238*耗材价格!J14</f>
        <v>0</v>
      </c>
      <c r="L238" s="62"/>
      <c r="M238" s="67">
        <f>L238*耗材价格!J14</f>
        <v>0</v>
      </c>
    </row>
    <row r="239" spans="1:13" x14ac:dyDescent="0.3">
      <c r="A239" s="104"/>
      <c r="B239" s="59">
        <v>13</v>
      </c>
      <c r="C239" s="59" t="s">
        <v>69</v>
      </c>
      <c r="D239" s="56" t="s">
        <v>61</v>
      </c>
      <c r="E239" s="61"/>
      <c r="F239" s="57">
        <v>0.45100000000000001</v>
      </c>
      <c r="G239" s="57">
        <f>F239*耗材价格!J15</f>
        <v>1.3969026548672554</v>
      </c>
      <c r="H239" s="57">
        <v>0.51300000000000001</v>
      </c>
      <c r="I239" s="57">
        <f>H239*耗材价格!J15</f>
        <v>1.5889380530973438</v>
      </c>
      <c r="J239" s="57">
        <v>0.45100000000000001</v>
      </c>
      <c r="K239" s="57">
        <f>J239*耗材价格!J15</f>
        <v>1.3969026548672554</v>
      </c>
      <c r="L239" s="57">
        <v>0.45100000000000001</v>
      </c>
      <c r="M239" s="67">
        <f>L239*耗材价格!J15</f>
        <v>1.3969026548672554</v>
      </c>
    </row>
    <row r="240" spans="1:13" x14ac:dyDescent="0.3">
      <c r="A240" s="102" t="s">
        <v>104</v>
      </c>
      <c r="B240" s="59">
        <v>14</v>
      </c>
      <c r="C240" s="59" t="s">
        <v>70</v>
      </c>
      <c r="D240" s="56" t="s">
        <v>56</v>
      </c>
      <c r="E240" s="61"/>
      <c r="F240" s="57">
        <v>2.1259999999999999</v>
      </c>
      <c r="G240" s="57">
        <f>F240*耗材价格!J16</f>
        <v>3.3579511504388582</v>
      </c>
      <c r="H240" s="57">
        <v>2.258</v>
      </c>
      <c r="I240" s="57">
        <f>H240*耗材价格!J16</f>
        <v>3.566441061943058</v>
      </c>
      <c r="J240" s="57">
        <v>2.1259999999999999</v>
      </c>
      <c r="K240" s="57">
        <f>J240*耗材价格!J16</f>
        <v>3.3579511504388582</v>
      </c>
      <c r="L240" s="57">
        <v>2.258</v>
      </c>
      <c r="M240" s="67">
        <f>L240*耗材价格!J16</f>
        <v>3.566441061943058</v>
      </c>
    </row>
    <row r="241" spans="1:13" x14ac:dyDescent="0.3">
      <c r="A241" s="103"/>
      <c r="B241" s="59">
        <v>15</v>
      </c>
      <c r="C241" s="59" t="s">
        <v>71</v>
      </c>
      <c r="D241" s="56" t="s">
        <v>56</v>
      </c>
      <c r="E241" s="61"/>
      <c r="F241" s="57">
        <v>6.0709999999999997</v>
      </c>
      <c r="G241" s="57">
        <f>F241*耗材价格!J17</f>
        <v>20.673635398126915</v>
      </c>
      <c r="H241" s="57">
        <v>7.843</v>
      </c>
      <c r="I241" s="57">
        <f>H241*耗材价格!J17</f>
        <v>26.707844247654325</v>
      </c>
      <c r="J241" s="57">
        <v>6.0709999999999997</v>
      </c>
      <c r="K241" s="57">
        <f>J241*耗材价格!J17</f>
        <v>20.673635398126915</v>
      </c>
      <c r="L241" s="57">
        <v>6.0709999999999997</v>
      </c>
      <c r="M241" s="67">
        <f>L241*耗材价格!J17</f>
        <v>20.673635398126915</v>
      </c>
    </row>
    <row r="242" spans="1:13" x14ac:dyDescent="0.3">
      <c r="A242" s="103"/>
      <c r="B242" s="59">
        <v>16</v>
      </c>
      <c r="C242" s="59" t="s">
        <v>72</v>
      </c>
      <c r="D242" s="56" t="s">
        <v>73</v>
      </c>
      <c r="E242" s="61"/>
      <c r="F242" s="57">
        <v>4.2999999999999997E-2</v>
      </c>
      <c r="G242" s="57">
        <f>F242*耗材价格!J18</f>
        <v>0.35861238938016554</v>
      </c>
      <c r="H242" s="57">
        <v>4.4999999999999998E-2</v>
      </c>
      <c r="I242" s="57">
        <f>H242*耗材价格!J18</f>
        <v>0.37529203539784772</v>
      </c>
      <c r="J242" s="57">
        <v>4.2999999999999997E-2</v>
      </c>
      <c r="K242" s="57">
        <f>J242*耗材价格!J18</f>
        <v>0.35861238938016554</v>
      </c>
      <c r="L242" s="57">
        <v>4.4999999999999998E-2</v>
      </c>
      <c r="M242" s="67">
        <f>L242*耗材价格!J18</f>
        <v>0.37529203539784772</v>
      </c>
    </row>
    <row r="243" spans="1:13" x14ac:dyDescent="0.3">
      <c r="A243" s="104"/>
      <c r="B243" s="59">
        <v>17</v>
      </c>
      <c r="C243" s="59" t="s">
        <v>74</v>
      </c>
      <c r="D243" s="56" t="s">
        <v>56</v>
      </c>
      <c r="E243" s="61"/>
      <c r="F243" s="57">
        <v>0.84499999999999997</v>
      </c>
      <c r="G243" s="57">
        <f>F243*耗材价格!J19</f>
        <v>5.7759115044175999</v>
      </c>
      <c r="H243" s="57">
        <v>0.96099999999999997</v>
      </c>
      <c r="I243" s="57">
        <f>H243*耗材价格!J19</f>
        <v>6.5688176991068801</v>
      </c>
      <c r="J243" s="57">
        <v>0.84499999999999997</v>
      </c>
      <c r="K243" s="57">
        <f>J243*耗材价格!J19</f>
        <v>5.7759115044175999</v>
      </c>
      <c r="L243" s="57">
        <v>0.84499999999999997</v>
      </c>
      <c r="M243" s="67">
        <f>L243*耗材价格!J19</f>
        <v>5.7759115044175999</v>
      </c>
    </row>
    <row r="244" spans="1:13" x14ac:dyDescent="0.3">
      <c r="A244" s="102" t="s">
        <v>105</v>
      </c>
      <c r="B244" s="59">
        <v>18</v>
      </c>
      <c r="C244" s="59" t="s">
        <v>75</v>
      </c>
      <c r="D244" s="56" t="s">
        <v>61</v>
      </c>
      <c r="E244" s="61"/>
      <c r="F244" s="57">
        <v>57.14</v>
      </c>
      <c r="G244" s="57">
        <f>F244*耗材价格!J20</f>
        <v>3.0582541592823267</v>
      </c>
      <c r="H244" s="57">
        <v>100</v>
      </c>
      <c r="I244" s="57">
        <f>H244*耗材价格!J20</f>
        <v>5.3522123893635403</v>
      </c>
      <c r="J244" s="57">
        <v>57.14</v>
      </c>
      <c r="K244" s="57">
        <f>J244*耗材价格!J20</f>
        <v>3.0582541592823267</v>
      </c>
      <c r="L244" s="57">
        <v>57.14</v>
      </c>
      <c r="M244" s="67">
        <f>L244*耗材价格!J20</f>
        <v>3.0582541592823267</v>
      </c>
    </row>
    <row r="245" spans="1:13" x14ac:dyDescent="0.3">
      <c r="A245" s="103"/>
      <c r="B245" s="59">
        <v>19</v>
      </c>
      <c r="C245" s="59" t="s">
        <v>76</v>
      </c>
      <c r="D245" s="56" t="s">
        <v>61</v>
      </c>
      <c r="E245" s="61"/>
      <c r="F245" s="57">
        <v>28.57</v>
      </c>
      <c r="G245" s="57">
        <f>F245*耗材价格!J21</f>
        <v>2.9834159292035416</v>
      </c>
      <c r="H245" s="57">
        <v>33.33</v>
      </c>
      <c r="I245" s="57">
        <f>H245*耗材价格!J21</f>
        <v>3.4804778761061965</v>
      </c>
      <c r="J245" s="57">
        <v>28.57</v>
      </c>
      <c r="K245" s="57">
        <f>J245*耗材价格!J21</f>
        <v>2.9834159292035416</v>
      </c>
      <c r="L245" s="57">
        <v>33.33</v>
      </c>
      <c r="M245" s="67">
        <f>L245*耗材价格!J21</f>
        <v>3.4804778761061965</v>
      </c>
    </row>
    <row r="246" spans="1:13" x14ac:dyDescent="0.3">
      <c r="A246" s="103"/>
      <c r="B246" s="59">
        <v>20</v>
      </c>
      <c r="C246" s="59" t="s">
        <v>77</v>
      </c>
      <c r="D246" s="56" t="s">
        <v>61</v>
      </c>
      <c r="E246" s="61"/>
      <c r="F246" s="57">
        <v>3.57</v>
      </c>
      <c r="G246" s="57">
        <f>F246*耗材价格!J22</f>
        <v>20.535398230088489</v>
      </c>
      <c r="H246" s="57">
        <v>4.17</v>
      </c>
      <c r="I246" s="57">
        <f>H246*耗材价格!J22</f>
        <v>23.986725663716808</v>
      </c>
      <c r="J246" s="57">
        <v>3.57</v>
      </c>
      <c r="K246" s="57">
        <f>J246*耗材价格!J22</f>
        <v>20.535398230088489</v>
      </c>
      <c r="L246" s="57">
        <v>3.57</v>
      </c>
      <c r="M246" s="67">
        <f>L246*耗材价格!J22</f>
        <v>20.535398230088489</v>
      </c>
    </row>
    <row r="247" spans="1:13" x14ac:dyDescent="0.3">
      <c r="A247" s="103"/>
      <c r="B247" s="59">
        <v>21</v>
      </c>
      <c r="C247" s="59" t="s">
        <v>78</v>
      </c>
      <c r="D247" s="56" t="s">
        <v>61</v>
      </c>
      <c r="E247" s="61"/>
      <c r="F247" s="57">
        <v>114</v>
      </c>
      <c r="G247" s="57">
        <f>F247*耗材价格!J23</f>
        <v>4.8424778761061953</v>
      </c>
      <c r="H247" s="57">
        <v>200</v>
      </c>
      <c r="I247" s="57">
        <f>H247*耗材价格!J23</f>
        <v>8.4955752212389388</v>
      </c>
      <c r="J247" s="57">
        <v>114</v>
      </c>
      <c r="K247" s="57">
        <f>J247*耗材价格!J23</f>
        <v>4.8424778761061953</v>
      </c>
      <c r="L247" s="57">
        <v>114</v>
      </c>
      <c r="M247" s="67">
        <f>L247*耗材价格!J23</f>
        <v>4.8424778761061953</v>
      </c>
    </row>
    <row r="248" spans="1:13" x14ac:dyDescent="0.3">
      <c r="A248" s="103"/>
      <c r="B248" s="59">
        <v>22</v>
      </c>
      <c r="C248" s="59" t="s">
        <v>79</v>
      </c>
      <c r="D248" s="56" t="s">
        <v>61</v>
      </c>
      <c r="E248" s="61"/>
      <c r="F248" s="57">
        <v>0.15</v>
      </c>
      <c r="G248" s="57">
        <f>F248*耗材价格!J24</f>
        <v>5.2340707964506201</v>
      </c>
      <c r="H248" s="57">
        <v>0.17</v>
      </c>
      <c r="I248" s="57">
        <f>H248*耗材价格!J24</f>
        <v>5.9319469026440368</v>
      </c>
      <c r="J248" s="57">
        <v>0.15</v>
      </c>
      <c r="K248" s="57">
        <f>J248*耗材价格!J24</f>
        <v>5.2340707964506201</v>
      </c>
      <c r="L248" s="57">
        <v>0.15</v>
      </c>
      <c r="M248" s="67">
        <f>L248*耗材价格!J24</f>
        <v>5.2340707964506201</v>
      </c>
    </row>
    <row r="249" spans="1:13" x14ac:dyDescent="0.3">
      <c r="A249" s="104"/>
      <c r="B249" s="59">
        <v>23</v>
      </c>
      <c r="C249" s="59" t="s">
        <v>80</v>
      </c>
      <c r="D249" s="56" t="s">
        <v>61</v>
      </c>
      <c r="E249" s="61"/>
      <c r="F249" s="57">
        <v>86</v>
      </c>
      <c r="G249" s="57">
        <f>F249*耗材价格!J25</f>
        <v>5.1752212389380547</v>
      </c>
      <c r="H249" s="57">
        <v>101</v>
      </c>
      <c r="I249" s="57">
        <f>H249*耗材价格!J25</f>
        <v>6.077876106194692</v>
      </c>
      <c r="J249" s="57">
        <v>86</v>
      </c>
      <c r="K249" s="57">
        <f>J249*耗材价格!J25</f>
        <v>5.1752212389380547</v>
      </c>
      <c r="L249" s="57">
        <v>101</v>
      </c>
      <c r="M249" s="67">
        <f>L249*耗材价格!J25</f>
        <v>6.077876106194692</v>
      </c>
    </row>
    <row r="250" spans="1:13" x14ac:dyDescent="0.3">
      <c r="A250" s="63" t="s">
        <v>106</v>
      </c>
      <c r="B250" s="59"/>
      <c r="C250" s="59"/>
      <c r="D250" s="56"/>
      <c r="E250" s="61"/>
      <c r="F250" s="57"/>
      <c r="G250" s="57">
        <f t="shared" ref="G250:K250" si="12">SUM(G227:G249)</f>
        <v>9384.4609551427111</v>
      </c>
      <c r="H250" s="57"/>
      <c r="I250" s="57">
        <f t="shared" si="12"/>
        <v>12448.938096118551</v>
      </c>
      <c r="J250" s="57"/>
      <c r="K250" s="57">
        <f t="shared" si="12"/>
        <v>10743.428508768122</v>
      </c>
      <c r="L250" s="57"/>
      <c r="M250" s="67">
        <f>SUM(M227:M249)</f>
        <v>11502.47013999573</v>
      </c>
    </row>
    <row r="251" spans="1:13" x14ac:dyDescent="0.3">
      <c r="A251" s="63" t="s">
        <v>107</v>
      </c>
      <c r="B251" s="33"/>
      <c r="C251" s="33"/>
      <c r="D251" s="33"/>
      <c r="E251" s="33"/>
      <c r="F251" s="33"/>
      <c r="G251" s="64">
        <f>销售收入!E52/10000</f>
        <v>760</v>
      </c>
      <c r="H251" s="64"/>
      <c r="I251" s="64">
        <f>销售收入!E53/10000</f>
        <v>450</v>
      </c>
      <c r="J251" s="64"/>
      <c r="K251" s="64">
        <f>销售收入!E54/10000</f>
        <v>880</v>
      </c>
      <c r="L251" s="64"/>
      <c r="M251" s="68">
        <f>销售收入!E55/10000</f>
        <v>825</v>
      </c>
    </row>
    <row r="252" spans="1:13" x14ac:dyDescent="0.3">
      <c r="A252" s="63" t="s">
        <v>108</v>
      </c>
      <c r="B252" s="33"/>
      <c r="C252" s="33"/>
      <c r="D252" s="33"/>
      <c r="E252" s="33"/>
      <c r="F252" s="33"/>
      <c r="G252" s="64">
        <f t="shared" ref="G252:K252" si="13">G250*G251</f>
        <v>7132190.3259084607</v>
      </c>
      <c r="H252" s="64"/>
      <c r="I252" s="64">
        <f t="shared" si="13"/>
        <v>5602022.1432533478</v>
      </c>
      <c r="J252" s="64"/>
      <c r="K252" s="64">
        <f t="shared" si="13"/>
        <v>9454217.087715948</v>
      </c>
      <c r="L252" s="64"/>
      <c r="M252" s="68">
        <f>M250*M251</f>
        <v>9489537.8654964771</v>
      </c>
    </row>
    <row r="253" spans="1:13" x14ac:dyDescent="0.3">
      <c r="A253" s="63" t="s">
        <v>109</v>
      </c>
      <c r="B253" s="33"/>
      <c r="C253" s="33"/>
      <c r="D253" s="33"/>
      <c r="E253" s="33"/>
      <c r="F253" s="33"/>
      <c r="G253" s="64"/>
      <c r="H253" s="64"/>
      <c r="I253" s="64"/>
      <c r="J253" s="64"/>
      <c r="K253" s="64"/>
      <c r="L253" s="64"/>
      <c r="M253" s="68">
        <f>SUM(G252,I252,K252,M252)</f>
        <v>31677967.422374234</v>
      </c>
    </row>
    <row r="254" spans="1:13" ht="12" customHeight="1" x14ac:dyDescent="0.3">
      <c r="A254" s="63" t="s">
        <v>110</v>
      </c>
      <c r="B254" s="33"/>
      <c r="C254" s="33"/>
      <c r="D254" s="33"/>
      <c r="E254" s="33"/>
      <c r="F254" s="33"/>
      <c r="G254" s="64"/>
      <c r="H254" s="64"/>
      <c r="I254" s="64"/>
      <c r="J254" s="64"/>
      <c r="K254" s="64"/>
      <c r="L254" s="64"/>
      <c r="M254" s="68">
        <f>SUM(F251:M251)*80/1000*2500</f>
        <v>583000</v>
      </c>
    </row>
    <row r="255" spans="1:13" x14ac:dyDescent="0.3">
      <c r="A255" s="51" t="s">
        <v>111</v>
      </c>
      <c r="B255" s="52"/>
      <c r="C255" s="52"/>
      <c r="D255" s="52"/>
      <c r="E255" s="52"/>
      <c r="F255" s="52"/>
      <c r="G255" s="65"/>
      <c r="H255" s="65"/>
      <c r="I255" s="65"/>
      <c r="J255" s="65"/>
      <c r="K255" s="65"/>
      <c r="L255" s="65"/>
      <c r="M255" s="53">
        <f>M253-M254</f>
        <v>31094967.422374234</v>
      </c>
    </row>
  </sheetData>
  <mergeCells count="32">
    <mergeCell ref="A240:A243"/>
    <mergeCell ref="A244:A249"/>
    <mergeCell ref="A202:A207"/>
    <mergeCell ref="A208:A211"/>
    <mergeCell ref="A212:A217"/>
    <mergeCell ref="A229:A233"/>
    <mergeCell ref="A234:A239"/>
    <mergeCell ref="A165:A169"/>
    <mergeCell ref="A170:A175"/>
    <mergeCell ref="A176:A179"/>
    <mergeCell ref="A180:A185"/>
    <mergeCell ref="A197:A201"/>
    <mergeCell ref="A116:A121"/>
    <mergeCell ref="A133:A137"/>
    <mergeCell ref="A138:A143"/>
    <mergeCell ref="A144:A147"/>
    <mergeCell ref="A148:A153"/>
    <mergeCell ref="A80:A83"/>
    <mergeCell ref="A84:A89"/>
    <mergeCell ref="A101:A105"/>
    <mergeCell ref="A106:A111"/>
    <mergeCell ref="A112:A115"/>
    <mergeCell ref="A42:A47"/>
    <mergeCell ref="A48:A51"/>
    <mergeCell ref="A52:A57"/>
    <mergeCell ref="A69:A73"/>
    <mergeCell ref="A74:A79"/>
    <mergeCell ref="A5:A9"/>
    <mergeCell ref="A10:A15"/>
    <mergeCell ref="A16:A19"/>
    <mergeCell ref="A20:A25"/>
    <mergeCell ref="A37:A41"/>
  </mergeCells>
  <phoneticPr fontId="15" type="noConversion"/>
  <pageMargins left="0.75" right="0.75" top="1" bottom="1" header="0.5" footer="0.5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"/>
  <sheetViews>
    <sheetView workbookViewId="0">
      <selection activeCell="C10" sqref="C10"/>
    </sheetView>
  </sheetViews>
  <sheetFormatPr defaultColWidth="8.73046875" defaultRowHeight="13.5" x14ac:dyDescent="0.3"/>
  <cols>
    <col min="1" max="4" width="14" customWidth="1"/>
    <col min="5" max="5" width="15.19921875" customWidth="1"/>
  </cols>
  <sheetData>
    <row r="1" spans="1:5" ht="20.25" x14ac:dyDescent="0.3">
      <c r="A1" s="43" t="s">
        <v>1</v>
      </c>
    </row>
    <row r="2" spans="1:5" x14ac:dyDescent="0.3">
      <c r="A2" s="2" t="s">
        <v>85</v>
      </c>
      <c r="B2" s="44" t="s">
        <v>50</v>
      </c>
      <c r="C2" s="44" t="s">
        <v>112</v>
      </c>
      <c r="D2" s="44" t="s">
        <v>113</v>
      </c>
      <c r="E2" s="45" t="s">
        <v>114</v>
      </c>
    </row>
    <row r="3" spans="1:5" x14ac:dyDescent="0.3">
      <c r="A3" s="136" t="s">
        <v>115</v>
      </c>
      <c r="B3" s="137" t="s">
        <v>116</v>
      </c>
      <c r="C3" s="138">
        <v>1</v>
      </c>
      <c r="D3" s="139">
        <v>25000</v>
      </c>
      <c r="E3" s="140">
        <f>C3*D3</f>
        <v>25000</v>
      </c>
    </row>
    <row r="4" spans="1:5" x14ac:dyDescent="0.3">
      <c r="A4" s="141" t="s">
        <v>117</v>
      </c>
      <c r="B4" s="142" t="s">
        <v>54</v>
      </c>
      <c r="C4" s="143">
        <f>耗材价格!$C$4</f>
        <v>1.6697263919355501</v>
      </c>
      <c r="D4" s="144">
        <v>10000</v>
      </c>
      <c r="E4" s="145">
        <f t="shared" ref="E4:E9" si="0">C4*D4</f>
        <v>16697.263919355501</v>
      </c>
    </row>
    <row r="5" spans="1:5" x14ac:dyDescent="0.3">
      <c r="A5" s="141" t="s">
        <v>118</v>
      </c>
      <c r="B5" s="142" t="s">
        <v>52</v>
      </c>
      <c r="C5" s="143">
        <f>耗材价格!$C$3</f>
        <v>0.63484201800235196</v>
      </c>
      <c r="D5" s="144">
        <v>350000</v>
      </c>
      <c r="E5" s="145">
        <f t="shared" si="0"/>
        <v>222194.70630082319</v>
      </c>
    </row>
    <row r="6" spans="1:5" x14ac:dyDescent="0.3">
      <c r="A6" s="141" t="s">
        <v>58</v>
      </c>
      <c r="B6" s="142" t="s">
        <v>119</v>
      </c>
      <c r="C6" s="143">
        <f>耗材价格!$C$7</f>
        <v>1.84955752212389</v>
      </c>
      <c r="D6" s="144">
        <v>201.82251850039799</v>
      </c>
      <c r="E6" s="145">
        <f t="shared" si="0"/>
        <v>373.28235722639909</v>
      </c>
    </row>
    <row r="7" spans="1:5" x14ac:dyDescent="0.3">
      <c r="A7" s="141" t="s">
        <v>62</v>
      </c>
      <c r="B7" s="142" t="s">
        <v>116</v>
      </c>
      <c r="C7" s="143">
        <f>耗材价格!$C$9</f>
        <v>8.4283185840622998</v>
      </c>
      <c r="D7" s="144">
        <v>277.50596293804699</v>
      </c>
      <c r="E7" s="145">
        <f t="shared" si="0"/>
        <v>2338.9086646188453</v>
      </c>
    </row>
    <row r="8" spans="1:5" x14ac:dyDescent="0.3">
      <c r="A8" s="141" t="s">
        <v>67</v>
      </c>
      <c r="B8" s="142" t="s">
        <v>120</v>
      </c>
      <c r="C8" s="143">
        <f>耗材价格!$C$13</f>
        <v>3783.1858407079599</v>
      </c>
      <c r="D8" s="144">
        <v>3</v>
      </c>
      <c r="E8" s="145">
        <f t="shared" si="0"/>
        <v>11349.55752212388</v>
      </c>
    </row>
    <row r="9" spans="1:5" x14ac:dyDescent="0.3">
      <c r="A9" s="141" t="s">
        <v>68</v>
      </c>
      <c r="B9" s="142" t="s">
        <v>120</v>
      </c>
      <c r="C9" s="143">
        <f>耗材价格!$C$14</f>
        <v>862.83185840707904</v>
      </c>
      <c r="D9" s="144">
        <v>13</v>
      </c>
      <c r="E9" s="145">
        <f t="shared" si="0"/>
        <v>11216.814159292027</v>
      </c>
    </row>
    <row r="10" spans="1:5" x14ac:dyDescent="0.3">
      <c r="A10" s="51" t="s">
        <v>108</v>
      </c>
      <c r="B10" s="52"/>
      <c r="C10" s="52"/>
      <c r="D10" s="52"/>
      <c r="E10" s="53">
        <f>SUM(E3:E9)</f>
        <v>289170.53292343987</v>
      </c>
    </row>
    <row r="11" spans="1:5" ht="20.25" x14ac:dyDescent="0.3">
      <c r="A11" s="43" t="s">
        <v>2</v>
      </c>
    </row>
    <row r="12" spans="1:5" x14ac:dyDescent="0.3">
      <c r="A12" s="2" t="s">
        <v>85</v>
      </c>
      <c r="B12" s="44" t="s">
        <v>50</v>
      </c>
      <c r="C12" s="44" t="s">
        <v>112</v>
      </c>
      <c r="D12" s="44" t="s">
        <v>113</v>
      </c>
      <c r="E12" s="45" t="s">
        <v>114</v>
      </c>
    </row>
    <row r="13" spans="1:5" x14ac:dyDescent="0.3">
      <c r="A13" s="46" t="s">
        <v>115</v>
      </c>
      <c r="B13" s="47" t="s">
        <v>116</v>
      </c>
      <c r="C13" s="48">
        <v>1</v>
      </c>
      <c r="D13" s="49">
        <v>25000</v>
      </c>
      <c r="E13" s="50">
        <f t="shared" ref="E13:E19" si="1">C13*D13</f>
        <v>25000</v>
      </c>
    </row>
    <row r="14" spans="1:5" x14ac:dyDescent="0.3">
      <c r="A14" s="46" t="s">
        <v>117</v>
      </c>
      <c r="B14" s="47" t="s">
        <v>54</v>
      </c>
      <c r="C14" s="48">
        <f>耗材价格!$D$4</f>
        <v>1.6697256527878701</v>
      </c>
      <c r="D14" s="49">
        <v>10000</v>
      </c>
      <c r="E14" s="50">
        <f t="shared" si="1"/>
        <v>16697.256527878701</v>
      </c>
    </row>
    <row r="15" spans="1:5" x14ac:dyDescent="0.3">
      <c r="A15" s="46" t="s">
        <v>118</v>
      </c>
      <c r="B15" s="47" t="s">
        <v>52</v>
      </c>
      <c r="C15" s="48">
        <f>耗材价格!$D$3</f>
        <v>0.63948400983235698</v>
      </c>
      <c r="D15" s="49">
        <v>420000</v>
      </c>
      <c r="E15" s="50">
        <f t="shared" si="1"/>
        <v>268583.28412958991</v>
      </c>
    </row>
    <row r="16" spans="1:5" x14ac:dyDescent="0.3">
      <c r="A16" s="46" t="s">
        <v>58</v>
      </c>
      <c r="B16" s="47" t="s">
        <v>119</v>
      </c>
      <c r="C16" s="48">
        <f>耗材价格!$D$7</f>
        <v>1.84955752212389</v>
      </c>
      <c r="D16" s="49">
        <v>242.187022200478</v>
      </c>
      <c r="E16" s="50">
        <f t="shared" si="1"/>
        <v>447.93882867167963</v>
      </c>
    </row>
    <row r="17" spans="1:5" x14ac:dyDescent="0.3">
      <c r="A17" s="46" t="s">
        <v>62</v>
      </c>
      <c r="B17" s="47" t="s">
        <v>116</v>
      </c>
      <c r="C17" s="48">
        <f>耗材价格!$D$9</f>
        <v>8.4283185840622998</v>
      </c>
      <c r="D17" s="49">
        <v>333.007155525656</v>
      </c>
      <c r="E17" s="50">
        <f t="shared" si="1"/>
        <v>2806.6903975426112</v>
      </c>
    </row>
    <row r="18" spans="1:5" x14ac:dyDescent="0.3">
      <c r="A18" s="46" t="s">
        <v>67</v>
      </c>
      <c r="B18" s="47" t="s">
        <v>120</v>
      </c>
      <c r="C18" s="48">
        <f>耗材价格!$D$13</f>
        <v>3783.1858407079599</v>
      </c>
      <c r="D18" s="49">
        <v>3</v>
      </c>
      <c r="E18" s="50">
        <f t="shared" si="1"/>
        <v>11349.55752212388</v>
      </c>
    </row>
    <row r="19" spans="1:5" x14ac:dyDescent="0.3">
      <c r="A19" s="46" t="s">
        <v>68</v>
      </c>
      <c r="B19" s="47" t="s">
        <v>120</v>
      </c>
      <c r="C19" s="48">
        <f>耗材价格!$D$14</f>
        <v>862.83185840707904</v>
      </c>
      <c r="D19" s="49">
        <v>13</v>
      </c>
      <c r="E19" s="50">
        <f t="shared" si="1"/>
        <v>11216.814159292027</v>
      </c>
    </row>
    <row r="20" spans="1:5" x14ac:dyDescent="0.3">
      <c r="A20" s="51" t="s">
        <v>108</v>
      </c>
      <c r="B20" s="52"/>
      <c r="C20" s="52"/>
      <c r="D20" s="52"/>
      <c r="E20" s="53">
        <f>SUM(E13:E19)</f>
        <v>336101.5415650988</v>
      </c>
    </row>
    <row r="21" spans="1:5" ht="20.25" x14ac:dyDescent="0.3">
      <c r="A21" s="43" t="s">
        <v>3</v>
      </c>
    </row>
    <row r="22" spans="1:5" x14ac:dyDescent="0.3">
      <c r="A22" s="2" t="s">
        <v>85</v>
      </c>
      <c r="B22" s="44" t="s">
        <v>50</v>
      </c>
      <c r="C22" s="44" t="s">
        <v>112</v>
      </c>
      <c r="D22" s="44" t="s">
        <v>113</v>
      </c>
      <c r="E22" s="45" t="s">
        <v>114</v>
      </c>
    </row>
    <row r="23" spans="1:5" x14ac:dyDescent="0.3">
      <c r="A23" s="46" t="s">
        <v>115</v>
      </c>
      <c r="B23" s="47" t="s">
        <v>116</v>
      </c>
      <c r="C23" s="48">
        <v>1</v>
      </c>
      <c r="D23" s="49">
        <v>25000</v>
      </c>
      <c r="E23" s="50">
        <f t="shared" ref="E23:E29" si="2">C23*D23</f>
        <v>25000</v>
      </c>
    </row>
    <row r="24" spans="1:5" x14ac:dyDescent="0.3">
      <c r="A24" s="46" t="s">
        <v>117</v>
      </c>
      <c r="B24" s="47" t="s">
        <v>54</v>
      </c>
      <c r="C24" s="48">
        <f>耗材价格!$E$4</f>
        <v>1.6697237361636299</v>
      </c>
      <c r="D24" s="49">
        <v>10000</v>
      </c>
      <c r="E24" s="50">
        <f t="shared" si="2"/>
        <v>16697.2373616363</v>
      </c>
    </row>
    <row r="25" spans="1:5" x14ac:dyDescent="0.3">
      <c r="A25" s="46" t="s">
        <v>118</v>
      </c>
      <c r="B25" s="47" t="s">
        <v>52</v>
      </c>
      <c r="C25" s="48">
        <f>耗材价格!$E$3</f>
        <v>0.635751992242512</v>
      </c>
      <c r="D25" s="49">
        <v>470000</v>
      </c>
      <c r="E25" s="50">
        <f t="shared" si="2"/>
        <v>298803.43635398062</v>
      </c>
    </row>
    <row r="26" spans="1:5" x14ac:dyDescent="0.3">
      <c r="A26" s="46" t="s">
        <v>58</v>
      </c>
      <c r="B26" s="47" t="s">
        <v>119</v>
      </c>
      <c r="C26" s="48">
        <f>耗材价格!$E$7</f>
        <v>1.84955752212389</v>
      </c>
      <c r="D26" s="49">
        <v>282.55152590055701</v>
      </c>
      <c r="E26" s="50">
        <f t="shared" si="2"/>
        <v>522.59530011695836</v>
      </c>
    </row>
    <row r="27" spans="1:5" x14ac:dyDescent="0.3">
      <c r="A27" s="46" t="s">
        <v>62</v>
      </c>
      <c r="B27" s="47" t="s">
        <v>116</v>
      </c>
      <c r="C27" s="48">
        <f>耗材价格!$E$9</f>
        <v>8.4283185840622998</v>
      </c>
      <c r="D27" s="49">
        <v>388.50834811326501</v>
      </c>
      <c r="E27" s="50">
        <f t="shared" si="2"/>
        <v>3274.4721304663767</v>
      </c>
    </row>
    <row r="28" spans="1:5" x14ac:dyDescent="0.3">
      <c r="A28" s="46" t="s">
        <v>67</v>
      </c>
      <c r="B28" s="47" t="s">
        <v>120</v>
      </c>
      <c r="C28" s="48">
        <f>耗材价格!$E$13</f>
        <v>3783.1858407079599</v>
      </c>
      <c r="D28" s="49">
        <v>3</v>
      </c>
      <c r="E28" s="50">
        <f t="shared" si="2"/>
        <v>11349.55752212388</v>
      </c>
    </row>
    <row r="29" spans="1:5" x14ac:dyDescent="0.3">
      <c r="A29" s="46" t="s">
        <v>68</v>
      </c>
      <c r="B29" s="47" t="s">
        <v>120</v>
      </c>
      <c r="C29" s="48">
        <f>耗材价格!$E$14</f>
        <v>862.83185840707904</v>
      </c>
      <c r="D29" s="49">
        <v>13</v>
      </c>
      <c r="E29" s="50">
        <f t="shared" si="2"/>
        <v>11216.814159292027</v>
      </c>
    </row>
    <row r="30" spans="1:5" x14ac:dyDescent="0.3">
      <c r="A30" s="51" t="s">
        <v>108</v>
      </c>
      <c r="B30" s="52"/>
      <c r="C30" s="52"/>
      <c r="D30" s="52"/>
      <c r="E30" s="53">
        <f>SUM(E23:E29)</f>
        <v>366864.11282761616</v>
      </c>
    </row>
    <row r="31" spans="1:5" ht="20.25" x14ac:dyDescent="0.3">
      <c r="A31" s="43" t="s">
        <v>4</v>
      </c>
    </row>
    <row r="32" spans="1:5" x14ac:dyDescent="0.3">
      <c r="A32" s="2" t="s">
        <v>85</v>
      </c>
      <c r="B32" s="44" t="s">
        <v>50</v>
      </c>
      <c r="C32" s="44" t="s">
        <v>112</v>
      </c>
      <c r="D32" s="44" t="s">
        <v>113</v>
      </c>
      <c r="E32" s="45" t="s">
        <v>114</v>
      </c>
    </row>
    <row r="33" spans="1:5" x14ac:dyDescent="0.3">
      <c r="A33" s="46" t="s">
        <v>115</v>
      </c>
      <c r="B33" s="47" t="s">
        <v>116</v>
      </c>
      <c r="C33" s="48">
        <v>1</v>
      </c>
      <c r="D33" s="49">
        <v>25000</v>
      </c>
      <c r="E33" s="50">
        <f t="shared" ref="E33:E39" si="3">C33*D33</f>
        <v>25000</v>
      </c>
    </row>
    <row r="34" spans="1:5" x14ac:dyDescent="0.3">
      <c r="A34" s="46" t="s">
        <v>117</v>
      </c>
      <c r="B34" s="47" t="s">
        <v>54</v>
      </c>
      <c r="C34" s="48">
        <f>耗材价格!$F$4</f>
        <v>1.6697270606805401</v>
      </c>
      <c r="D34" s="49">
        <v>10000</v>
      </c>
      <c r="E34" s="50">
        <f t="shared" si="3"/>
        <v>16697.270606805399</v>
      </c>
    </row>
    <row r="35" spans="1:5" x14ac:dyDescent="0.3">
      <c r="A35" s="46" t="s">
        <v>118</v>
      </c>
      <c r="B35" s="47" t="s">
        <v>52</v>
      </c>
      <c r="C35" s="48">
        <f>耗材价格!$F$3</f>
        <v>0.59004598946763598</v>
      </c>
      <c r="D35" s="49">
        <v>350000</v>
      </c>
      <c r="E35" s="50">
        <f t="shared" si="3"/>
        <v>206516.09631367261</v>
      </c>
    </row>
    <row r="36" spans="1:5" x14ac:dyDescent="0.3">
      <c r="A36" s="46" t="s">
        <v>58</v>
      </c>
      <c r="B36" s="47" t="s">
        <v>119</v>
      </c>
      <c r="C36" s="48">
        <f>耗材价格!$F$7</f>
        <v>1.84955752212389</v>
      </c>
      <c r="D36" s="49">
        <v>201.82251850039799</v>
      </c>
      <c r="E36" s="50">
        <f t="shared" si="3"/>
        <v>373.28235722639909</v>
      </c>
    </row>
    <row r="37" spans="1:5" x14ac:dyDescent="0.3">
      <c r="A37" s="46" t="s">
        <v>62</v>
      </c>
      <c r="B37" s="47" t="s">
        <v>116</v>
      </c>
      <c r="C37" s="48">
        <f>耗材价格!$F$9</f>
        <v>8.4283185840622998</v>
      </c>
      <c r="D37" s="49">
        <v>277.50596293804699</v>
      </c>
      <c r="E37" s="50">
        <f t="shared" si="3"/>
        <v>2338.9086646188453</v>
      </c>
    </row>
    <row r="38" spans="1:5" x14ac:dyDescent="0.3">
      <c r="A38" s="46" t="s">
        <v>67</v>
      </c>
      <c r="B38" s="47" t="s">
        <v>120</v>
      </c>
      <c r="C38" s="48">
        <f>耗材价格!$F$13</f>
        <v>3783.1858407079599</v>
      </c>
      <c r="D38" s="49">
        <v>3</v>
      </c>
      <c r="E38" s="50">
        <f t="shared" si="3"/>
        <v>11349.55752212388</v>
      </c>
    </row>
    <row r="39" spans="1:5" x14ac:dyDescent="0.3">
      <c r="A39" s="46" t="s">
        <v>68</v>
      </c>
      <c r="B39" s="47" t="s">
        <v>120</v>
      </c>
      <c r="C39" s="48">
        <f>耗材价格!$F$14</f>
        <v>862.83185840707904</v>
      </c>
      <c r="D39" s="49">
        <v>13</v>
      </c>
      <c r="E39" s="50">
        <f t="shared" si="3"/>
        <v>11216.814159292027</v>
      </c>
    </row>
    <row r="40" spans="1:5" x14ac:dyDescent="0.3">
      <c r="A40" s="51" t="s">
        <v>108</v>
      </c>
      <c r="B40" s="52"/>
      <c r="C40" s="52"/>
      <c r="D40" s="52"/>
      <c r="E40" s="53">
        <f>SUM(E33:E39)</f>
        <v>273491.92962373915</v>
      </c>
    </row>
    <row r="41" spans="1:5" ht="20.25" x14ac:dyDescent="0.3">
      <c r="A41" s="43" t="s">
        <v>5</v>
      </c>
    </row>
    <row r="42" spans="1:5" x14ac:dyDescent="0.3">
      <c r="A42" s="2" t="s">
        <v>85</v>
      </c>
      <c r="B42" s="44" t="s">
        <v>50</v>
      </c>
      <c r="C42" s="44" t="s">
        <v>112</v>
      </c>
      <c r="D42" s="44" t="s">
        <v>113</v>
      </c>
      <c r="E42" s="45" t="s">
        <v>114</v>
      </c>
    </row>
    <row r="43" spans="1:5" x14ac:dyDescent="0.3">
      <c r="A43" s="46" t="s">
        <v>115</v>
      </c>
      <c r="B43" s="47" t="s">
        <v>116</v>
      </c>
      <c r="C43" s="48">
        <v>1</v>
      </c>
      <c r="D43" s="49">
        <v>25000</v>
      </c>
      <c r="E43" s="50">
        <f t="shared" ref="E43:E49" si="4">C43*D43</f>
        <v>25000</v>
      </c>
    </row>
    <row r="44" spans="1:5" x14ac:dyDescent="0.3">
      <c r="A44" s="46" t="s">
        <v>117</v>
      </c>
      <c r="B44" s="47" t="s">
        <v>54</v>
      </c>
      <c r="C44" s="48">
        <f>耗材价格!$G$4</f>
        <v>1.6697264417555899</v>
      </c>
      <c r="D44" s="49">
        <v>11000</v>
      </c>
      <c r="E44" s="50">
        <f t="shared" si="4"/>
        <v>18366.990859311489</v>
      </c>
    </row>
    <row r="45" spans="1:5" x14ac:dyDescent="0.3">
      <c r="A45" s="46" t="s">
        <v>118</v>
      </c>
      <c r="B45" s="47" t="s">
        <v>52</v>
      </c>
      <c r="C45" s="48">
        <f>耗材价格!$G$3</f>
        <v>0.61145900221771199</v>
      </c>
      <c r="D45" s="49">
        <v>490000</v>
      </c>
      <c r="E45" s="50">
        <f t="shared" si="4"/>
        <v>299614.91108667885</v>
      </c>
    </row>
    <row r="46" spans="1:5" x14ac:dyDescent="0.3">
      <c r="A46" s="46" t="s">
        <v>58</v>
      </c>
      <c r="B46" s="47" t="s">
        <v>119</v>
      </c>
      <c r="C46" s="48">
        <f>耗材价格!$G$7</f>
        <v>1.84955752212389</v>
      </c>
      <c r="D46" s="49">
        <v>282.55152590055701</v>
      </c>
      <c r="E46" s="50">
        <f t="shared" si="4"/>
        <v>522.59530011695836</v>
      </c>
    </row>
    <row r="47" spans="1:5" x14ac:dyDescent="0.3">
      <c r="A47" s="46" t="s">
        <v>62</v>
      </c>
      <c r="B47" s="47" t="s">
        <v>116</v>
      </c>
      <c r="C47" s="48">
        <f>耗材价格!$G$9</f>
        <v>8.4283185840622998</v>
      </c>
      <c r="D47" s="49">
        <v>388.50834811326501</v>
      </c>
      <c r="E47" s="50">
        <f t="shared" si="4"/>
        <v>3274.4721304663767</v>
      </c>
    </row>
    <row r="48" spans="1:5" x14ac:dyDescent="0.3">
      <c r="A48" s="46" t="s">
        <v>67</v>
      </c>
      <c r="B48" s="47" t="s">
        <v>120</v>
      </c>
      <c r="C48" s="48">
        <f>耗材价格!$G$13</f>
        <v>3783.1858407079599</v>
      </c>
      <c r="D48" s="49">
        <v>3</v>
      </c>
      <c r="E48" s="50">
        <f t="shared" si="4"/>
        <v>11349.55752212388</v>
      </c>
    </row>
    <row r="49" spans="1:5" x14ac:dyDescent="0.3">
      <c r="A49" s="46" t="s">
        <v>68</v>
      </c>
      <c r="B49" s="47" t="s">
        <v>120</v>
      </c>
      <c r="C49" s="48">
        <f>耗材价格!$G$14</f>
        <v>862.83185840707904</v>
      </c>
      <c r="D49" s="49">
        <v>13</v>
      </c>
      <c r="E49" s="50">
        <f t="shared" si="4"/>
        <v>11216.814159292027</v>
      </c>
    </row>
    <row r="50" spans="1:5" x14ac:dyDescent="0.3">
      <c r="A50" s="51" t="s">
        <v>108</v>
      </c>
      <c r="B50" s="52"/>
      <c r="C50" s="52"/>
      <c r="D50" s="52"/>
      <c r="E50" s="53">
        <f>SUM(E43:E49)</f>
        <v>369345.34105798957</v>
      </c>
    </row>
    <row r="51" spans="1:5" ht="20.25" x14ac:dyDescent="0.3">
      <c r="A51" s="43" t="s">
        <v>6</v>
      </c>
    </row>
    <row r="52" spans="1:5" x14ac:dyDescent="0.3">
      <c r="A52" s="2" t="s">
        <v>85</v>
      </c>
      <c r="B52" s="44" t="s">
        <v>50</v>
      </c>
      <c r="C52" s="44" t="s">
        <v>112</v>
      </c>
      <c r="D52" s="44" t="s">
        <v>113</v>
      </c>
      <c r="E52" s="45" t="s">
        <v>114</v>
      </c>
    </row>
    <row r="53" spans="1:5" x14ac:dyDescent="0.3">
      <c r="A53" s="46" t="s">
        <v>115</v>
      </c>
      <c r="B53" s="47" t="s">
        <v>116</v>
      </c>
      <c r="C53" s="48">
        <v>1</v>
      </c>
      <c r="D53" s="49">
        <v>25000</v>
      </c>
      <c r="E53" s="50">
        <f t="shared" ref="E53:E59" si="5">C53*D53</f>
        <v>25000</v>
      </c>
    </row>
    <row r="54" spans="1:5" x14ac:dyDescent="0.3">
      <c r="A54" s="46" t="s">
        <v>117</v>
      </c>
      <c r="B54" s="47" t="s">
        <v>54</v>
      </c>
      <c r="C54" s="48">
        <f>耗材价格!$H$4</f>
        <v>1.6697200465526401</v>
      </c>
      <c r="D54" s="49">
        <v>10000</v>
      </c>
      <c r="E54" s="50">
        <f t="shared" si="5"/>
        <v>16697.200465526399</v>
      </c>
    </row>
    <row r="55" spans="1:5" x14ac:dyDescent="0.3">
      <c r="A55" s="46" t="s">
        <v>118</v>
      </c>
      <c r="B55" s="47" t="s">
        <v>52</v>
      </c>
      <c r="C55" s="48">
        <f>耗材价格!$H$3</f>
        <v>0.589375046268515</v>
      </c>
      <c r="D55" s="49">
        <v>402500</v>
      </c>
      <c r="E55" s="50">
        <f t="shared" si="5"/>
        <v>237223.45612307728</v>
      </c>
    </row>
    <row r="56" spans="1:5" x14ac:dyDescent="0.3">
      <c r="A56" s="46" t="s">
        <v>58</v>
      </c>
      <c r="B56" s="47" t="s">
        <v>119</v>
      </c>
      <c r="C56" s="48">
        <f>耗材价格!$H$7</f>
        <v>1.84955752212389</v>
      </c>
      <c r="D56" s="49">
        <v>232.09589627545799</v>
      </c>
      <c r="E56" s="50">
        <f t="shared" si="5"/>
        <v>429.27471081035947</v>
      </c>
    </row>
    <row r="57" spans="1:5" x14ac:dyDescent="0.3">
      <c r="A57" s="46" t="s">
        <v>62</v>
      </c>
      <c r="B57" s="47" t="s">
        <v>116</v>
      </c>
      <c r="C57" s="48">
        <f>耗材价格!$H$9</f>
        <v>8.4283185840622998</v>
      </c>
      <c r="D57" s="49">
        <v>319.13185737875398</v>
      </c>
      <c r="E57" s="50">
        <f t="shared" si="5"/>
        <v>2689.7449643116715</v>
      </c>
    </row>
    <row r="58" spans="1:5" x14ac:dyDescent="0.3">
      <c r="A58" s="46" t="s">
        <v>67</v>
      </c>
      <c r="B58" s="47" t="s">
        <v>120</v>
      </c>
      <c r="C58" s="48">
        <f>耗材价格!$H$13</f>
        <v>3783.1858407079599</v>
      </c>
      <c r="D58" s="49">
        <v>3</v>
      </c>
      <c r="E58" s="50">
        <f t="shared" si="5"/>
        <v>11349.55752212388</v>
      </c>
    </row>
    <row r="59" spans="1:5" x14ac:dyDescent="0.3">
      <c r="A59" s="46" t="s">
        <v>68</v>
      </c>
      <c r="B59" s="47" t="s">
        <v>120</v>
      </c>
      <c r="C59" s="48">
        <f>耗材价格!$H$14</f>
        <v>862.83185840707904</v>
      </c>
      <c r="D59" s="49">
        <v>13</v>
      </c>
      <c r="E59" s="50">
        <f t="shared" si="5"/>
        <v>11216.814159292027</v>
      </c>
    </row>
    <row r="60" spans="1:5" x14ac:dyDescent="0.3">
      <c r="A60" s="51" t="s">
        <v>108</v>
      </c>
      <c r="B60" s="52"/>
      <c r="C60" s="52"/>
      <c r="D60" s="52"/>
      <c r="E60" s="53">
        <f>SUM(E53:E59)</f>
        <v>304606.04794514156</v>
      </c>
    </row>
    <row r="61" spans="1:5" ht="20.25" x14ac:dyDescent="0.3">
      <c r="A61" s="43" t="s">
        <v>7</v>
      </c>
    </row>
    <row r="62" spans="1:5" x14ac:dyDescent="0.3">
      <c r="A62" s="2" t="s">
        <v>85</v>
      </c>
      <c r="B62" s="44" t="s">
        <v>50</v>
      </c>
      <c r="C62" s="44" t="s">
        <v>112</v>
      </c>
      <c r="D62" s="44" t="s">
        <v>113</v>
      </c>
      <c r="E62" s="45" t="s">
        <v>114</v>
      </c>
    </row>
    <row r="63" spans="1:5" x14ac:dyDescent="0.3">
      <c r="A63" s="46" t="s">
        <v>115</v>
      </c>
      <c r="B63" s="47" t="s">
        <v>116</v>
      </c>
      <c r="C63" s="48">
        <v>1</v>
      </c>
      <c r="D63" s="49">
        <v>25000</v>
      </c>
      <c r="E63" s="50">
        <f t="shared" ref="E63:E69" si="6">C63*D63</f>
        <v>25000</v>
      </c>
    </row>
    <row r="64" spans="1:5" x14ac:dyDescent="0.3">
      <c r="A64" s="46" t="s">
        <v>117</v>
      </c>
      <c r="B64" s="47" t="s">
        <v>54</v>
      </c>
      <c r="C64" s="48">
        <f>耗材价格!$I$4</f>
        <v>1.6697299914780499</v>
      </c>
      <c r="D64" s="49">
        <v>10000</v>
      </c>
      <c r="E64" s="50">
        <f t="shared" si="6"/>
        <v>16697.299914780499</v>
      </c>
    </row>
    <row r="65" spans="1:5" x14ac:dyDescent="0.3">
      <c r="A65" s="46" t="s">
        <v>118</v>
      </c>
      <c r="B65" s="47" t="s">
        <v>52</v>
      </c>
      <c r="C65" s="48">
        <f>耗材价格!$I$3</f>
        <v>0.59708496487101004</v>
      </c>
      <c r="D65" s="49">
        <v>367500</v>
      </c>
      <c r="E65" s="50">
        <f t="shared" si="6"/>
        <v>219428.72459009619</v>
      </c>
    </row>
    <row r="66" spans="1:5" x14ac:dyDescent="0.3">
      <c r="A66" s="46" t="s">
        <v>58</v>
      </c>
      <c r="B66" s="47" t="s">
        <v>119</v>
      </c>
      <c r="C66" s="48">
        <f>耗材价格!$I$7</f>
        <v>1.84955752212389</v>
      </c>
      <c r="D66" s="49">
        <v>211.913644425418</v>
      </c>
      <c r="E66" s="50">
        <f t="shared" si="6"/>
        <v>391.94647508771919</v>
      </c>
    </row>
    <row r="67" spans="1:5" x14ac:dyDescent="0.3">
      <c r="A67" s="46" t="s">
        <v>62</v>
      </c>
      <c r="B67" s="47" t="s">
        <v>116</v>
      </c>
      <c r="C67" s="48">
        <f>耗材价格!$I$9</f>
        <v>8.4283185840622998</v>
      </c>
      <c r="D67" s="49">
        <v>291.38126108494902</v>
      </c>
      <c r="E67" s="50">
        <f t="shared" si="6"/>
        <v>2455.8540978497849</v>
      </c>
    </row>
    <row r="68" spans="1:5" x14ac:dyDescent="0.3">
      <c r="A68" s="46" t="s">
        <v>67</v>
      </c>
      <c r="B68" s="47" t="s">
        <v>120</v>
      </c>
      <c r="C68" s="48">
        <f>耗材价格!$I$13</f>
        <v>3783.1858407079599</v>
      </c>
      <c r="D68" s="49">
        <v>3</v>
      </c>
      <c r="E68" s="50">
        <f t="shared" si="6"/>
        <v>11349.55752212388</v>
      </c>
    </row>
    <row r="69" spans="1:5" x14ac:dyDescent="0.3">
      <c r="A69" s="46" t="s">
        <v>68</v>
      </c>
      <c r="B69" s="47" t="s">
        <v>120</v>
      </c>
      <c r="C69" s="48">
        <f>耗材价格!$I$14</f>
        <v>862.83185840707904</v>
      </c>
      <c r="D69" s="49">
        <v>11</v>
      </c>
      <c r="E69" s="50">
        <f t="shared" si="6"/>
        <v>9491.1504424778686</v>
      </c>
    </row>
    <row r="70" spans="1:5" x14ac:dyDescent="0.3">
      <c r="A70" s="51" t="s">
        <v>108</v>
      </c>
      <c r="B70" s="52"/>
      <c r="C70" s="52"/>
      <c r="D70" s="52"/>
      <c r="E70" s="53">
        <f>SUM(E63:E69)</f>
        <v>284814.53304241598</v>
      </c>
    </row>
    <row r="71" spans="1:5" ht="20.25" x14ac:dyDescent="0.3">
      <c r="A71" s="43" t="s">
        <v>8</v>
      </c>
    </row>
    <row r="72" spans="1:5" x14ac:dyDescent="0.3">
      <c r="A72" s="2" t="s">
        <v>85</v>
      </c>
      <c r="B72" s="44" t="s">
        <v>50</v>
      </c>
      <c r="C72" s="44" t="s">
        <v>112</v>
      </c>
      <c r="D72" s="44" t="s">
        <v>113</v>
      </c>
      <c r="E72" s="45" t="s">
        <v>114</v>
      </c>
    </row>
    <row r="73" spans="1:5" x14ac:dyDescent="0.3">
      <c r="A73" s="46" t="s">
        <v>115</v>
      </c>
      <c r="B73" s="47" t="s">
        <v>116</v>
      </c>
      <c r="C73" s="48">
        <v>1</v>
      </c>
      <c r="D73" s="49">
        <v>25000</v>
      </c>
      <c r="E73" s="50">
        <f t="shared" ref="E73:E79" si="7">C73*D73</f>
        <v>25000</v>
      </c>
    </row>
    <row r="74" spans="1:5" x14ac:dyDescent="0.3">
      <c r="A74" s="46" t="s">
        <v>117</v>
      </c>
      <c r="B74" s="47" t="s">
        <v>54</v>
      </c>
      <c r="C74" s="48">
        <f>耗材价格!$J$4</f>
        <v>1.66972588753867</v>
      </c>
      <c r="D74" s="49">
        <v>8000</v>
      </c>
      <c r="E74" s="50">
        <f t="shared" si="7"/>
        <v>13357.807100309361</v>
      </c>
    </row>
    <row r="75" spans="1:5" x14ac:dyDescent="0.3">
      <c r="A75" s="46" t="s">
        <v>118</v>
      </c>
      <c r="B75" s="47" t="s">
        <v>52</v>
      </c>
      <c r="C75" s="48">
        <f>耗材价格!$J$3</f>
        <v>0.60880099697200796</v>
      </c>
      <c r="D75" s="49">
        <v>250000</v>
      </c>
      <c r="E75" s="50">
        <f t="shared" si="7"/>
        <v>152200.24924300198</v>
      </c>
    </row>
    <row r="76" spans="1:5" x14ac:dyDescent="0.3">
      <c r="A76" s="46" t="s">
        <v>58</v>
      </c>
      <c r="B76" s="47" t="s">
        <v>119</v>
      </c>
      <c r="C76" s="48">
        <f>耗材价格!$J$7</f>
        <v>1.84955752212389</v>
      </c>
      <c r="D76" s="49">
        <v>111.002385175219</v>
      </c>
      <c r="E76" s="50">
        <f t="shared" si="7"/>
        <v>205.30529647451968</v>
      </c>
    </row>
    <row r="77" spans="1:5" x14ac:dyDescent="0.3">
      <c r="A77" s="46" t="s">
        <v>62</v>
      </c>
      <c r="B77" s="47" t="s">
        <v>116</v>
      </c>
      <c r="C77" s="48">
        <f>耗材价格!$J$9</f>
        <v>8.4283185840622998</v>
      </c>
      <c r="D77" s="49">
        <v>152.628279615926</v>
      </c>
      <c r="E77" s="50">
        <f t="shared" si="7"/>
        <v>1286.3997655403662</v>
      </c>
    </row>
    <row r="78" spans="1:5" x14ac:dyDescent="0.3">
      <c r="A78" s="46" t="s">
        <v>67</v>
      </c>
      <c r="B78" s="47" t="s">
        <v>120</v>
      </c>
      <c r="C78" s="48">
        <f>耗材价格!$J$13</f>
        <v>3783.1858407079599</v>
      </c>
      <c r="D78" s="49">
        <v>2</v>
      </c>
      <c r="E78" s="50">
        <f t="shared" si="7"/>
        <v>7566.3716814159197</v>
      </c>
    </row>
    <row r="79" spans="1:5" x14ac:dyDescent="0.3">
      <c r="A79" s="46" t="s">
        <v>68</v>
      </c>
      <c r="B79" s="47" t="s">
        <v>120</v>
      </c>
      <c r="C79" s="48">
        <f>耗材价格!$J$14</f>
        <v>862.83185840707904</v>
      </c>
      <c r="D79" s="49">
        <v>6</v>
      </c>
      <c r="E79" s="50">
        <f t="shared" si="7"/>
        <v>5176.9911504424745</v>
      </c>
    </row>
    <row r="80" spans="1:5" x14ac:dyDescent="0.3">
      <c r="A80" s="51" t="s">
        <v>108</v>
      </c>
      <c r="B80" s="52"/>
      <c r="C80" s="52"/>
      <c r="D80" s="52"/>
      <c r="E80" s="53">
        <f>SUM(E73:E79)</f>
        <v>204793.12423718462</v>
      </c>
    </row>
  </sheetData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8"/>
  <sheetViews>
    <sheetView topLeftCell="A2" zoomScale="90" zoomScaleNormal="90" workbookViewId="0">
      <selection activeCell="B12" sqref="B12"/>
    </sheetView>
  </sheetViews>
  <sheetFormatPr defaultColWidth="9.796875" defaultRowHeight="13.5" x14ac:dyDescent="0.3"/>
  <cols>
    <col min="1" max="1" width="22.9296875" customWidth="1"/>
    <col min="2" max="2" width="19.19921875" customWidth="1"/>
    <col min="3" max="3" width="17.06640625" customWidth="1"/>
    <col min="4" max="5" width="15.19921875" customWidth="1"/>
    <col min="6" max="6" width="12.59765625" customWidth="1"/>
  </cols>
  <sheetData>
    <row r="2" spans="1:6" ht="17.649999999999999" x14ac:dyDescent="0.3">
      <c r="A2" s="24" t="s">
        <v>1</v>
      </c>
      <c r="C2" s="105"/>
      <c r="D2" s="105"/>
      <c r="E2" s="105"/>
      <c r="F2" s="105"/>
    </row>
    <row r="3" spans="1:6" ht="21" customHeight="1" x14ac:dyDescent="0.3">
      <c r="A3" s="25" t="s">
        <v>121</v>
      </c>
      <c r="B3" s="26">
        <v>170</v>
      </c>
      <c r="C3" s="26" t="s">
        <v>122</v>
      </c>
      <c r="D3" s="27">
        <f>(B3+B5)*B7</f>
        <v>540000</v>
      </c>
      <c r="E3" s="26" t="s">
        <v>123</v>
      </c>
      <c r="F3" s="28">
        <f>SUM(D3:D4,D5:D7)</f>
        <v>905000</v>
      </c>
    </row>
    <row r="4" spans="1:6" ht="21" customHeight="1" x14ac:dyDescent="0.3">
      <c r="A4" s="29" t="s">
        <v>124</v>
      </c>
      <c r="B4" s="30">
        <v>5</v>
      </c>
      <c r="C4" s="30" t="s">
        <v>125</v>
      </c>
      <c r="D4" s="31">
        <f>B4*8000</f>
        <v>40000</v>
      </c>
      <c r="E4" s="146" t="s">
        <v>126</v>
      </c>
      <c r="F4" s="147">
        <f>SUM(B13:E13)</f>
        <v>890000</v>
      </c>
    </row>
    <row r="5" spans="1:6" ht="21" customHeight="1" x14ac:dyDescent="0.3">
      <c r="A5" s="29" t="s">
        <v>127</v>
      </c>
      <c r="B5" s="30">
        <v>10</v>
      </c>
      <c r="C5" s="30" t="s">
        <v>128</v>
      </c>
      <c r="D5" s="31">
        <f>(B3+B5)*B8</f>
        <v>180000</v>
      </c>
      <c r="E5" s="33" t="s">
        <v>129</v>
      </c>
      <c r="F5" s="32">
        <f>SUM(F3:F4)</f>
        <v>1795000</v>
      </c>
    </row>
    <row r="6" spans="1:6" ht="21" customHeight="1" x14ac:dyDescent="0.3">
      <c r="A6" s="29" t="s">
        <v>130</v>
      </c>
      <c r="B6" s="30">
        <f>SUM(B3,B4,B5)</f>
        <v>185</v>
      </c>
      <c r="C6" s="30" t="s">
        <v>131</v>
      </c>
      <c r="D6" s="31">
        <f>D3/12</f>
        <v>45000</v>
      </c>
      <c r="E6" s="30" t="s">
        <v>132</v>
      </c>
      <c r="F6" s="32">
        <f>SUM(D3:D4,D5,D6,D7)/(B3+B4+B5)</f>
        <v>4891.8918918918916</v>
      </c>
    </row>
    <row r="7" spans="1:6" ht="21" customHeight="1" x14ac:dyDescent="0.3">
      <c r="A7" s="29" t="s">
        <v>133</v>
      </c>
      <c r="B7" s="30">
        <v>3000</v>
      </c>
      <c r="C7" s="30" t="s">
        <v>134</v>
      </c>
      <c r="D7" s="31">
        <f>B5*10000</f>
        <v>100000</v>
      </c>
      <c r="E7" s="30" t="s">
        <v>135</v>
      </c>
      <c r="F7" s="32">
        <f>SUM(B13:E13)/B11</f>
        <v>6846.1538461538457</v>
      </c>
    </row>
    <row r="8" spans="1:6" ht="21" customHeight="1" x14ac:dyDescent="0.3">
      <c r="A8" s="29" t="s">
        <v>136</v>
      </c>
      <c r="B8" s="30">
        <v>1000</v>
      </c>
      <c r="C8" s="30" t="s">
        <v>137</v>
      </c>
      <c r="D8" s="31">
        <f>SUM(D3:D7)</f>
        <v>905000</v>
      </c>
      <c r="E8" s="30" t="s">
        <v>138</v>
      </c>
      <c r="F8" s="32">
        <f>(D8+SUM(B13:E13))/(B3+B4+B5)</f>
        <v>9702.7027027027034</v>
      </c>
    </row>
    <row r="9" spans="1:6" ht="37.049999999999997" customHeight="1" x14ac:dyDescent="0.3">
      <c r="A9" s="34" t="s">
        <v>22</v>
      </c>
      <c r="B9" s="35" t="s">
        <v>139</v>
      </c>
      <c r="C9" s="35" t="s">
        <v>140</v>
      </c>
      <c r="D9" s="35" t="s">
        <v>141</v>
      </c>
      <c r="E9" s="35" t="s">
        <v>142</v>
      </c>
      <c r="F9" s="36"/>
    </row>
    <row r="10" spans="1:6" ht="21" customHeight="1" x14ac:dyDescent="0.3">
      <c r="A10" s="29" t="s">
        <v>143</v>
      </c>
      <c r="B10" s="37">
        <f>销售收入!E3</f>
        <v>8300000</v>
      </c>
      <c r="C10" s="37">
        <f>销售收入!E4</f>
        <v>3300000</v>
      </c>
      <c r="D10" s="37">
        <f>销售收入!E5</f>
        <v>6500000</v>
      </c>
      <c r="E10" s="37">
        <f>销售收入!E6</f>
        <v>4150000</v>
      </c>
      <c r="F10" s="38"/>
    </row>
    <row r="11" spans="1:6" ht="21" customHeight="1" x14ac:dyDescent="0.3">
      <c r="A11" s="29" t="s">
        <v>144</v>
      </c>
      <c r="B11" s="30">
        <v>130</v>
      </c>
      <c r="C11" s="30"/>
      <c r="D11" s="30"/>
      <c r="E11" s="30"/>
      <c r="F11" s="38"/>
    </row>
    <row r="12" spans="1:6" ht="21" customHeight="1" x14ac:dyDescent="0.3">
      <c r="A12" s="29" t="s">
        <v>145</v>
      </c>
      <c r="B12" s="30">
        <v>0.04</v>
      </c>
      <c r="C12" s="30">
        <v>0.04</v>
      </c>
      <c r="D12" s="30">
        <v>0.04</v>
      </c>
      <c r="E12" s="30">
        <v>0.04</v>
      </c>
      <c r="F12" s="38"/>
    </row>
    <row r="13" spans="1:6" ht="21" customHeight="1" x14ac:dyDescent="0.3">
      <c r="A13" s="29" t="s">
        <v>146</v>
      </c>
      <c r="B13" s="31">
        <f>B10*B12</f>
        <v>332000</v>
      </c>
      <c r="C13" s="30">
        <f>C10*C12</f>
        <v>132000</v>
      </c>
      <c r="D13" s="30">
        <f>D10*D12</f>
        <v>260000</v>
      </c>
      <c r="E13" s="30">
        <f>E10*E12</f>
        <v>166000</v>
      </c>
      <c r="F13" s="38"/>
    </row>
    <row r="14" spans="1:6" ht="21" customHeight="1" x14ac:dyDescent="0.3">
      <c r="A14" s="29" t="s">
        <v>147</v>
      </c>
      <c r="B14" s="39">
        <f>硅料单耗计算!M3</f>
        <v>1</v>
      </c>
      <c r="C14" s="39">
        <f>硅料单耗计算!M4</f>
        <v>1.5306666666666668</v>
      </c>
      <c r="D14" s="39">
        <f>硅料单耗计算!M5</f>
        <v>1.1023319615912208</v>
      </c>
      <c r="E14" s="39">
        <f>硅料单耗计算!M6</f>
        <v>1.4835804742741516</v>
      </c>
      <c r="F14" s="38"/>
    </row>
    <row r="15" spans="1:6" ht="21" customHeight="1" x14ac:dyDescent="0.3">
      <c r="A15" s="29" t="s">
        <v>148</v>
      </c>
      <c r="B15" s="31">
        <f>+$D$8/(B14*B10+C14*C10+D14*D10+E14*E10)*(B14*B10)</f>
        <v>281612.07848498679</v>
      </c>
      <c r="C15" s="31">
        <f>+$D$8/(B14*B10+C14*C10+D14*D10+E14*E10)*(C14*C10)</f>
        <v>171383.00371606814</v>
      </c>
      <c r="D15" s="31">
        <f>+$D$8/(B14*B10+C14*C10+D14*D10+E14*E10)*(D14*D10)</f>
        <v>243107.82731890195</v>
      </c>
      <c r="E15" s="31">
        <f>+$D$8/(B14*B10+C14*C10+D14*D10+E14*E10)*(E14*E10)</f>
        <v>208897.09048004315</v>
      </c>
      <c r="F15" s="38"/>
    </row>
    <row r="16" spans="1:6" ht="22.05" customHeight="1" x14ac:dyDescent="0.3">
      <c r="A16" s="40" t="s">
        <v>149</v>
      </c>
      <c r="B16" s="41">
        <f>+B15+B13</f>
        <v>613612.07848498679</v>
      </c>
      <c r="C16" s="41">
        <f>+C15+C13</f>
        <v>303383.00371606811</v>
      </c>
      <c r="D16" s="41">
        <f>+D15+D13</f>
        <v>503107.82731890195</v>
      </c>
      <c r="E16" s="41">
        <f>+E15+E13</f>
        <v>374897.09048004315</v>
      </c>
      <c r="F16" s="42"/>
    </row>
    <row r="18" spans="1:6" ht="17.649999999999999" x14ac:dyDescent="0.3">
      <c r="A18" s="24" t="s">
        <v>2</v>
      </c>
      <c r="C18" s="105"/>
      <c r="D18" s="105"/>
      <c r="E18" s="105"/>
      <c r="F18" s="105"/>
    </row>
    <row r="19" spans="1:6" ht="21" customHeight="1" x14ac:dyDescent="0.3">
      <c r="A19" s="25" t="s">
        <v>121</v>
      </c>
      <c r="B19" s="26">
        <v>170</v>
      </c>
      <c r="C19" s="26" t="s">
        <v>122</v>
      </c>
      <c r="D19" s="27">
        <f>(B19+B21)*B23</f>
        <v>540000</v>
      </c>
      <c r="E19" s="26" t="s">
        <v>123</v>
      </c>
      <c r="F19" s="28">
        <f>SUM(D19:D20,D21:D23)</f>
        <v>905000</v>
      </c>
    </row>
    <row r="20" spans="1:6" ht="21" customHeight="1" x14ac:dyDescent="0.3">
      <c r="A20" s="29" t="s">
        <v>124</v>
      </c>
      <c r="B20" s="30">
        <v>5</v>
      </c>
      <c r="C20" s="30" t="s">
        <v>125</v>
      </c>
      <c r="D20" s="31">
        <f>B20*8000</f>
        <v>40000</v>
      </c>
      <c r="E20" s="30" t="s">
        <v>126</v>
      </c>
      <c r="F20" s="32">
        <f>SUM(B29:E29)</f>
        <v>754000</v>
      </c>
    </row>
    <row r="21" spans="1:6" ht="21" customHeight="1" x14ac:dyDescent="0.3">
      <c r="A21" s="29" t="s">
        <v>127</v>
      </c>
      <c r="B21" s="30">
        <v>10</v>
      </c>
      <c r="C21" s="30" t="s">
        <v>128</v>
      </c>
      <c r="D21" s="31">
        <f>(B19+B21)*B24</f>
        <v>180000</v>
      </c>
      <c r="E21" s="33" t="s">
        <v>129</v>
      </c>
      <c r="F21" s="32">
        <f>SUM(F19:F20)</f>
        <v>1659000</v>
      </c>
    </row>
    <row r="22" spans="1:6" ht="21" customHeight="1" x14ac:dyDescent="0.3">
      <c r="A22" s="29" t="s">
        <v>130</v>
      </c>
      <c r="B22" s="30">
        <f>SUM(B19,B20,B21)</f>
        <v>185</v>
      </c>
      <c r="C22" s="30" t="s">
        <v>131</v>
      </c>
      <c r="D22" s="31">
        <f>D19/12</f>
        <v>45000</v>
      </c>
      <c r="E22" s="30" t="s">
        <v>132</v>
      </c>
      <c r="F22" s="32">
        <f>SUM(D19:D20,D21,D22,D23)/(B19+B20+B21)</f>
        <v>4891.8918918918916</v>
      </c>
    </row>
    <row r="23" spans="1:6" ht="21" customHeight="1" x14ac:dyDescent="0.3">
      <c r="A23" s="29" t="s">
        <v>133</v>
      </c>
      <c r="B23" s="30">
        <v>3000</v>
      </c>
      <c r="C23" s="30" t="s">
        <v>134</v>
      </c>
      <c r="D23" s="31">
        <f>B21*10000</f>
        <v>100000</v>
      </c>
      <c r="E23" s="30" t="s">
        <v>135</v>
      </c>
      <c r="F23" s="32">
        <f>SUM(B29:E29)/B27</f>
        <v>5800</v>
      </c>
    </row>
    <row r="24" spans="1:6" ht="21" customHeight="1" x14ac:dyDescent="0.3">
      <c r="A24" s="29" t="s">
        <v>136</v>
      </c>
      <c r="B24" s="30">
        <v>1000</v>
      </c>
      <c r="C24" s="30" t="s">
        <v>137</v>
      </c>
      <c r="D24" s="31">
        <f>SUM(D19:D23)</f>
        <v>905000</v>
      </c>
      <c r="E24" s="30" t="s">
        <v>138</v>
      </c>
      <c r="F24" s="32">
        <f>(D24+SUM(B29:E29))/(B19+B20+B21)</f>
        <v>8967.5675675675684</v>
      </c>
    </row>
    <row r="25" spans="1:6" ht="37.049999999999997" customHeight="1" x14ac:dyDescent="0.3">
      <c r="A25" s="34" t="s">
        <v>22</v>
      </c>
      <c r="B25" s="35" t="s">
        <v>139</v>
      </c>
      <c r="C25" s="35" t="s">
        <v>140</v>
      </c>
      <c r="D25" s="35" t="s">
        <v>141</v>
      </c>
      <c r="E25" s="35" t="s">
        <v>142</v>
      </c>
      <c r="F25" s="36"/>
    </row>
    <row r="26" spans="1:6" ht="21" customHeight="1" x14ac:dyDescent="0.3">
      <c r="A26" s="29" t="s">
        <v>143</v>
      </c>
      <c r="B26" s="37">
        <f>销售收入!E10</f>
        <v>6000000</v>
      </c>
      <c r="C26" s="37">
        <f>销售收入!E11</f>
        <v>3550000</v>
      </c>
      <c r="D26" s="37">
        <f>销售收入!E12</f>
        <v>5000000</v>
      </c>
      <c r="E26" s="37">
        <f>销售收入!E13</f>
        <v>4300000</v>
      </c>
      <c r="F26" s="38"/>
    </row>
    <row r="27" spans="1:6" ht="21" customHeight="1" x14ac:dyDescent="0.3">
      <c r="A27" s="29" t="s">
        <v>144</v>
      </c>
      <c r="B27" s="30">
        <v>130</v>
      </c>
      <c r="C27" s="30"/>
      <c r="D27" s="30"/>
      <c r="E27" s="30"/>
      <c r="F27" s="38"/>
    </row>
    <row r="28" spans="1:6" ht="21" customHeight="1" x14ac:dyDescent="0.3">
      <c r="A28" s="29" t="s">
        <v>145</v>
      </c>
      <c r="B28" s="30">
        <v>0.04</v>
      </c>
      <c r="C28" s="30">
        <v>0.04</v>
      </c>
      <c r="D28" s="30">
        <v>0.04</v>
      </c>
      <c r="E28" s="30">
        <v>0.04</v>
      </c>
      <c r="F28" s="38"/>
    </row>
    <row r="29" spans="1:6" ht="21" customHeight="1" x14ac:dyDescent="0.3">
      <c r="A29" s="29" t="s">
        <v>146</v>
      </c>
      <c r="B29" s="31">
        <f>B26*B28</f>
        <v>240000</v>
      </c>
      <c r="C29" s="30">
        <f>C26*C28</f>
        <v>142000</v>
      </c>
      <c r="D29" s="30">
        <f>D26*D28</f>
        <v>200000</v>
      </c>
      <c r="E29" s="30">
        <f>E26*E28</f>
        <v>172000</v>
      </c>
      <c r="F29" s="38"/>
    </row>
    <row r="30" spans="1:6" ht="21" customHeight="1" x14ac:dyDescent="0.3">
      <c r="A30" s="29" t="s">
        <v>147</v>
      </c>
      <c r="B30" s="39">
        <f>硅料单耗计算!M11</f>
        <v>1</v>
      </c>
      <c r="C30" s="39">
        <f>硅料单耗计算!M12</f>
        <v>1.4994285714285713</v>
      </c>
      <c r="D30" s="39">
        <f>硅料单耗计算!M13</f>
        <v>1.0798353909465019</v>
      </c>
      <c r="E30" s="39">
        <f>硅料单耗计算!M14</f>
        <v>1.4931198511006276</v>
      </c>
      <c r="F30" s="38"/>
    </row>
    <row r="31" spans="1:6" ht="21" customHeight="1" x14ac:dyDescent="0.3">
      <c r="A31" s="29" t="s">
        <v>148</v>
      </c>
      <c r="B31" s="31">
        <f>+$D$8/(B30*B26+C30*C26+D30*D26+E30*E26)*(B30*B26)</f>
        <v>234632.60424782595</v>
      </c>
      <c r="C31" s="31">
        <f>+$D$8/(B30*B26+C30*C26+D30*D26+E30*E26)*(C30*C26)</f>
        <v>208157.10810374742</v>
      </c>
      <c r="D31" s="31">
        <f>+$D$8/(B30*B26+C30*C26+D30*D26+E30*E26)*(D30*D26)</f>
        <v>211137.15828062248</v>
      </c>
      <c r="E31" s="31">
        <f>+$D$8/(B30*B26+C30*C26+D30*D26+E30*E26)*(E30*E26)</f>
        <v>251073.12936780421</v>
      </c>
      <c r="F31" s="38"/>
    </row>
    <row r="32" spans="1:6" ht="22.05" customHeight="1" x14ac:dyDescent="0.3">
      <c r="A32" s="40" t="s">
        <v>149</v>
      </c>
      <c r="B32" s="41">
        <f>+B31+B29</f>
        <v>474632.60424782592</v>
      </c>
      <c r="C32" s="41">
        <f>+C31+C29</f>
        <v>350157.10810374742</v>
      </c>
      <c r="D32" s="41">
        <f>+D31+D29</f>
        <v>411137.15828062245</v>
      </c>
      <c r="E32" s="41">
        <f>+E31+E29</f>
        <v>423073.12936780421</v>
      </c>
      <c r="F32" s="42"/>
    </row>
    <row r="34" spans="1:6" ht="17.649999999999999" x14ac:dyDescent="0.3">
      <c r="A34" s="24" t="s">
        <v>3</v>
      </c>
      <c r="C34" s="105"/>
      <c r="D34" s="105"/>
      <c r="E34" s="105"/>
      <c r="F34" s="105"/>
    </row>
    <row r="35" spans="1:6" ht="21" customHeight="1" x14ac:dyDescent="0.3">
      <c r="A35" s="25" t="s">
        <v>121</v>
      </c>
      <c r="B35" s="26">
        <v>170</v>
      </c>
      <c r="C35" s="26" t="s">
        <v>122</v>
      </c>
      <c r="D35" s="27">
        <f>(B35+B37)*B39</f>
        <v>540000</v>
      </c>
      <c r="E35" s="26" t="s">
        <v>123</v>
      </c>
      <c r="F35" s="28">
        <f>SUM(D35:D36,D37:D39)</f>
        <v>905000</v>
      </c>
    </row>
    <row r="36" spans="1:6" ht="21" customHeight="1" x14ac:dyDescent="0.3">
      <c r="A36" s="29" t="s">
        <v>124</v>
      </c>
      <c r="B36" s="30">
        <v>5</v>
      </c>
      <c r="C36" s="30" t="s">
        <v>125</v>
      </c>
      <c r="D36" s="31">
        <f>B36*8000</f>
        <v>40000</v>
      </c>
      <c r="E36" s="30" t="s">
        <v>126</v>
      </c>
      <c r="F36" s="32">
        <f>SUM(B45:E45)</f>
        <v>880000</v>
      </c>
    </row>
    <row r="37" spans="1:6" ht="21" customHeight="1" x14ac:dyDescent="0.3">
      <c r="A37" s="29" t="s">
        <v>127</v>
      </c>
      <c r="B37" s="30">
        <v>10</v>
      </c>
      <c r="C37" s="30" t="s">
        <v>128</v>
      </c>
      <c r="D37" s="31">
        <f>(B35+B37)*B40</f>
        <v>180000</v>
      </c>
      <c r="E37" s="33" t="s">
        <v>129</v>
      </c>
      <c r="F37" s="32">
        <f>SUM(F35:F36)</f>
        <v>1785000</v>
      </c>
    </row>
    <row r="38" spans="1:6" ht="21" customHeight="1" x14ac:dyDescent="0.3">
      <c r="A38" s="29" t="s">
        <v>130</v>
      </c>
      <c r="B38" s="30">
        <f>SUM(B35,B36,B37)</f>
        <v>185</v>
      </c>
      <c r="C38" s="30" t="s">
        <v>131</v>
      </c>
      <c r="D38" s="31">
        <f>D35/12</f>
        <v>45000</v>
      </c>
      <c r="E38" s="30" t="s">
        <v>132</v>
      </c>
      <c r="F38" s="32">
        <f>SUM(D35:D36,D37,D38,D39)/(B35+B36+B37)</f>
        <v>4891.8918918918916</v>
      </c>
    </row>
    <row r="39" spans="1:6" ht="21" customHeight="1" x14ac:dyDescent="0.3">
      <c r="A39" s="29" t="s">
        <v>133</v>
      </c>
      <c r="B39" s="30">
        <v>3000</v>
      </c>
      <c r="C39" s="30" t="s">
        <v>134</v>
      </c>
      <c r="D39" s="31">
        <f>B37*10000</f>
        <v>100000</v>
      </c>
      <c r="E39" s="30" t="s">
        <v>135</v>
      </c>
      <c r="F39" s="32">
        <f>SUM(B45:E45)/B43</f>
        <v>6769.2307692307695</v>
      </c>
    </row>
    <row r="40" spans="1:6" ht="21" customHeight="1" x14ac:dyDescent="0.3">
      <c r="A40" s="29" t="s">
        <v>136</v>
      </c>
      <c r="B40" s="30">
        <v>1000</v>
      </c>
      <c r="C40" s="30" t="s">
        <v>137</v>
      </c>
      <c r="D40" s="31">
        <f>SUM(D35:D39)</f>
        <v>905000</v>
      </c>
      <c r="E40" s="30" t="s">
        <v>138</v>
      </c>
      <c r="F40" s="32">
        <f>(D40+SUM(B45:E45))/(B35+B36+B37)</f>
        <v>9648.6486486486483</v>
      </c>
    </row>
    <row r="41" spans="1:6" ht="37.049999999999997" customHeight="1" x14ac:dyDescent="0.3">
      <c r="A41" s="34" t="s">
        <v>22</v>
      </c>
      <c r="B41" s="35" t="s">
        <v>139</v>
      </c>
      <c r="C41" s="35" t="s">
        <v>140</v>
      </c>
      <c r="D41" s="35" t="s">
        <v>141</v>
      </c>
      <c r="E41" s="35" t="s">
        <v>142</v>
      </c>
      <c r="F41" s="36"/>
    </row>
    <row r="42" spans="1:6" ht="21" customHeight="1" x14ac:dyDescent="0.3">
      <c r="A42" s="29" t="s">
        <v>143</v>
      </c>
      <c r="B42" s="37">
        <f>销售收入!E17</f>
        <v>5000000</v>
      </c>
      <c r="C42" s="37">
        <f>销售收入!E18</f>
        <v>4000000</v>
      </c>
      <c r="D42" s="37">
        <f>销售收入!E19</f>
        <v>5500000</v>
      </c>
      <c r="E42" s="37">
        <f>销售收入!E20</f>
        <v>7500000</v>
      </c>
      <c r="F42" s="38"/>
    </row>
    <row r="43" spans="1:6" ht="21" customHeight="1" x14ac:dyDescent="0.3">
      <c r="A43" s="29" t="s">
        <v>144</v>
      </c>
      <c r="B43" s="30">
        <v>130</v>
      </c>
      <c r="C43" s="30"/>
      <c r="D43" s="30"/>
      <c r="E43" s="30"/>
      <c r="F43" s="38"/>
    </row>
    <row r="44" spans="1:6" ht="21" customHeight="1" x14ac:dyDescent="0.3">
      <c r="A44" s="29" t="s">
        <v>145</v>
      </c>
      <c r="B44" s="30">
        <v>0.04</v>
      </c>
      <c r="C44" s="30">
        <v>0.04</v>
      </c>
      <c r="D44" s="30">
        <v>0.04</v>
      </c>
      <c r="E44" s="30">
        <v>0.04</v>
      </c>
      <c r="F44" s="38"/>
    </row>
    <row r="45" spans="1:6" ht="21" customHeight="1" x14ac:dyDescent="0.3">
      <c r="A45" s="29" t="s">
        <v>146</v>
      </c>
      <c r="B45" s="31">
        <f>B42*B44</f>
        <v>200000</v>
      </c>
      <c r="C45" s="30">
        <f>C42*C44</f>
        <v>160000</v>
      </c>
      <c r="D45" s="30">
        <f>D42*D44</f>
        <v>220000</v>
      </c>
      <c r="E45" s="30">
        <f>E42*E44</f>
        <v>300000</v>
      </c>
      <c r="F45" s="38"/>
    </row>
    <row r="46" spans="1:6" ht="21" customHeight="1" x14ac:dyDescent="0.3">
      <c r="A46" s="29" t="s">
        <v>147</v>
      </c>
      <c r="B46" s="39">
        <f>硅料单耗计算!M19</f>
        <v>1</v>
      </c>
      <c r="C46" s="39">
        <f>硅料单耗计算!M20</f>
        <v>1.515047619047619</v>
      </c>
      <c r="D46" s="39">
        <f>硅料单耗计算!M21</f>
        <v>1.0910836762688612</v>
      </c>
      <c r="E46" s="39">
        <f>硅料单耗计算!M22</f>
        <v>1.5086731828829256</v>
      </c>
      <c r="F46" s="38"/>
    </row>
    <row r="47" spans="1:6" ht="21" customHeight="1" x14ac:dyDescent="0.3">
      <c r="A47" s="29" t="s">
        <v>148</v>
      </c>
      <c r="B47" s="31">
        <f>+$D$8/(B46*B42+C46*C42+D46*D42+E46*E42)*(B46*B42)</f>
        <v>159464.62419216643</v>
      </c>
      <c r="C47" s="31">
        <f>+$D$8/(B46*B42+C46*C42+D46*D42+E46*E42)*(C46*C42)</f>
        <v>193277.19936373207</v>
      </c>
      <c r="D47" s="31">
        <f>+$D$8/(B46*B42+C46*C42+D46*D42+E46*E42)*(D46*D42)</f>
        <v>191388.17323826347</v>
      </c>
      <c r="E47" s="31">
        <f>+$D$8/(B46*B42+C46*C42+D46*D42+E46*E42)*(E46*E42)</f>
        <v>360870.00320583791</v>
      </c>
      <c r="F47" s="38"/>
    </row>
    <row r="48" spans="1:6" ht="22.05" customHeight="1" x14ac:dyDescent="0.3">
      <c r="A48" s="40" t="s">
        <v>149</v>
      </c>
      <c r="B48" s="41">
        <f>+B47+B45</f>
        <v>359464.62419216643</v>
      </c>
      <c r="C48" s="41">
        <f>+C47+C45</f>
        <v>353277.19936373207</v>
      </c>
      <c r="D48" s="41">
        <f>+D47+D45</f>
        <v>411388.17323826347</v>
      </c>
      <c r="E48" s="41">
        <f>+E47+E45</f>
        <v>660870.00320583791</v>
      </c>
      <c r="F48" s="42"/>
    </row>
    <row r="50" spans="1:6" ht="17.649999999999999" x14ac:dyDescent="0.3">
      <c r="A50" s="24" t="s">
        <v>4</v>
      </c>
      <c r="C50" s="105"/>
      <c r="D50" s="105"/>
      <c r="E50" s="105"/>
      <c r="F50" s="105"/>
    </row>
    <row r="51" spans="1:6" ht="21" customHeight="1" x14ac:dyDescent="0.3">
      <c r="A51" s="25" t="s">
        <v>121</v>
      </c>
      <c r="B51" s="26">
        <v>170</v>
      </c>
      <c r="C51" s="26" t="s">
        <v>122</v>
      </c>
      <c r="D51" s="27">
        <f>(B51+B53)*B55</f>
        <v>540000</v>
      </c>
      <c r="E51" s="26" t="s">
        <v>123</v>
      </c>
      <c r="F51" s="28">
        <f>SUM(D51:D52,D53:D55)</f>
        <v>905000</v>
      </c>
    </row>
    <row r="52" spans="1:6" ht="21" customHeight="1" x14ac:dyDescent="0.3">
      <c r="A52" s="29" t="s">
        <v>124</v>
      </c>
      <c r="B52" s="30">
        <v>5</v>
      </c>
      <c r="C52" s="30" t="s">
        <v>125</v>
      </c>
      <c r="D52" s="31">
        <f>B52*8000</f>
        <v>40000</v>
      </c>
      <c r="E52" s="30" t="s">
        <v>126</v>
      </c>
      <c r="F52" s="32">
        <f>SUM(B61:E61)</f>
        <v>952000</v>
      </c>
    </row>
    <row r="53" spans="1:6" ht="21" customHeight="1" x14ac:dyDescent="0.3">
      <c r="A53" s="29" t="s">
        <v>127</v>
      </c>
      <c r="B53" s="30">
        <v>10</v>
      </c>
      <c r="C53" s="30" t="s">
        <v>128</v>
      </c>
      <c r="D53" s="31">
        <f>(B51+B53)*B56</f>
        <v>180000</v>
      </c>
      <c r="E53" s="33" t="s">
        <v>129</v>
      </c>
      <c r="F53" s="32">
        <f>SUM(F51:F52)</f>
        <v>1857000</v>
      </c>
    </row>
    <row r="54" spans="1:6" ht="21" customHeight="1" x14ac:dyDescent="0.3">
      <c r="A54" s="29" t="s">
        <v>130</v>
      </c>
      <c r="B54" s="30">
        <f>SUM(B51,B52,B53)</f>
        <v>185</v>
      </c>
      <c r="C54" s="30" t="s">
        <v>131</v>
      </c>
      <c r="D54" s="31">
        <f>D51/12</f>
        <v>45000</v>
      </c>
      <c r="E54" s="30" t="s">
        <v>132</v>
      </c>
      <c r="F54" s="32">
        <f>SUM(D51:D52,D53,D54,D55)/(B51+B52+B53)</f>
        <v>4891.8918918918916</v>
      </c>
    </row>
    <row r="55" spans="1:6" ht="21" customHeight="1" x14ac:dyDescent="0.3">
      <c r="A55" s="29" t="s">
        <v>133</v>
      </c>
      <c r="B55" s="30">
        <v>3000</v>
      </c>
      <c r="C55" s="30" t="s">
        <v>134</v>
      </c>
      <c r="D55" s="31">
        <f>B53*10000</f>
        <v>100000</v>
      </c>
      <c r="E55" s="30" t="s">
        <v>135</v>
      </c>
      <c r="F55" s="32">
        <f>SUM(B61:E61)/B59</f>
        <v>7323.0769230769229</v>
      </c>
    </row>
    <row r="56" spans="1:6" ht="21" customHeight="1" x14ac:dyDescent="0.3">
      <c r="A56" s="29" t="s">
        <v>136</v>
      </c>
      <c r="B56" s="30">
        <v>1000</v>
      </c>
      <c r="C56" s="30" t="s">
        <v>137</v>
      </c>
      <c r="D56" s="31">
        <f>SUM(D51:D55)</f>
        <v>905000</v>
      </c>
      <c r="E56" s="30" t="s">
        <v>138</v>
      </c>
      <c r="F56" s="32">
        <f>(D56+SUM(B61:E61))/(B51+B52+B53)</f>
        <v>10037.837837837838</v>
      </c>
    </row>
    <row r="57" spans="1:6" ht="37.049999999999997" customHeight="1" x14ac:dyDescent="0.3">
      <c r="A57" s="34" t="s">
        <v>22</v>
      </c>
      <c r="B57" s="35" t="s">
        <v>139</v>
      </c>
      <c r="C57" s="35" t="s">
        <v>140</v>
      </c>
      <c r="D57" s="35" t="s">
        <v>141</v>
      </c>
      <c r="E57" s="35" t="s">
        <v>142</v>
      </c>
      <c r="F57" s="36"/>
    </row>
    <row r="58" spans="1:6" ht="21" customHeight="1" x14ac:dyDescent="0.3">
      <c r="A58" s="29" t="s">
        <v>143</v>
      </c>
      <c r="B58" s="37">
        <f>销售收入!E24</f>
        <v>3300000</v>
      </c>
      <c r="C58" s="37">
        <f>销售收入!E25</f>
        <v>4500000</v>
      </c>
      <c r="D58" s="37">
        <f>销售收入!E26</f>
        <v>7500000</v>
      </c>
      <c r="E58" s="37">
        <f>销售收入!E27</f>
        <v>8500000</v>
      </c>
      <c r="F58" s="38"/>
    </row>
    <row r="59" spans="1:6" ht="21" customHeight="1" x14ac:dyDescent="0.3">
      <c r="A59" s="29" t="s">
        <v>144</v>
      </c>
      <c r="B59" s="30">
        <v>130</v>
      </c>
      <c r="C59" s="30"/>
      <c r="D59" s="30"/>
      <c r="E59" s="30"/>
      <c r="F59" s="38"/>
    </row>
    <row r="60" spans="1:6" ht="21" customHeight="1" x14ac:dyDescent="0.3">
      <c r="A60" s="29" t="s">
        <v>145</v>
      </c>
      <c r="B60" s="30">
        <v>0.04</v>
      </c>
      <c r="C60" s="30">
        <v>0.04</v>
      </c>
      <c r="D60" s="30">
        <v>0.04</v>
      </c>
      <c r="E60" s="30">
        <v>0.04</v>
      </c>
      <c r="F60" s="38"/>
    </row>
    <row r="61" spans="1:6" ht="21" customHeight="1" x14ac:dyDescent="0.3">
      <c r="A61" s="29" t="s">
        <v>146</v>
      </c>
      <c r="B61" s="31">
        <f>B58*B60</f>
        <v>132000</v>
      </c>
      <c r="C61" s="30">
        <f>C58*C60</f>
        <v>180000</v>
      </c>
      <c r="D61" s="30">
        <f>D58*D60</f>
        <v>300000</v>
      </c>
      <c r="E61" s="30">
        <f>E58*E60</f>
        <v>340000</v>
      </c>
      <c r="F61" s="38"/>
    </row>
    <row r="62" spans="1:6" ht="21" customHeight="1" x14ac:dyDescent="0.3">
      <c r="A62" s="29" t="s">
        <v>147</v>
      </c>
      <c r="B62" s="39">
        <f>硅料单耗计算!M27</f>
        <v>1</v>
      </c>
      <c r="C62" s="39">
        <f>硅料单耗计算!M28</f>
        <v>1.5651428571428574</v>
      </c>
      <c r="D62" s="39">
        <f>硅料单耗计算!M29</f>
        <v>1.1518082422203535</v>
      </c>
      <c r="E62" s="39">
        <f>硅料单耗计算!M30</f>
        <v>1.5169961121342339</v>
      </c>
      <c r="F62" s="38"/>
    </row>
    <row r="63" spans="1:6" ht="21" customHeight="1" x14ac:dyDescent="0.3">
      <c r="A63" s="29" t="s">
        <v>148</v>
      </c>
      <c r="B63" s="31">
        <f>+$D$8/(B62*B58+C62*C58+D62*D58+E62*E58)*(B62*B58)</f>
        <v>93690.67386612705</v>
      </c>
      <c r="C63" s="31">
        <f>+$D$8/(B62*B58+C62*C58+D62*D58+E62*E58)*(C62*C58)</f>
        <v>199962.66679427691</v>
      </c>
      <c r="D63" s="31">
        <f>+$D$8/(B62*B58+C62*C58+D62*D58+E62*E58)*(D62*D58)</f>
        <v>245258.38722314595</v>
      </c>
      <c r="E63" s="31">
        <f>+$D$8/(B62*B58+C62*C58+D62*D58+E62*E58)*(E62*E58)</f>
        <v>366088.27211645013</v>
      </c>
      <c r="F63" s="38"/>
    </row>
    <row r="64" spans="1:6" ht="22.05" customHeight="1" x14ac:dyDescent="0.3">
      <c r="A64" s="40" t="s">
        <v>149</v>
      </c>
      <c r="B64" s="41">
        <f>+B63+B61</f>
        <v>225690.67386612704</v>
      </c>
      <c r="C64" s="41">
        <f>+C63+C61</f>
        <v>379962.66679427691</v>
      </c>
      <c r="D64" s="41">
        <f>+D63+D61</f>
        <v>545258.38722314592</v>
      </c>
      <c r="E64" s="41">
        <f>+E63+E61</f>
        <v>706088.27211645013</v>
      </c>
      <c r="F64" s="42"/>
    </row>
    <row r="66" spans="1:6" ht="17.649999999999999" x14ac:dyDescent="0.3">
      <c r="A66" s="24" t="s">
        <v>5</v>
      </c>
      <c r="C66" s="105"/>
      <c r="D66" s="105"/>
      <c r="E66" s="105"/>
      <c r="F66" s="105"/>
    </row>
    <row r="67" spans="1:6" ht="21" customHeight="1" x14ac:dyDescent="0.3">
      <c r="A67" s="25" t="s">
        <v>121</v>
      </c>
      <c r="B67" s="26">
        <v>170</v>
      </c>
      <c r="C67" s="26" t="s">
        <v>122</v>
      </c>
      <c r="D67" s="27">
        <f>(B67+B69)*B71</f>
        <v>540000</v>
      </c>
      <c r="E67" s="26" t="s">
        <v>123</v>
      </c>
      <c r="F67" s="28">
        <f>SUM(D67:D68,D69:D71)</f>
        <v>905000</v>
      </c>
    </row>
    <row r="68" spans="1:6" ht="21" customHeight="1" x14ac:dyDescent="0.3">
      <c r="A68" s="29" t="s">
        <v>124</v>
      </c>
      <c r="B68" s="30">
        <v>5</v>
      </c>
      <c r="C68" s="30" t="s">
        <v>125</v>
      </c>
      <c r="D68" s="31">
        <f>B68*8000</f>
        <v>40000</v>
      </c>
      <c r="E68" s="30" t="s">
        <v>126</v>
      </c>
      <c r="F68" s="32">
        <f>SUM(B77:E77)</f>
        <v>1020000</v>
      </c>
    </row>
    <row r="69" spans="1:6" ht="21" customHeight="1" x14ac:dyDescent="0.3">
      <c r="A69" s="29" t="s">
        <v>127</v>
      </c>
      <c r="B69" s="30">
        <v>10</v>
      </c>
      <c r="C69" s="30" t="s">
        <v>128</v>
      </c>
      <c r="D69" s="31">
        <f>(B67+B69)*B72</f>
        <v>180000</v>
      </c>
      <c r="E69" s="33" t="s">
        <v>129</v>
      </c>
      <c r="F69" s="32">
        <f>SUM(F67:F68)</f>
        <v>1925000</v>
      </c>
    </row>
    <row r="70" spans="1:6" ht="21" customHeight="1" x14ac:dyDescent="0.3">
      <c r="A70" s="29" t="s">
        <v>130</v>
      </c>
      <c r="B70" s="30">
        <f>SUM(B67,B68,B69)</f>
        <v>185</v>
      </c>
      <c r="C70" s="30" t="s">
        <v>131</v>
      </c>
      <c r="D70" s="31">
        <f>D67/12</f>
        <v>45000</v>
      </c>
      <c r="E70" s="30" t="s">
        <v>132</v>
      </c>
      <c r="F70" s="32">
        <f>SUM(D67:D68,D69,D70,D71)/(B67+B68+B69)</f>
        <v>4891.8918918918916</v>
      </c>
    </row>
    <row r="71" spans="1:6" ht="21" customHeight="1" x14ac:dyDescent="0.3">
      <c r="A71" s="29" t="s">
        <v>133</v>
      </c>
      <c r="B71" s="30">
        <v>3000</v>
      </c>
      <c r="C71" s="30" t="s">
        <v>134</v>
      </c>
      <c r="D71" s="31">
        <f>B69*10000</f>
        <v>100000</v>
      </c>
      <c r="E71" s="30" t="s">
        <v>135</v>
      </c>
      <c r="F71" s="32">
        <f>SUM(B77:E77)/B75</f>
        <v>7846.1538461538457</v>
      </c>
    </row>
    <row r="72" spans="1:6" ht="21" customHeight="1" x14ac:dyDescent="0.3">
      <c r="A72" s="29" t="s">
        <v>136</v>
      </c>
      <c r="B72" s="30">
        <v>1000</v>
      </c>
      <c r="C72" s="30" t="s">
        <v>137</v>
      </c>
      <c r="D72" s="31">
        <f>SUM(D67:D71)</f>
        <v>905000</v>
      </c>
      <c r="E72" s="30" t="s">
        <v>138</v>
      </c>
      <c r="F72" s="32">
        <f>(D72+SUM(B77:E77))/(B67+B68+B69)</f>
        <v>10405.405405405405</v>
      </c>
    </row>
    <row r="73" spans="1:6" ht="37.049999999999997" customHeight="1" x14ac:dyDescent="0.3">
      <c r="A73" s="34" t="s">
        <v>22</v>
      </c>
      <c r="B73" s="35" t="s">
        <v>139</v>
      </c>
      <c r="C73" s="35" t="s">
        <v>140</v>
      </c>
      <c r="D73" s="35" t="s">
        <v>141</v>
      </c>
      <c r="E73" s="35" t="s">
        <v>142</v>
      </c>
      <c r="F73" s="36"/>
    </row>
    <row r="74" spans="1:6" ht="21" customHeight="1" x14ac:dyDescent="0.3">
      <c r="A74" s="29" t="s">
        <v>143</v>
      </c>
      <c r="B74" s="37">
        <f>销售收入!E31</f>
        <v>8000000</v>
      </c>
      <c r="C74" s="37">
        <f>销售收入!E32</f>
        <v>2500000</v>
      </c>
      <c r="D74" s="37">
        <f>销售收入!E33</f>
        <v>7000000</v>
      </c>
      <c r="E74" s="37">
        <f>销售收入!E34</f>
        <v>8000000</v>
      </c>
      <c r="F74" s="38"/>
    </row>
    <row r="75" spans="1:6" ht="21" customHeight="1" x14ac:dyDescent="0.3">
      <c r="A75" s="29" t="s">
        <v>144</v>
      </c>
      <c r="B75" s="30">
        <v>130</v>
      </c>
      <c r="C75" s="30"/>
      <c r="D75" s="30"/>
      <c r="E75" s="30"/>
      <c r="F75" s="38"/>
    </row>
    <row r="76" spans="1:6" ht="21" customHeight="1" x14ac:dyDescent="0.3">
      <c r="A76" s="29" t="s">
        <v>145</v>
      </c>
      <c r="B76" s="30">
        <v>0.04</v>
      </c>
      <c r="C76" s="30">
        <v>0.04</v>
      </c>
      <c r="D76" s="30">
        <v>0.04</v>
      </c>
      <c r="E76" s="30">
        <v>0.04</v>
      </c>
      <c r="F76" s="38"/>
    </row>
    <row r="77" spans="1:6" ht="21" customHeight="1" x14ac:dyDescent="0.3">
      <c r="A77" s="29" t="s">
        <v>146</v>
      </c>
      <c r="B77" s="31">
        <f>B74*B76</f>
        <v>320000</v>
      </c>
      <c r="C77" s="30">
        <f>C74*C76</f>
        <v>100000</v>
      </c>
      <c r="D77" s="30">
        <f>D74*D76</f>
        <v>280000</v>
      </c>
      <c r="E77" s="30">
        <f>E74*E76</f>
        <v>320000</v>
      </c>
      <c r="F77" s="38"/>
    </row>
    <row r="78" spans="1:6" ht="21" customHeight="1" x14ac:dyDescent="0.3">
      <c r="A78" s="29" t="s">
        <v>147</v>
      </c>
      <c r="B78" s="39">
        <f>硅料单耗计算!M35</f>
        <v>1</v>
      </c>
      <c r="C78" s="39">
        <f>硅料单耗计算!M36</f>
        <v>1.5493333333333335</v>
      </c>
      <c r="D78" s="39">
        <f>硅料单耗计算!M37</f>
        <v>1.1534316505955757</v>
      </c>
      <c r="E78" s="39">
        <f>硅料单耗计算!M38</f>
        <v>1.5016729190823728</v>
      </c>
      <c r="F78" s="38"/>
    </row>
    <row r="79" spans="1:6" ht="21" customHeight="1" x14ac:dyDescent="0.3">
      <c r="A79" s="29" t="s">
        <v>148</v>
      </c>
      <c r="B79" s="31">
        <f>+$D$8/(B78*B74+C78*C74+D78*D74+E78*E74)*(B78*B74)</f>
        <v>226527.93391681841</v>
      </c>
      <c r="C79" s="31">
        <f>+$D$8/(B78*B74+C78*C74+D78*D74+E78*E74)*(C78*C74)</f>
        <v>109677.27467139292</v>
      </c>
      <c r="D79" s="31">
        <f>+$D$8/(B78*B74+C78*C74+D78*D74+E78*E74)*(D78*D74)</f>
        <v>228623.9276332212</v>
      </c>
      <c r="E79" s="31">
        <f>+$D$8/(B78*B74+C78*C74+D78*D74+E78*E74)*(E78*E74)</f>
        <v>340170.86377856752</v>
      </c>
      <c r="F79" s="38"/>
    </row>
    <row r="80" spans="1:6" ht="22.05" customHeight="1" x14ac:dyDescent="0.3">
      <c r="A80" s="40" t="s">
        <v>149</v>
      </c>
      <c r="B80" s="41">
        <f>+B79+B77</f>
        <v>546527.93391681835</v>
      </c>
      <c r="C80" s="41">
        <f>+C79+C77</f>
        <v>209677.27467139292</v>
      </c>
      <c r="D80" s="41">
        <f>+D79+D77</f>
        <v>508623.9276332212</v>
      </c>
      <c r="E80" s="41">
        <f>+E79+E77</f>
        <v>660170.86377856752</v>
      </c>
      <c r="F80" s="42"/>
    </row>
    <row r="82" spans="1:6" ht="17.649999999999999" x14ac:dyDescent="0.3">
      <c r="A82" s="24" t="s">
        <v>6</v>
      </c>
      <c r="C82" s="105"/>
      <c r="D82" s="105"/>
      <c r="E82" s="105"/>
      <c r="F82" s="105"/>
    </row>
    <row r="83" spans="1:6" ht="21" customHeight="1" x14ac:dyDescent="0.3">
      <c r="A83" s="25" t="s">
        <v>121</v>
      </c>
      <c r="B83" s="26">
        <v>170</v>
      </c>
      <c r="C83" s="26" t="s">
        <v>122</v>
      </c>
      <c r="D83" s="27">
        <f>(B83+B85)*B87</f>
        <v>540000</v>
      </c>
      <c r="E83" s="26" t="s">
        <v>123</v>
      </c>
      <c r="F83" s="28">
        <f>SUM(D83:D84,D85:D87)</f>
        <v>905000</v>
      </c>
    </row>
    <row r="84" spans="1:6" ht="21" customHeight="1" x14ac:dyDescent="0.3">
      <c r="A84" s="29" t="s">
        <v>124</v>
      </c>
      <c r="B84" s="30">
        <v>5</v>
      </c>
      <c r="C84" s="30" t="s">
        <v>125</v>
      </c>
      <c r="D84" s="31">
        <f>B84*8000</f>
        <v>40000</v>
      </c>
      <c r="E84" s="30" t="s">
        <v>126</v>
      </c>
      <c r="F84" s="32">
        <f>SUM(B93:E93)</f>
        <v>928000</v>
      </c>
    </row>
    <row r="85" spans="1:6" ht="21" customHeight="1" x14ac:dyDescent="0.3">
      <c r="A85" s="29" t="s">
        <v>127</v>
      </c>
      <c r="B85" s="30">
        <v>10</v>
      </c>
      <c r="C85" s="30" t="s">
        <v>128</v>
      </c>
      <c r="D85" s="31">
        <f>(B83+B85)*B88</f>
        <v>180000</v>
      </c>
      <c r="E85" s="33" t="s">
        <v>129</v>
      </c>
      <c r="F85" s="32">
        <f>SUM(F83:F84)</f>
        <v>1833000</v>
      </c>
    </row>
    <row r="86" spans="1:6" ht="21" customHeight="1" x14ac:dyDescent="0.3">
      <c r="A86" s="29" t="s">
        <v>130</v>
      </c>
      <c r="B86" s="30">
        <f>SUM(B83,B84,B85)</f>
        <v>185</v>
      </c>
      <c r="C86" s="30" t="s">
        <v>131</v>
      </c>
      <c r="D86" s="31">
        <f>D83/12</f>
        <v>45000</v>
      </c>
      <c r="E86" s="30" t="s">
        <v>132</v>
      </c>
      <c r="F86" s="32">
        <f>SUM(D83:D84,D85,D86,D87)/(B83+B84+B85)</f>
        <v>4891.8918918918916</v>
      </c>
    </row>
    <row r="87" spans="1:6" ht="21" customHeight="1" x14ac:dyDescent="0.3">
      <c r="A87" s="29" t="s">
        <v>133</v>
      </c>
      <c r="B87" s="30">
        <v>3000</v>
      </c>
      <c r="C87" s="30" t="s">
        <v>134</v>
      </c>
      <c r="D87" s="31">
        <f>B85*10000</f>
        <v>100000</v>
      </c>
      <c r="E87" s="30" t="s">
        <v>135</v>
      </c>
      <c r="F87" s="32">
        <f>SUM(B93:E93)/B91</f>
        <v>7138.4615384615381</v>
      </c>
    </row>
    <row r="88" spans="1:6" ht="21" customHeight="1" x14ac:dyDescent="0.3">
      <c r="A88" s="29" t="s">
        <v>136</v>
      </c>
      <c r="B88" s="30">
        <v>1000</v>
      </c>
      <c r="C88" s="30" t="s">
        <v>137</v>
      </c>
      <c r="D88" s="31">
        <f>SUM(D83:D87)</f>
        <v>905000</v>
      </c>
      <c r="E88" s="30" t="s">
        <v>138</v>
      </c>
      <c r="F88" s="32">
        <f>(D88+SUM(B93:E93))/(B83+B84+B85)</f>
        <v>9908.1081081081084</v>
      </c>
    </row>
    <row r="89" spans="1:6" ht="37.049999999999997" customHeight="1" x14ac:dyDescent="0.3">
      <c r="A89" s="34" t="s">
        <v>22</v>
      </c>
      <c r="B89" s="35" t="s">
        <v>139</v>
      </c>
      <c r="C89" s="35" t="s">
        <v>140</v>
      </c>
      <c r="D89" s="35" t="s">
        <v>141</v>
      </c>
      <c r="E89" s="35" t="s">
        <v>142</v>
      </c>
      <c r="F89" s="36"/>
    </row>
    <row r="90" spans="1:6" ht="21" customHeight="1" x14ac:dyDescent="0.3">
      <c r="A90" s="29" t="s">
        <v>143</v>
      </c>
      <c r="B90" s="37">
        <f>销售收入!E38</f>
        <v>7800000</v>
      </c>
      <c r="C90" s="37">
        <f>销售收入!E39</f>
        <v>4100000</v>
      </c>
      <c r="D90" s="37">
        <f>销售收入!E40</f>
        <v>4800000</v>
      </c>
      <c r="E90" s="37">
        <f>销售收入!E41</f>
        <v>6500000</v>
      </c>
      <c r="F90" s="38"/>
    </row>
    <row r="91" spans="1:6" ht="21" customHeight="1" x14ac:dyDescent="0.3">
      <c r="A91" s="29" t="s">
        <v>144</v>
      </c>
      <c r="B91" s="30">
        <v>130</v>
      </c>
      <c r="C91" s="30"/>
      <c r="D91" s="30"/>
      <c r="E91" s="30"/>
      <c r="F91" s="38"/>
    </row>
    <row r="92" spans="1:6" ht="21" customHeight="1" x14ac:dyDescent="0.3">
      <c r="A92" s="29" t="s">
        <v>145</v>
      </c>
      <c r="B92" s="30">
        <v>0.04</v>
      </c>
      <c r="C92" s="30">
        <v>0.04</v>
      </c>
      <c r="D92" s="30">
        <v>0.04</v>
      </c>
      <c r="E92" s="30">
        <v>0.04</v>
      </c>
      <c r="F92" s="38"/>
    </row>
    <row r="93" spans="1:6" ht="21" customHeight="1" x14ac:dyDescent="0.3">
      <c r="A93" s="29" t="s">
        <v>146</v>
      </c>
      <c r="B93" s="31">
        <f>B90*B92</f>
        <v>312000</v>
      </c>
      <c r="C93" s="30">
        <f>C90*C92</f>
        <v>164000</v>
      </c>
      <c r="D93" s="30">
        <f>D90*D92</f>
        <v>192000</v>
      </c>
      <c r="E93" s="30">
        <f>E90*E92</f>
        <v>260000</v>
      </c>
      <c r="F93" s="38"/>
    </row>
    <row r="94" spans="1:6" ht="21" customHeight="1" x14ac:dyDescent="0.3">
      <c r="A94" s="29" t="s">
        <v>147</v>
      </c>
      <c r="B94" s="39">
        <f>硅料单耗计算!M43</f>
        <v>1</v>
      </c>
      <c r="C94" s="39">
        <f>硅料单耗计算!M44</f>
        <v>1.5651428571428572</v>
      </c>
      <c r="D94" s="39">
        <f>硅料单耗计算!M45</f>
        <v>1.1789096126255381</v>
      </c>
      <c r="E94" s="39">
        <f>硅料单耗计算!M46</f>
        <v>1.4638447971781305</v>
      </c>
      <c r="F94" s="38"/>
    </row>
    <row r="95" spans="1:6" ht="21" customHeight="1" x14ac:dyDescent="0.3">
      <c r="A95" s="29" t="s">
        <v>148</v>
      </c>
      <c r="B95" s="31">
        <f>+$D$8/(B94*B90+C94*C90+D94*D90+E94*E90)*(B94*B90)</f>
        <v>240176.84661928416</v>
      </c>
      <c r="C95" s="31">
        <f>+$D$8/(B94*B90+C94*C90+D94*D90+E94*E90)*(C94*C90)</f>
        <v>197594.28350548714</v>
      </c>
      <c r="D95" s="31">
        <f>+$D$8/(B94*B90+C94*C90+D94*D90+E94*E90)*(D94*D90)</f>
        <v>174244.18043665451</v>
      </c>
      <c r="E95" s="31">
        <f>+$D$8/(B94*B90+C94*C90+D94*D90+E94*E90)*(E94*E90)</f>
        <v>292984.68943857419</v>
      </c>
      <c r="F95" s="38"/>
    </row>
    <row r="96" spans="1:6" ht="22.05" customHeight="1" x14ac:dyDescent="0.3">
      <c r="A96" s="40" t="s">
        <v>149</v>
      </c>
      <c r="B96" s="41">
        <f>+B95+B93</f>
        <v>552176.84661928413</v>
      </c>
      <c r="C96" s="41">
        <f>+C95+C93</f>
        <v>361594.28350548714</v>
      </c>
      <c r="D96" s="41">
        <f>+D95+D93</f>
        <v>366244.18043665448</v>
      </c>
      <c r="E96" s="41">
        <f>+E95+E93</f>
        <v>552984.68943857425</v>
      </c>
      <c r="F96" s="42"/>
    </row>
    <row r="98" spans="1:6" ht="17.649999999999999" x14ac:dyDescent="0.3">
      <c r="A98" s="24" t="s">
        <v>7</v>
      </c>
      <c r="C98" s="105"/>
      <c r="D98" s="105"/>
      <c r="E98" s="105"/>
      <c r="F98" s="105"/>
    </row>
    <row r="99" spans="1:6" ht="21" customHeight="1" x14ac:dyDescent="0.3">
      <c r="A99" s="25" t="s">
        <v>121</v>
      </c>
      <c r="B99" s="26">
        <v>170</v>
      </c>
      <c r="C99" s="26" t="s">
        <v>122</v>
      </c>
      <c r="D99" s="27">
        <f>(B99+B101)*B103</f>
        <v>540000</v>
      </c>
      <c r="E99" s="26" t="s">
        <v>123</v>
      </c>
      <c r="F99" s="28">
        <f>SUM(D99:D100,D101:D103)</f>
        <v>905000</v>
      </c>
    </row>
    <row r="100" spans="1:6" ht="21" customHeight="1" x14ac:dyDescent="0.3">
      <c r="A100" s="29" t="s">
        <v>124</v>
      </c>
      <c r="B100" s="30">
        <v>5</v>
      </c>
      <c r="C100" s="30" t="s">
        <v>125</v>
      </c>
      <c r="D100" s="31">
        <f>B100*8000</f>
        <v>40000</v>
      </c>
      <c r="E100" s="30" t="s">
        <v>126</v>
      </c>
      <c r="F100" s="32">
        <f>SUM(B109:E109)</f>
        <v>918000</v>
      </c>
    </row>
    <row r="101" spans="1:6" ht="21" customHeight="1" x14ac:dyDescent="0.3">
      <c r="A101" s="29" t="s">
        <v>127</v>
      </c>
      <c r="B101" s="30">
        <v>10</v>
      </c>
      <c r="C101" s="30" t="s">
        <v>128</v>
      </c>
      <c r="D101" s="31">
        <f>(B99+B101)*B104</f>
        <v>180000</v>
      </c>
      <c r="E101" s="33" t="s">
        <v>129</v>
      </c>
      <c r="F101" s="32">
        <f>SUM(F99:F100)</f>
        <v>1823000</v>
      </c>
    </row>
    <row r="102" spans="1:6" ht="21" customHeight="1" x14ac:dyDescent="0.3">
      <c r="A102" s="29" t="s">
        <v>130</v>
      </c>
      <c r="B102" s="30">
        <f>SUM(B99,B100,B101)</f>
        <v>185</v>
      </c>
      <c r="C102" s="30" t="s">
        <v>131</v>
      </c>
      <c r="D102" s="31">
        <f>D99/12</f>
        <v>45000</v>
      </c>
      <c r="E102" s="30" t="s">
        <v>132</v>
      </c>
      <c r="F102" s="32">
        <f>SUM(D99:D100,D101,D102,D103)/(B99+B100+B101)</f>
        <v>4891.8918918918916</v>
      </c>
    </row>
    <row r="103" spans="1:6" ht="21" customHeight="1" x14ac:dyDescent="0.3">
      <c r="A103" s="29" t="s">
        <v>133</v>
      </c>
      <c r="B103" s="30">
        <v>3000</v>
      </c>
      <c r="C103" s="30" t="s">
        <v>134</v>
      </c>
      <c r="D103" s="31">
        <f>B101*10000</f>
        <v>100000</v>
      </c>
      <c r="E103" s="30" t="s">
        <v>135</v>
      </c>
      <c r="F103" s="32">
        <f>SUM(B109:E109)/B107</f>
        <v>7061.5384615384619</v>
      </c>
    </row>
    <row r="104" spans="1:6" ht="21" customHeight="1" x14ac:dyDescent="0.3">
      <c r="A104" s="29" t="s">
        <v>136</v>
      </c>
      <c r="B104" s="30">
        <v>1000</v>
      </c>
      <c r="C104" s="30" t="s">
        <v>137</v>
      </c>
      <c r="D104" s="31">
        <f>SUM(D99:D103)</f>
        <v>905000</v>
      </c>
      <c r="E104" s="30" t="s">
        <v>138</v>
      </c>
      <c r="F104" s="32">
        <f>(D104+SUM(B109:E109))/(B99+B100+B101)</f>
        <v>9854.0540540540533</v>
      </c>
    </row>
    <row r="105" spans="1:6" ht="37.049999999999997" customHeight="1" x14ac:dyDescent="0.3">
      <c r="A105" s="34" t="s">
        <v>22</v>
      </c>
      <c r="B105" s="35" t="s">
        <v>139</v>
      </c>
      <c r="C105" s="35" t="s">
        <v>140</v>
      </c>
      <c r="D105" s="35" t="s">
        <v>141</v>
      </c>
      <c r="E105" s="35" t="s">
        <v>142</v>
      </c>
      <c r="F105" s="36"/>
    </row>
    <row r="106" spans="1:6" ht="21" customHeight="1" x14ac:dyDescent="0.3">
      <c r="A106" s="29" t="s">
        <v>143</v>
      </c>
      <c r="B106" s="37">
        <f>销售收入!E45</f>
        <v>7500000</v>
      </c>
      <c r="C106" s="37">
        <f>销售收入!E46</f>
        <v>4200000</v>
      </c>
      <c r="D106" s="37">
        <f>销售收入!E47</f>
        <v>4200000</v>
      </c>
      <c r="E106" s="37">
        <f>销售收入!E48</f>
        <v>7050000</v>
      </c>
      <c r="F106" s="38"/>
    </row>
    <row r="107" spans="1:6" ht="21" customHeight="1" x14ac:dyDescent="0.3">
      <c r="A107" s="29" t="s">
        <v>144</v>
      </c>
      <c r="B107" s="30">
        <v>130</v>
      </c>
      <c r="C107" s="30"/>
      <c r="D107" s="30"/>
      <c r="E107" s="30"/>
      <c r="F107" s="38"/>
    </row>
    <row r="108" spans="1:6" ht="21" customHeight="1" x14ac:dyDescent="0.3">
      <c r="A108" s="29" t="s">
        <v>145</v>
      </c>
      <c r="B108" s="30">
        <v>0.04</v>
      </c>
      <c r="C108" s="30">
        <v>0.04</v>
      </c>
      <c r="D108" s="30">
        <v>0.04</v>
      </c>
      <c r="E108" s="30">
        <v>0.04</v>
      </c>
      <c r="F108" s="38"/>
    </row>
    <row r="109" spans="1:6" ht="21" customHeight="1" x14ac:dyDescent="0.3">
      <c r="A109" s="29" t="s">
        <v>146</v>
      </c>
      <c r="B109" s="31">
        <f>B106*B108</f>
        <v>300000</v>
      </c>
      <c r="C109" s="30">
        <f>C106*C108</f>
        <v>168000</v>
      </c>
      <c r="D109" s="30">
        <f>D106*D108</f>
        <v>168000</v>
      </c>
      <c r="E109" s="30">
        <f>E106*E108</f>
        <v>282000</v>
      </c>
      <c r="F109" s="38"/>
    </row>
    <row r="110" spans="1:6" ht="21" customHeight="1" x14ac:dyDescent="0.3">
      <c r="A110" s="29" t="s">
        <v>147</v>
      </c>
      <c r="B110" s="39">
        <f>硅料单耗计算!M51</f>
        <v>1</v>
      </c>
      <c r="C110" s="39">
        <f>硅料单耗计算!M52</f>
        <v>1.4929200153080748</v>
      </c>
      <c r="D110" s="39">
        <f>硅料单耗计算!M53</f>
        <v>1.0936361087748809</v>
      </c>
      <c r="E110" s="39">
        <f>硅料单耗计算!M54</f>
        <v>1.4309524628311383</v>
      </c>
      <c r="F110" s="38"/>
    </row>
    <row r="111" spans="1:6" ht="21" customHeight="1" x14ac:dyDescent="0.3">
      <c r="A111" s="29" t="s">
        <v>148</v>
      </c>
      <c r="B111" s="31">
        <f>+$D$8/(B110*B106+C110*C106+D110*D106+E110*E106)*(B110*B106)</f>
        <v>238561.77074008371</v>
      </c>
      <c r="C111" s="31">
        <f>+$D$8/(B110*B106+C110*C106+D110*D106+E110*E106)*(C110*C106)</f>
        <v>199446.03975811604</v>
      </c>
      <c r="D111" s="31">
        <f>+$D$8/(B110*B106+C110*C106+D110*D106+E110*E106)*(D110*D106)</f>
        <v>146103.86932659301</v>
      </c>
      <c r="E111" s="31">
        <f>+$D$8/(B110*B106+C110*C106+D110*D106+E110*E106)*(E110*E106)</f>
        <v>320888.32017520734</v>
      </c>
      <c r="F111" s="38"/>
    </row>
    <row r="112" spans="1:6" ht="22.05" customHeight="1" x14ac:dyDescent="0.3">
      <c r="A112" s="40" t="s">
        <v>149</v>
      </c>
      <c r="B112" s="41">
        <f>+B111+B109</f>
        <v>538561.77074008365</v>
      </c>
      <c r="C112" s="41">
        <f>+C111+C109</f>
        <v>367446.03975811601</v>
      </c>
      <c r="D112" s="41">
        <f>+D111+D109</f>
        <v>314103.86932659301</v>
      </c>
      <c r="E112" s="41">
        <f>+E111+E109</f>
        <v>602888.32017520734</v>
      </c>
      <c r="F112" s="42"/>
    </row>
    <row r="114" spans="1:6" ht="17.649999999999999" x14ac:dyDescent="0.3">
      <c r="A114" s="24" t="s">
        <v>8</v>
      </c>
      <c r="C114" s="105"/>
      <c r="D114" s="105"/>
      <c r="E114" s="105"/>
      <c r="F114" s="105"/>
    </row>
    <row r="115" spans="1:6" ht="21" customHeight="1" x14ac:dyDescent="0.3">
      <c r="A115" s="25" t="s">
        <v>121</v>
      </c>
      <c r="B115" s="26">
        <v>170</v>
      </c>
      <c r="C115" s="26" t="s">
        <v>122</v>
      </c>
      <c r="D115" s="27">
        <f>(B115+B117)*B119</f>
        <v>540000</v>
      </c>
      <c r="E115" s="26" t="s">
        <v>123</v>
      </c>
      <c r="F115" s="28">
        <f>SUM(D115:D116,D117:D119)</f>
        <v>905000</v>
      </c>
    </row>
    <row r="116" spans="1:6" ht="21" customHeight="1" x14ac:dyDescent="0.3">
      <c r="A116" s="29" t="s">
        <v>124</v>
      </c>
      <c r="B116" s="30">
        <v>5</v>
      </c>
      <c r="C116" s="30" t="s">
        <v>125</v>
      </c>
      <c r="D116" s="31">
        <f>B116*8000</f>
        <v>40000</v>
      </c>
      <c r="E116" s="30" t="s">
        <v>126</v>
      </c>
      <c r="F116" s="32">
        <f>SUM(B125:E125)</f>
        <v>1166000</v>
      </c>
    </row>
    <row r="117" spans="1:6" ht="21" customHeight="1" x14ac:dyDescent="0.3">
      <c r="A117" s="29" t="s">
        <v>127</v>
      </c>
      <c r="B117" s="30">
        <v>10</v>
      </c>
      <c r="C117" s="30" t="s">
        <v>128</v>
      </c>
      <c r="D117" s="31">
        <f>(B115+B117)*B120</f>
        <v>180000</v>
      </c>
      <c r="E117" s="33" t="s">
        <v>129</v>
      </c>
      <c r="F117" s="32">
        <f>SUM(F115:F116)</f>
        <v>2071000</v>
      </c>
    </row>
    <row r="118" spans="1:6" ht="21" customHeight="1" x14ac:dyDescent="0.3">
      <c r="A118" s="29" t="s">
        <v>130</v>
      </c>
      <c r="B118" s="30">
        <f>SUM(B115,B116,B117)</f>
        <v>185</v>
      </c>
      <c r="C118" s="30" t="s">
        <v>131</v>
      </c>
      <c r="D118" s="31">
        <f>D115/12</f>
        <v>45000</v>
      </c>
      <c r="E118" s="30" t="s">
        <v>132</v>
      </c>
      <c r="F118" s="32">
        <f>SUM(D115:D116,D117,D118,D119)/(B115+B116+B117)</f>
        <v>4891.8918918918916</v>
      </c>
    </row>
    <row r="119" spans="1:6" ht="21" customHeight="1" x14ac:dyDescent="0.3">
      <c r="A119" s="29" t="s">
        <v>133</v>
      </c>
      <c r="B119" s="30">
        <v>3000</v>
      </c>
      <c r="C119" s="30" t="s">
        <v>134</v>
      </c>
      <c r="D119" s="31">
        <f>B117*10000</f>
        <v>100000</v>
      </c>
      <c r="E119" s="30" t="s">
        <v>135</v>
      </c>
      <c r="F119" s="32">
        <f>SUM(B125:E125)/B123</f>
        <v>8969.2307692307695</v>
      </c>
    </row>
    <row r="120" spans="1:6" ht="21" customHeight="1" x14ac:dyDescent="0.3">
      <c r="A120" s="29" t="s">
        <v>136</v>
      </c>
      <c r="B120" s="30">
        <v>1000</v>
      </c>
      <c r="C120" s="30" t="s">
        <v>137</v>
      </c>
      <c r="D120" s="31">
        <f>SUM(D115:D119)</f>
        <v>905000</v>
      </c>
      <c r="E120" s="30" t="s">
        <v>138</v>
      </c>
      <c r="F120" s="32">
        <f>(D120+SUM(B125:E125))/(B115+B116+B117)</f>
        <v>11194.594594594595</v>
      </c>
    </row>
    <row r="121" spans="1:6" ht="37.049999999999997" customHeight="1" x14ac:dyDescent="0.3">
      <c r="A121" s="34" t="s">
        <v>22</v>
      </c>
      <c r="B121" s="35" t="s">
        <v>139</v>
      </c>
      <c r="C121" s="35" t="s">
        <v>140</v>
      </c>
      <c r="D121" s="35" t="s">
        <v>141</v>
      </c>
      <c r="E121" s="35" t="s">
        <v>142</v>
      </c>
      <c r="F121" s="36"/>
    </row>
    <row r="122" spans="1:6" ht="21" customHeight="1" x14ac:dyDescent="0.3">
      <c r="A122" s="29" t="s">
        <v>143</v>
      </c>
      <c r="B122" s="37">
        <f>销售收入!E52</f>
        <v>7600000</v>
      </c>
      <c r="C122" s="37">
        <f>销售收入!E53</f>
        <v>4500000</v>
      </c>
      <c r="D122" s="37">
        <f>销售收入!E54</f>
        <v>8800000</v>
      </c>
      <c r="E122" s="37">
        <f>销售收入!E55</f>
        <v>8250000</v>
      </c>
      <c r="F122" s="38"/>
    </row>
    <row r="123" spans="1:6" ht="21" customHeight="1" x14ac:dyDescent="0.3">
      <c r="A123" s="29" t="s">
        <v>144</v>
      </c>
      <c r="B123" s="30">
        <v>130</v>
      </c>
      <c r="C123" s="30"/>
      <c r="D123" s="30"/>
      <c r="E123" s="30"/>
      <c r="F123" s="38"/>
    </row>
    <row r="124" spans="1:6" ht="21" customHeight="1" x14ac:dyDescent="0.3">
      <c r="A124" s="29" t="s">
        <v>145</v>
      </c>
      <c r="B124" s="30">
        <v>0.04</v>
      </c>
      <c r="C124" s="30">
        <v>0.04</v>
      </c>
      <c r="D124" s="30">
        <v>0.04</v>
      </c>
      <c r="E124" s="30">
        <v>0.04</v>
      </c>
      <c r="F124" s="38"/>
    </row>
    <row r="125" spans="1:6" ht="21" customHeight="1" x14ac:dyDescent="0.3">
      <c r="A125" s="29" t="s">
        <v>146</v>
      </c>
      <c r="B125" s="31">
        <f>B122*B124</f>
        <v>304000</v>
      </c>
      <c r="C125" s="30">
        <f>C122*C124</f>
        <v>180000</v>
      </c>
      <c r="D125" s="30">
        <f>D122*D124</f>
        <v>352000</v>
      </c>
      <c r="E125" s="30">
        <f>E122*E124</f>
        <v>330000</v>
      </c>
      <c r="F125" s="38"/>
    </row>
    <row r="126" spans="1:6" ht="21" customHeight="1" x14ac:dyDescent="0.3">
      <c r="A126" s="29" t="s">
        <v>147</v>
      </c>
      <c r="B126" s="39">
        <f>硅料单耗计算!M59</f>
        <v>1</v>
      </c>
      <c r="C126" s="39">
        <f>硅料单耗计算!M60</f>
        <v>1.4387865655471292</v>
      </c>
      <c r="D126" s="39">
        <f>硅料单耗计算!M61</f>
        <v>1.1042128603104213</v>
      </c>
      <c r="E126" s="39">
        <f>硅料单耗计算!M62</f>
        <v>1.4811468850466065</v>
      </c>
      <c r="F126" s="38"/>
    </row>
    <row r="127" spans="1:6" ht="21" customHeight="1" x14ac:dyDescent="0.3">
      <c r="A127" s="29" t="s">
        <v>148</v>
      </c>
      <c r="B127" s="31">
        <f>+$D$8/(B126*B122+C126*C122+D126*D122+E126*E122)*(B126*B122)</f>
        <v>190996.80007299842</v>
      </c>
      <c r="C127" s="31">
        <f>+$D$8/(B126*B122+C126*C122+D126*D122+E126*E122)*(C126*C122)</f>
        <v>162712.67566234802</v>
      </c>
      <c r="D127" s="31">
        <f>+$D$8/(B126*B122+C126*C122+D126*D122+E126*E122)*(D126*D122)</f>
        <v>244201.30022170275</v>
      </c>
      <c r="E127" s="31">
        <f>+$D$8/(B126*B122+C126*C122+D126*D122+E126*E122)*(E126*E122)</f>
        <v>307089.22404295084</v>
      </c>
      <c r="F127" s="38"/>
    </row>
    <row r="128" spans="1:6" ht="22.05" customHeight="1" x14ac:dyDescent="0.3">
      <c r="A128" s="40" t="s">
        <v>149</v>
      </c>
      <c r="B128" s="41">
        <f>+B127+B125</f>
        <v>494996.80007299839</v>
      </c>
      <c r="C128" s="41">
        <f>+C127+C125</f>
        <v>342712.67566234805</v>
      </c>
      <c r="D128" s="41">
        <f>+D127+D125</f>
        <v>596201.30022170278</v>
      </c>
      <c r="E128" s="41">
        <f>+E127+E125</f>
        <v>637089.2240429509</v>
      </c>
      <c r="F128" s="42"/>
    </row>
  </sheetData>
  <mergeCells count="16">
    <mergeCell ref="C98:D98"/>
    <mergeCell ref="E98:F98"/>
    <mergeCell ref="C114:D114"/>
    <mergeCell ref="E114:F114"/>
    <mergeCell ref="C50:D50"/>
    <mergeCell ref="E50:F50"/>
    <mergeCell ref="C66:D66"/>
    <mergeCell ref="E66:F66"/>
    <mergeCell ref="C82:D82"/>
    <mergeCell ref="E82:F82"/>
    <mergeCell ref="C2:D2"/>
    <mergeCell ref="E2:F2"/>
    <mergeCell ref="C18:D18"/>
    <mergeCell ref="E18:F18"/>
    <mergeCell ref="C34:D34"/>
    <mergeCell ref="E34:F34"/>
  </mergeCells>
  <phoneticPr fontId="15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2"/>
  <sheetViews>
    <sheetView workbookViewId="0">
      <pane xSplit="1" ySplit="2" topLeftCell="B8" activePane="bottomRight" state="frozen"/>
      <selection pane="topRight"/>
      <selection pane="bottomLeft"/>
      <selection pane="bottomRight" activeCell="G17" sqref="G17"/>
    </sheetView>
  </sheetViews>
  <sheetFormatPr defaultColWidth="9.796875" defaultRowHeight="15.75" x14ac:dyDescent="0.3"/>
  <cols>
    <col min="1" max="2" width="15.19921875" style="1" customWidth="1"/>
    <col min="3" max="6" width="10.33203125" style="1"/>
    <col min="7" max="7" width="12.59765625" style="1" customWidth="1"/>
    <col min="8" max="8" width="10.33203125" style="1" customWidth="1"/>
    <col min="9" max="9" width="12.59765625" style="1" customWidth="1"/>
    <col min="10" max="10" width="10.33203125" style="1" customWidth="1"/>
    <col min="11" max="11" width="6" style="1" customWidth="1"/>
    <col min="12" max="12" width="12.59765625" style="1" customWidth="1"/>
    <col min="13" max="16384" width="9.796875" style="1"/>
  </cols>
  <sheetData>
    <row r="1" spans="1:9" ht="20.2" customHeight="1" x14ac:dyDescent="0.3">
      <c r="A1" s="2" t="s">
        <v>15</v>
      </c>
      <c r="B1" s="3"/>
      <c r="C1" s="3"/>
      <c r="D1" s="4"/>
      <c r="E1" s="4"/>
      <c r="F1" s="4"/>
      <c r="G1" s="4"/>
      <c r="H1" s="4"/>
      <c r="I1" s="11"/>
    </row>
    <row r="2" spans="1:9" ht="20.2" customHeight="1" x14ac:dyDescent="0.3">
      <c r="A2" s="5" t="s">
        <v>150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12" t="s">
        <v>8</v>
      </c>
    </row>
    <row r="3" spans="1:9" ht="20.2" customHeight="1" x14ac:dyDescent="0.3">
      <c r="A3" s="5" t="s">
        <v>151</v>
      </c>
      <c r="B3" s="7">
        <v>52800</v>
      </c>
      <c r="C3" s="7">
        <v>54450</v>
      </c>
      <c r="D3" s="7">
        <v>51810</v>
      </c>
      <c r="E3" s="7">
        <v>55770</v>
      </c>
      <c r="F3" s="7">
        <v>60060</v>
      </c>
      <c r="G3" s="7">
        <v>54120</v>
      </c>
      <c r="H3" s="7">
        <v>60060</v>
      </c>
      <c r="I3" s="13">
        <v>56760</v>
      </c>
    </row>
    <row r="4" spans="1:9" ht="20.2" customHeight="1" x14ac:dyDescent="0.3">
      <c r="A4" s="5" t="s">
        <v>152</v>
      </c>
      <c r="B4" s="7">
        <v>1650</v>
      </c>
      <c r="C4" s="7">
        <v>1650</v>
      </c>
      <c r="D4" s="7">
        <v>1650</v>
      </c>
      <c r="E4" s="7">
        <v>1650</v>
      </c>
      <c r="F4" s="7">
        <v>1650</v>
      </c>
      <c r="G4" s="7">
        <v>1650</v>
      </c>
      <c r="H4" s="7">
        <v>1650</v>
      </c>
      <c r="I4" s="13">
        <v>1650</v>
      </c>
    </row>
    <row r="5" spans="1:9" ht="20.2" customHeight="1" x14ac:dyDescent="0.3">
      <c r="A5" s="5" t="s">
        <v>153</v>
      </c>
      <c r="B5" s="7">
        <v>9900</v>
      </c>
      <c r="C5" s="7">
        <v>11550</v>
      </c>
      <c r="D5" s="7">
        <v>9900</v>
      </c>
      <c r="E5" s="7">
        <v>8250</v>
      </c>
      <c r="F5" s="7">
        <v>9900</v>
      </c>
      <c r="G5" s="7">
        <v>8250</v>
      </c>
      <c r="H5" s="7">
        <v>9900</v>
      </c>
      <c r="I5" s="13">
        <v>9900</v>
      </c>
    </row>
    <row r="6" spans="1:9" ht="20.2" customHeight="1" x14ac:dyDescent="0.3">
      <c r="A6" s="5" t="s">
        <v>154</v>
      </c>
      <c r="B6" s="7">
        <v>9900</v>
      </c>
      <c r="C6" s="7">
        <v>9900</v>
      </c>
      <c r="D6" s="7">
        <v>9900</v>
      </c>
      <c r="E6" s="7">
        <v>9900</v>
      </c>
      <c r="F6" s="7">
        <v>9900</v>
      </c>
      <c r="G6" s="7">
        <v>9900</v>
      </c>
      <c r="H6" s="7">
        <v>9900</v>
      </c>
      <c r="I6" s="13">
        <v>9900</v>
      </c>
    </row>
    <row r="7" spans="1:9" ht="20.2" customHeight="1" x14ac:dyDescent="0.3">
      <c r="A7" s="5" t="s">
        <v>155</v>
      </c>
      <c r="B7" s="7">
        <v>792</v>
      </c>
      <c r="C7" s="7">
        <v>792</v>
      </c>
      <c r="D7" s="7">
        <v>792</v>
      </c>
      <c r="E7" s="7">
        <v>792</v>
      </c>
      <c r="F7" s="7">
        <v>792</v>
      </c>
      <c r="G7" s="7">
        <v>792</v>
      </c>
      <c r="H7" s="7">
        <v>792</v>
      </c>
      <c r="I7" s="13">
        <v>792</v>
      </c>
    </row>
    <row r="8" spans="1:9" ht="20.2" customHeight="1" x14ac:dyDescent="0.3">
      <c r="A8" s="5" t="s">
        <v>156</v>
      </c>
      <c r="B8" s="7">
        <v>495</v>
      </c>
      <c r="C8" s="7">
        <v>495</v>
      </c>
      <c r="D8" s="7">
        <v>495</v>
      </c>
      <c r="E8" s="7">
        <v>495</v>
      </c>
      <c r="F8" s="7">
        <v>495</v>
      </c>
      <c r="G8" s="7">
        <v>495</v>
      </c>
      <c r="H8" s="7">
        <v>495</v>
      </c>
      <c r="I8" s="13">
        <v>495</v>
      </c>
    </row>
    <row r="9" spans="1:9" ht="20.2" customHeight="1" x14ac:dyDescent="0.3">
      <c r="A9" s="5" t="s">
        <v>157</v>
      </c>
      <c r="B9" s="7">
        <v>330</v>
      </c>
      <c r="C9" s="7">
        <v>330</v>
      </c>
      <c r="D9" s="7">
        <v>330</v>
      </c>
      <c r="E9" s="7">
        <v>330</v>
      </c>
      <c r="F9" s="7">
        <v>330</v>
      </c>
      <c r="G9" s="7">
        <v>330</v>
      </c>
      <c r="H9" s="7">
        <v>330</v>
      </c>
      <c r="I9" s="13">
        <v>330</v>
      </c>
    </row>
    <row r="10" spans="1:9" ht="20.2" customHeight="1" x14ac:dyDescent="0.3">
      <c r="A10" s="5" t="s">
        <v>158</v>
      </c>
      <c r="B10" s="7">
        <v>1650</v>
      </c>
      <c r="C10" s="7">
        <v>1650</v>
      </c>
      <c r="D10" s="7">
        <v>1650</v>
      </c>
      <c r="E10" s="7">
        <v>1650</v>
      </c>
      <c r="F10" s="7">
        <v>1650</v>
      </c>
      <c r="G10" s="7">
        <v>1650</v>
      </c>
      <c r="H10" s="7">
        <v>1650</v>
      </c>
      <c r="I10" s="13">
        <v>1650</v>
      </c>
    </row>
    <row r="11" spans="1:9" ht="20.2" customHeight="1" x14ac:dyDescent="0.3">
      <c r="A11" s="5" t="s">
        <v>159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13">
        <v>0</v>
      </c>
    </row>
    <row r="12" spans="1:9" ht="20.2" customHeight="1" x14ac:dyDescent="0.3">
      <c r="A12" s="148" t="s">
        <v>160</v>
      </c>
      <c r="B12" s="149">
        <v>660</v>
      </c>
      <c r="C12" s="149">
        <v>0</v>
      </c>
      <c r="D12" s="149">
        <v>495</v>
      </c>
      <c r="E12" s="149">
        <v>561</v>
      </c>
      <c r="F12" s="149">
        <v>0</v>
      </c>
      <c r="G12" s="149">
        <v>1650</v>
      </c>
      <c r="H12" s="149">
        <v>0</v>
      </c>
      <c r="I12" s="150">
        <v>990</v>
      </c>
    </row>
    <row r="13" spans="1:9" ht="20.2" customHeight="1" x14ac:dyDescent="0.3">
      <c r="A13" s="5" t="s">
        <v>161</v>
      </c>
      <c r="B13" s="7">
        <v>9900</v>
      </c>
      <c r="C13" s="7">
        <v>9900</v>
      </c>
      <c r="D13" s="7">
        <v>9900</v>
      </c>
      <c r="E13" s="7">
        <v>9900</v>
      </c>
      <c r="F13" s="7">
        <v>9900</v>
      </c>
      <c r="G13" s="7">
        <v>9900</v>
      </c>
      <c r="H13" s="7">
        <v>9900</v>
      </c>
      <c r="I13" s="13">
        <v>9900</v>
      </c>
    </row>
    <row r="14" spans="1:9" ht="20.2" customHeight="1" x14ac:dyDescent="0.3">
      <c r="A14" s="5" t="s">
        <v>162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13">
        <v>0</v>
      </c>
    </row>
    <row r="15" spans="1:9" ht="20.2" customHeight="1" x14ac:dyDescent="0.3">
      <c r="A15" s="148" t="s">
        <v>163</v>
      </c>
      <c r="B15" s="149">
        <v>9900</v>
      </c>
      <c r="C15" s="149">
        <v>3300</v>
      </c>
      <c r="D15" s="149">
        <v>8382</v>
      </c>
      <c r="E15" s="149">
        <v>1650</v>
      </c>
      <c r="F15" s="149">
        <v>990</v>
      </c>
      <c r="G15" s="149">
        <v>5610</v>
      </c>
      <c r="H15" s="149">
        <v>1980</v>
      </c>
      <c r="I15" s="150">
        <v>11550</v>
      </c>
    </row>
    <row r="16" spans="1:9" ht="20.2" customHeight="1" x14ac:dyDescent="0.3">
      <c r="A16" s="5" t="s">
        <v>164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13">
        <v>0</v>
      </c>
    </row>
    <row r="17" spans="1:12" ht="20.2" customHeight="1" x14ac:dyDescent="0.3">
      <c r="A17" s="5" t="s">
        <v>165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13">
        <v>0</v>
      </c>
    </row>
    <row r="18" spans="1:12" ht="20.2" customHeight="1" x14ac:dyDescent="0.3">
      <c r="A18" s="5" t="s">
        <v>166</v>
      </c>
      <c r="B18" s="7">
        <v>165</v>
      </c>
      <c r="C18" s="7">
        <v>165</v>
      </c>
      <c r="D18" s="7">
        <v>165</v>
      </c>
      <c r="E18" s="7">
        <v>165</v>
      </c>
      <c r="F18" s="7">
        <v>165</v>
      </c>
      <c r="G18" s="7">
        <v>165</v>
      </c>
      <c r="H18" s="7">
        <v>165</v>
      </c>
      <c r="I18" s="13">
        <v>165</v>
      </c>
    </row>
    <row r="19" spans="1:12" ht="20.2" customHeight="1" x14ac:dyDescent="0.3">
      <c r="A19" s="5" t="s">
        <v>167</v>
      </c>
      <c r="B19" s="7">
        <v>660</v>
      </c>
      <c r="C19" s="7">
        <v>660</v>
      </c>
      <c r="D19" s="7">
        <v>660</v>
      </c>
      <c r="E19" s="7">
        <v>660</v>
      </c>
      <c r="F19" s="7">
        <v>660</v>
      </c>
      <c r="G19" s="7">
        <v>660</v>
      </c>
      <c r="H19" s="7">
        <v>660</v>
      </c>
      <c r="I19" s="13">
        <v>660</v>
      </c>
    </row>
    <row r="20" spans="1:12" ht="20.2" customHeight="1" x14ac:dyDescent="0.3">
      <c r="A20" s="8" t="s">
        <v>168</v>
      </c>
      <c r="B20" s="19">
        <f>SUM(B3:B19)</f>
        <v>98802</v>
      </c>
      <c r="C20" s="19">
        <f t="shared" ref="C20:I20" si="0">SUM(C3:C19)</f>
        <v>94842</v>
      </c>
      <c r="D20" s="19">
        <f t="shared" si="0"/>
        <v>96129</v>
      </c>
      <c r="E20" s="19">
        <f t="shared" si="0"/>
        <v>91773</v>
      </c>
      <c r="F20" s="19">
        <f t="shared" si="0"/>
        <v>96492</v>
      </c>
      <c r="G20" s="19">
        <f t="shared" si="0"/>
        <v>95172</v>
      </c>
      <c r="H20" s="19">
        <f t="shared" si="0"/>
        <v>97482</v>
      </c>
      <c r="I20" s="23">
        <f t="shared" si="0"/>
        <v>104742</v>
      </c>
      <c r="L20" s="10"/>
    </row>
    <row r="21" spans="1:12" ht="20.2" customHeight="1" x14ac:dyDescent="0.3">
      <c r="G21" s="10"/>
      <c r="I21" s="10"/>
      <c r="L21" s="10"/>
    </row>
    <row r="22" spans="1:12" ht="20.2" customHeight="1" x14ac:dyDescent="0.3">
      <c r="G22" s="10"/>
      <c r="I22" s="10"/>
      <c r="L22" s="10"/>
    </row>
    <row r="23" spans="1:12" ht="20.2" customHeight="1" x14ac:dyDescent="0.3">
      <c r="G23" s="10"/>
      <c r="I23" s="10"/>
      <c r="L23" s="10"/>
    </row>
    <row r="24" spans="1:12" ht="20.2" customHeight="1" x14ac:dyDescent="0.3">
      <c r="G24" s="10"/>
      <c r="I24" s="10"/>
      <c r="L24" s="10"/>
    </row>
    <row r="25" spans="1:12" ht="20.2" customHeight="1" x14ac:dyDescent="0.3">
      <c r="G25" s="10"/>
      <c r="I25" s="10"/>
      <c r="L25" s="10"/>
    </row>
    <row r="26" spans="1:12" ht="20.2" customHeight="1" x14ac:dyDescent="0.3">
      <c r="G26" s="10"/>
      <c r="I26" s="10"/>
      <c r="L26" s="10"/>
    </row>
    <row r="27" spans="1:12" ht="20.2" customHeight="1" x14ac:dyDescent="0.3">
      <c r="C27" s="20"/>
    </row>
    <row r="28" spans="1:12" ht="20.2" customHeight="1" x14ac:dyDescent="0.3">
      <c r="B28" s="21"/>
    </row>
    <row r="29" spans="1:12" ht="20.2" customHeight="1" x14ac:dyDescent="0.3">
      <c r="B29" s="10"/>
      <c r="C29" s="20"/>
    </row>
    <row r="30" spans="1:12" ht="20.2" customHeight="1" x14ac:dyDescent="0.3">
      <c r="B30" s="10"/>
    </row>
    <row r="31" spans="1:12" ht="20.2" customHeight="1" x14ac:dyDescent="0.3">
      <c r="B31" s="22"/>
      <c r="C31" s="20"/>
    </row>
    <row r="32" spans="1:12" ht="20.2" customHeight="1" x14ac:dyDescent="0.3">
      <c r="B32" s="22"/>
    </row>
  </sheetData>
  <phoneticPr fontId="1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>
      <pane xSplit="1" ySplit="2" topLeftCell="B15" activePane="bottomRight" state="frozen"/>
      <selection pane="topRight"/>
      <selection pane="bottomLeft"/>
      <selection pane="bottomRight" activeCell="E24" sqref="E24"/>
    </sheetView>
  </sheetViews>
  <sheetFormatPr defaultColWidth="9.796875" defaultRowHeight="15.75" x14ac:dyDescent="0.3"/>
  <cols>
    <col min="1" max="2" width="15.19921875" style="1" customWidth="1"/>
    <col min="3" max="6" width="14" style="1"/>
    <col min="7" max="7" width="12.59765625" style="1" customWidth="1"/>
    <col min="8" max="8" width="12.06640625" style="1" customWidth="1"/>
    <col min="9" max="9" width="12.59765625" style="1" customWidth="1"/>
    <col min="10" max="10" width="10.33203125" style="1" customWidth="1"/>
    <col min="11" max="11" width="6" style="1" customWidth="1"/>
    <col min="12" max="12" width="12.59765625" style="1" customWidth="1"/>
    <col min="13" max="17" width="12.59765625" style="1"/>
    <col min="18" max="16384" width="9.796875" style="1"/>
  </cols>
  <sheetData>
    <row r="1" spans="1:9" ht="20.2" customHeight="1" x14ac:dyDescent="0.3">
      <c r="A1" s="2" t="s">
        <v>16</v>
      </c>
      <c r="B1" s="4"/>
      <c r="C1" s="4"/>
      <c r="D1" s="4"/>
      <c r="E1" s="4"/>
      <c r="F1" s="4"/>
      <c r="G1" s="4"/>
      <c r="H1" s="4"/>
      <c r="I1" s="11"/>
    </row>
    <row r="2" spans="1:9" ht="20.2" customHeight="1" x14ac:dyDescent="0.3">
      <c r="A2" s="5" t="s">
        <v>150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12" t="s">
        <v>8</v>
      </c>
    </row>
    <row r="3" spans="1:9" ht="20.2" customHeight="1" x14ac:dyDescent="0.3">
      <c r="A3" s="5" t="s">
        <v>156</v>
      </c>
      <c r="B3" s="15">
        <v>18150</v>
      </c>
      <c r="C3" s="15">
        <v>14850</v>
      </c>
      <c r="D3" s="15">
        <v>16500</v>
      </c>
      <c r="E3" s="15">
        <v>9900</v>
      </c>
      <c r="F3" s="15">
        <v>11550</v>
      </c>
      <c r="G3" s="15">
        <v>16500</v>
      </c>
      <c r="H3" s="15">
        <v>13200</v>
      </c>
      <c r="I3" s="17">
        <v>12210</v>
      </c>
    </row>
    <row r="4" spans="1:9" ht="20.2" customHeight="1" x14ac:dyDescent="0.3">
      <c r="A4" s="5" t="s">
        <v>169</v>
      </c>
      <c r="B4" s="15">
        <v>2937</v>
      </c>
      <c r="C4" s="15">
        <v>2310</v>
      </c>
      <c r="D4" s="15">
        <v>2640</v>
      </c>
      <c r="E4" s="15">
        <v>2937</v>
      </c>
      <c r="F4" s="15">
        <v>2475</v>
      </c>
      <c r="G4" s="15">
        <v>2640</v>
      </c>
      <c r="H4" s="15">
        <v>2937</v>
      </c>
      <c r="I4" s="17">
        <v>2970</v>
      </c>
    </row>
    <row r="5" spans="1:9" ht="20.2" customHeight="1" x14ac:dyDescent="0.3">
      <c r="A5" s="5" t="s">
        <v>153</v>
      </c>
      <c r="B5" s="15">
        <v>6600</v>
      </c>
      <c r="C5" s="15">
        <v>6600</v>
      </c>
      <c r="D5" s="15">
        <v>6600</v>
      </c>
      <c r="E5" s="15">
        <v>6600</v>
      </c>
      <c r="F5" s="15">
        <v>6600</v>
      </c>
      <c r="G5" s="15">
        <v>8250</v>
      </c>
      <c r="H5" s="15">
        <v>8910</v>
      </c>
      <c r="I5" s="17">
        <v>7260</v>
      </c>
    </row>
    <row r="6" spans="1:9" ht="20.2" customHeight="1" x14ac:dyDescent="0.3">
      <c r="A6" s="5" t="s">
        <v>170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7">
        <v>0</v>
      </c>
    </row>
    <row r="7" spans="1:9" ht="20.2" customHeight="1" x14ac:dyDescent="0.3">
      <c r="A7" s="5" t="s">
        <v>152</v>
      </c>
      <c r="B7" s="15">
        <v>3960</v>
      </c>
      <c r="C7" s="15">
        <v>3960</v>
      </c>
      <c r="D7" s="15">
        <v>3960</v>
      </c>
      <c r="E7" s="15">
        <v>3960</v>
      </c>
      <c r="F7" s="15">
        <v>3960</v>
      </c>
      <c r="G7" s="15">
        <v>3960</v>
      </c>
      <c r="H7" s="15">
        <v>3960</v>
      </c>
      <c r="I7" s="17">
        <v>3960</v>
      </c>
    </row>
    <row r="8" spans="1:9" ht="20.2" customHeight="1" x14ac:dyDescent="0.3">
      <c r="A8" s="5" t="s">
        <v>154</v>
      </c>
      <c r="B8" s="15">
        <v>13200</v>
      </c>
      <c r="C8" s="15">
        <v>13200</v>
      </c>
      <c r="D8" s="15">
        <v>13200</v>
      </c>
      <c r="E8" s="15">
        <v>13200</v>
      </c>
      <c r="F8" s="15">
        <v>13200</v>
      </c>
      <c r="G8" s="15">
        <v>13200</v>
      </c>
      <c r="H8" s="15">
        <v>13200</v>
      </c>
      <c r="I8" s="17">
        <v>13200</v>
      </c>
    </row>
    <row r="9" spans="1:9" ht="20.2" customHeight="1" x14ac:dyDescent="0.3">
      <c r="A9" s="5" t="s">
        <v>151</v>
      </c>
      <c r="B9" s="15">
        <v>264000</v>
      </c>
      <c r="C9" s="15">
        <v>270600</v>
      </c>
      <c r="D9" s="15">
        <v>297000</v>
      </c>
      <c r="E9" s="15">
        <v>283800</v>
      </c>
      <c r="F9" s="15">
        <v>254100</v>
      </c>
      <c r="G9" s="15">
        <v>280500</v>
      </c>
      <c r="H9" s="15">
        <v>273900</v>
      </c>
      <c r="I9" s="17">
        <v>287100</v>
      </c>
    </row>
    <row r="10" spans="1:9" ht="20.2" customHeight="1" x14ac:dyDescent="0.3">
      <c r="A10" s="5" t="s">
        <v>171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7">
        <v>0</v>
      </c>
    </row>
    <row r="11" spans="1:9" ht="20.2" customHeight="1" x14ac:dyDescent="0.3">
      <c r="A11" s="5" t="s">
        <v>172</v>
      </c>
      <c r="B11" s="15">
        <v>4950</v>
      </c>
      <c r="C11" s="15">
        <v>4620</v>
      </c>
      <c r="D11" s="15">
        <v>5280</v>
      </c>
      <c r="E11" s="15">
        <v>4290</v>
      </c>
      <c r="F11" s="15">
        <v>5610</v>
      </c>
      <c r="G11" s="15">
        <v>5280</v>
      </c>
      <c r="H11" s="15">
        <v>6270</v>
      </c>
      <c r="I11" s="17">
        <v>4620</v>
      </c>
    </row>
    <row r="12" spans="1:9" ht="20.2" customHeight="1" x14ac:dyDescent="0.3">
      <c r="A12" s="5" t="s">
        <v>173</v>
      </c>
      <c r="B12" s="15">
        <v>16500</v>
      </c>
      <c r="C12" s="15">
        <v>16500</v>
      </c>
      <c r="D12" s="15">
        <v>16500</v>
      </c>
      <c r="E12" s="15">
        <v>16500</v>
      </c>
      <c r="F12" s="15">
        <v>16500</v>
      </c>
      <c r="G12" s="15">
        <v>16500</v>
      </c>
      <c r="H12" s="15">
        <v>16500</v>
      </c>
      <c r="I12" s="17">
        <v>16500</v>
      </c>
    </row>
    <row r="13" spans="1:9" ht="20.2" customHeight="1" x14ac:dyDescent="0.3">
      <c r="A13" s="5" t="s">
        <v>174</v>
      </c>
      <c r="B13" s="15">
        <v>3300</v>
      </c>
      <c r="C13" s="15">
        <v>1650</v>
      </c>
      <c r="D13" s="15">
        <v>2310</v>
      </c>
      <c r="E13" s="15">
        <v>1980</v>
      </c>
      <c r="F13" s="15">
        <v>2640</v>
      </c>
      <c r="G13" s="15">
        <v>2970</v>
      </c>
      <c r="H13" s="15">
        <v>1650</v>
      </c>
      <c r="I13" s="17">
        <v>3630</v>
      </c>
    </row>
    <row r="14" spans="1:9" ht="20.2" customHeight="1" x14ac:dyDescent="0.3">
      <c r="A14" s="5" t="s">
        <v>175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7">
        <v>0</v>
      </c>
    </row>
    <row r="15" spans="1:9" ht="20.2" customHeight="1" x14ac:dyDescent="0.3">
      <c r="A15" s="5" t="s">
        <v>176</v>
      </c>
      <c r="B15" s="15">
        <v>660</v>
      </c>
      <c r="C15" s="15">
        <v>660</v>
      </c>
      <c r="D15" s="15">
        <v>660</v>
      </c>
      <c r="E15" s="15">
        <v>660</v>
      </c>
      <c r="F15" s="15">
        <v>660</v>
      </c>
      <c r="G15" s="15">
        <v>660</v>
      </c>
      <c r="H15" s="15">
        <v>660</v>
      </c>
      <c r="I15" s="17">
        <v>660</v>
      </c>
    </row>
    <row r="16" spans="1:9" ht="20.2" customHeight="1" x14ac:dyDescent="0.3">
      <c r="A16" s="5" t="s">
        <v>177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7">
        <v>0</v>
      </c>
    </row>
    <row r="17" spans="1:9" ht="20.2" customHeight="1" x14ac:dyDescent="0.3">
      <c r="A17" s="5" t="s">
        <v>178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7">
        <v>0</v>
      </c>
    </row>
    <row r="18" spans="1:9" ht="20.2" customHeight="1" x14ac:dyDescent="0.3">
      <c r="A18" s="5" t="s">
        <v>179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7">
        <v>0</v>
      </c>
    </row>
    <row r="19" spans="1:9" ht="20.2" customHeight="1" x14ac:dyDescent="0.3">
      <c r="A19" s="5" t="s">
        <v>180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7">
        <v>0</v>
      </c>
    </row>
    <row r="20" spans="1:9" ht="20.2" customHeight="1" x14ac:dyDescent="0.3">
      <c r="A20" s="5" t="s">
        <v>181</v>
      </c>
      <c r="B20" s="15">
        <v>80190</v>
      </c>
      <c r="C20" s="15">
        <v>80190</v>
      </c>
      <c r="D20" s="15">
        <v>80190</v>
      </c>
      <c r="E20" s="15">
        <v>80190</v>
      </c>
      <c r="F20" s="15">
        <v>80190</v>
      </c>
      <c r="G20" s="15">
        <v>80190</v>
      </c>
      <c r="H20" s="15">
        <v>80190</v>
      </c>
      <c r="I20" s="17">
        <v>80190</v>
      </c>
    </row>
    <row r="21" spans="1:9" ht="20.2" customHeight="1" x14ac:dyDescent="0.3">
      <c r="A21" s="5" t="s">
        <v>158</v>
      </c>
      <c r="B21" s="15">
        <v>1023</v>
      </c>
      <c r="C21" s="15">
        <v>1023</v>
      </c>
      <c r="D21" s="15">
        <v>1023</v>
      </c>
      <c r="E21" s="15">
        <v>1023</v>
      </c>
      <c r="F21" s="15">
        <v>1023</v>
      </c>
      <c r="G21" s="15">
        <v>1023</v>
      </c>
      <c r="H21" s="15">
        <v>1023</v>
      </c>
      <c r="I21" s="17">
        <v>1023</v>
      </c>
    </row>
    <row r="22" spans="1:9" ht="20.2" customHeight="1" x14ac:dyDescent="0.3">
      <c r="A22" s="5" t="s">
        <v>182</v>
      </c>
      <c r="B22" s="15">
        <v>9900</v>
      </c>
      <c r="C22" s="15">
        <v>9900</v>
      </c>
      <c r="D22" s="15">
        <v>9900</v>
      </c>
      <c r="E22" s="15">
        <v>9900</v>
      </c>
      <c r="F22" s="15">
        <v>9900</v>
      </c>
      <c r="G22" s="15">
        <v>9900</v>
      </c>
      <c r="H22" s="15">
        <v>9900</v>
      </c>
      <c r="I22" s="17">
        <v>9900</v>
      </c>
    </row>
    <row r="23" spans="1:9" ht="20.2" customHeight="1" x14ac:dyDescent="0.3">
      <c r="A23" s="5" t="s">
        <v>183</v>
      </c>
      <c r="B23" s="15">
        <v>125128.4166</v>
      </c>
      <c r="C23" s="15">
        <v>125128.4166</v>
      </c>
      <c r="D23" s="15">
        <v>125128.4166</v>
      </c>
      <c r="E23" s="15">
        <v>125128.4166</v>
      </c>
      <c r="F23" s="15">
        <v>125128.4166</v>
      </c>
      <c r="G23" s="15">
        <v>125128.4166</v>
      </c>
      <c r="H23" s="15">
        <v>125128.4166</v>
      </c>
      <c r="I23" s="17">
        <v>125128.4166</v>
      </c>
    </row>
    <row r="24" spans="1:9" ht="20.2" customHeight="1" x14ac:dyDescent="0.3">
      <c r="A24" s="8" t="s">
        <v>168</v>
      </c>
      <c r="B24" s="16">
        <v>550498.4166</v>
      </c>
      <c r="C24" s="16">
        <v>551191.4166</v>
      </c>
      <c r="D24" s="16">
        <v>580891.4166</v>
      </c>
      <c r="E24" s="16">
        <v>560068.4166</v>
      </c>
      <c r="F24" s="16">
        <v>533536.4166</v>
      </c>
      <c r="G24" s="16">
        <v>566701.4166</v>
      </c>
      <c r="H24" s="16">
        <v>557428.4166</v>
      </c>
      <c r="I24" s="18">
        <v>568351.4166</v>
      </c>
    </row>
  </sheetData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硅料单耗计算</vt:lpstr>
      <vt:lpstr>耗材价格</vt:lpstr>
      <vt:lpstr>销售收入</vt:lpstr>
      <vt:lpstr>生产变动成本</vt:lpstr>
      <vt:lpstr>生产公用成本</vt:lpstr>
      <vt:lpstr>人工成本</vt:lpstr>
      <vt:lpstr>销售费用</vt:lpstr>
      <vt:lpstr>管理费用</vt:lpstr>
      <vt:lpstr>财务费用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huzbdd</dc:creator>
  <cp:lastModifiedBy>wen min</cp:lastModifiedBy>
  <cp:lastPrinted>2025-03-05T09:44:00Z</cp:lastPrinted>
  <dcterms:created xsi:type="dcterms:W3CDTF">2023-05-12T11:15:00Z</dcterms:created>
  <dcterms:modified xsi:type="dcterms:W3CDTF">2025-04-17T15:25:26Z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248C68771DEA44CFB34F147E6D80E990_12</vt:lpwstr>
  </property>
</Properties>
</file>