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hidden="1" localSheetId="0" name="_xlnm._FilterDatabase">Sheet2!$A$1:$BL$1470</definedName>
  </definedNames>
  <calcPr/>
</workbook>
</file>

<file path=xl/sharedStrings.xml><?xml version="1.0" encoding="utf-8"?>
<sst xmlns="http://schemas.openxmlformats.org/spreadsheetml/2006/main" count="24230" uniqueCount="4725">
  <si>
    <t>Insurance Company</t>
  </si>
  <si>
    <t>Line Of Business</t>
  </si>
  <si>
    <t>New/Renewal</t>
  </si>
  <si>
    <t>رقم الوثيقة</t>
  </si>
  <si>
    <t>اسم العميل</t>
  </si>
  <si>
    <t>تاريخ الوثيقة</t>
  </si>
  <si>
    <t>تاريخ بدء التأمين</t>
  </si>
  <si>
    <t>تاريخ انتهاء التأمين</t>
  </si>
  <si>
    <t>telephone</t>
  </si>
  <si>
    <t>Month</t>
  </si>
  <si>
    <t>Paid Insurance Status</t>
  </si>
  <si>
    <t>Net Premium</t>
  </si>
  <si>
    <t>Gross Premium</t>
  </si>
  <si>
    <t>Collection Status</t>
  </si>
  <si>
    <t>Payment Method</t>
  </si>
  <si>
    <t>Showroom Name</t>
  </si>
  <si>
    <t>end date</t>
  </si>
  <si>
    <t>sales In</t>
  </si>
  <si>
    <t>sales Out</t>
  </si>
  <si>
    <t>kind of Police</t>
  </si>
  <si>
    <t>amount of car</t>
  </si>
  <si>
    <t>Chassis No</t>
  </si>
  <si>
    <t>Model</t>
  </si>
  <si>
    <t>Main Mark</t>
  </si>
  <si>
    <t>Motor Mark</t>
  </si>
  <si>
    <t>Motor No</t>
  </si>
  <si>
    <t>Discount</t>
  </si>
  <si>
    <t>amout Dis</t>
  </si>
  <si>
    <t>Showroom Comm</t>
  </si>
  <si>
    <t>Sales Co. showroom</t>
  </si>
  <si>
    <t>Comm Paid To Showroom</t>
  </si>
  <si>
    <t>Insurance اذن صرف</t>
  </si>
  <si>
    <t>اذن صرف العمولة Date</t>
  </si>
  <si>
    <t>Comm.CIB Date</t>
  </si>
  <si>
    <t>النسب</t>
  </si>
  <si>
    <t>تاريخ الفاتورة</t>
  </si>
  <si>
    <t>سمر</t>
  </si>
  <si>
    <t>sales In amount</t>
  </si>
  <si>
    <t>sales in Date</t>
  </si>
  <si>
    <t>sales out amount</t>
  </si>
  <si>
    <t>sales out Date</t>
  </si>
  <si>
    <t>Gross Co</t>
  </si>
  <si>
    <t>Comm after 22.5%</t>
  </si>
  <si>
    <t>Net commission</t>
  </si>
  <si>
    <t>Over ride</t>
  </si>
  <si>
    <t>Collected Premium</t>
  </si>
  <si>
    <t>صافي عمولة</t>
  </si>
  <si>
    <t>lead sales in</t>
  </si>
  <si>
    <t>Net Profit</t>
  </si>
  <si>
    <t>Commission Amount</t>
  </si>
  <si>
    <t xml:space="preserve">Comm Collection Date </t>
  </si>
  <si>
    <t>ترقيم السيلز</t>
  </si>
  <si>
    <t>تاريخ ترقيم السليز</t>
  </si>
  <si>
    <t>Comment</t>
  </si>
  <si>
    <t>Commission Collection Status</t>
  </si>
  <si>
    <t>Allianz</t>
  </si>
  <si>
    <t>Motor</t>
  </si>
  <si>
    <t>Indv</t>
  </si>
  <si>
    <t>Endorsement</t>
  </si>
  <si>
    <t>00901792627</t>
  </si>
  <si>
    <t>جون مكرم بشاى خليل</t>
  </si>
  <si>
    <t>01066629913</t>
  </si>
  <si>
    <t>feb</t>
  </si>
  <si>
    <t>-</t>
  </si>
  <si>
    <t>cancelled</t>
  </si>
  <si>
    <t>Seoudi</t>
  </si>
  <si>
    <t>Mariam</t>
  </si>
  <si>
    <t>Motor Plus</t>
  </si>
  <si>
    <t>Wethaq</t>
  </si>
  <si>
    <t>Laibility</t>
  </si>
  <si>
    <t>Corp</t>
  </si>
  <si>
    <t>New</t>
  </si>
  <si>
    <t>117-</t>
  </si>
  <si>
    <t>جيسكو المناطق الحرة ش.م.م</t>
  </si>
  <si>
    <t>117/2023</t>
  </si>
  <si>
    <t>Done</t>
  </si>
  <si>
    <t>Paid</t>
  </si>
  <si>
    <t>Check</t>
  </si>
  <si>
    <t>Remon</t>
  </si>
  <si>
    <t>اندريا</t>
  </si>
  <si>
    <t>117--</t>
  </si>
  <si>
    <t>Renewal</t>
  </si>
  <si>
    <t>00901742646</t>
  </si>
  <si>
    <t>ahmed ezzat ahmed ali</t>
  </si>
  <si>
    <t>13/02/2023</t>
  </si>
  <si>
    <t>Masters</t>
  </si>
  <si>
    <t>0</t>
  </si>
  <si>
    <t>00901920900</t>
  </si>
  <si>
    <t>Asr Ahmed Ibrahim Youseef</t>
  </si>
  <si>
    <t>Transfer</t>
  </si>
  <si>
    <t>Motor City</t>
  </si>
  <si>
    <t>15-3</t>
  </si>
  <si>
    <t>00901742653</t>
  </si>
  <si>
    <t>Nehal Omar Al faroog Mahmoud Mohammed Ali farrag</t>
  </si>
  <si>
    <t>14/02/2023</t>
  </si>
  <si>
    <t>P O S</t>
  </si>
  <si>
    <t>دفعت POS - هاني-الميرغني</t>
  </si>
  <si>
    <t>00901815723</t>
  </si>
  <si>
    <t>Waled Hussein Hafez Abd Elhady</t>
  </si>
  <si>
    <t>تحويل بنكي</t>
  </si>
  <si>
    <t>00901921370</t>
  </si>
  <si>
    <t>Ahmed Mohammed Ahmed Mahmoud Talaba</t>
  </si>
  <si>
    <t>00901612742</t>
  </si>
  <si>
    <t>Mohamed Abdel Rahman Mahmoud Abdel Rahman</t>
  </si>
  <si>
    <t>Througt Allianz</t>
  </si>
  <si>
    <t>دفع بالفرع</t>
  </si>
  <si>
    <t>00901921355</t>
  </si>
  <si>
    <t>Ismail mohamed ali</t>
  </si>
  <si>
    <t>Soltan</t>
  </si>
  <si>
    <t>28-2-2023</t>
  </si>
  <si>
    <t>Nasr City branch</t>
  </si>
  <si>
    <t>GIG</t>
  </si>
  <si>
    <t>1199</t>
  </si>
  <si>
    <t>ايمان محمود عز العرب محمد</t>
  </si>
  <si>
    <t>Barakat</t>
  </si>
  <si>
    <t>Golden</t>
  </si>
  <si>
    <t>17620</t>
  </si>
  <si>
    <t>HYUNDAI</t>
  </si>
  <si>
    <t>ELANTRA</t>
  </si>
  <si>
    <t>22/2/2023</t>
  </si>
  <si>
    <t>00901815721</t>
  </si>
  <si>
    <t>Ahmed Moustafa Salem Helmy Salem</t>
  </si>
  <si>
    <t>Online</t>
  </si>
  <si>
    <t>online-pdf</t>
  </si>
  <si>
    <t>00901921355-</t>
  </si>
  <si>
    <t>اسماعيل محمد علي</t>
  </si>
  <si>
    <t>00901921347</t>
  </si>
  <si>
    <t>Mairam Maged Fayez</t>
  </si>
  <si>
    <t>15/02/2023</t>
  </si>
  <si>
    <t>hany</t>
  </si>
  <si>
    <t>00901815695</t>
  </si>
  <si>
    <t>Ashraf Mohamed Mohamed Khalil Elattfy</t>
  </si>
  <si>
    <t>عملت تحويل-بعته PDF</t>
  </si>
  <si>
    <t>00901922770</t>
  </si>
  <si>
    <t>Dalia Adel Samuiel</t>
  </si>
  <si>
    <t>15-02-2023</t>
  </si>
  <si>
    <t>00901742731</t>
  </si>
  <si>
    <t>Engy Salah farag Ibrahim</t>
  </si>
  <si>
    <t>commission paid to showroom cash</t>
  </si>
  <si>
    <t>00901815891</t>
  </si>
  <si>
    <t>Emad Abdal lateef Al sadeq Ali</t>
  </si>
  <si>
    <t>16/02/2023</t>
  </si>
  <si>
    <t>Through Showroom</t>
  </si>
  <si>
    <t>20/2/2023</t>
  </si>
  <si>
    <t>دفع في موتور سيتي و اخدنا الفلوس بخصم عمولتهم و عملنا ايداع لاليانز الوثيقة دي فقط علشان العميل كان محتاج ايصال سداد</t>
  </si>
  <si>
    <t>00901743076</t>
  </si>
  <si>
    <t>Reem Sameh Al said Al gayyar</t>
  </si>
  <si>
    <t>1234-</t>
  </si>
  <si>
    <t>عمر عثمان محمد عبدالخالق عثمان</t>
  </si>
  <si>
    <t>Classic</t>
  </si>
  <si>
    <t>1234</t>
  </si>
  <si>
    <t>00901743046</t>
  </si>
  <si>
    <t>Wael Mohammed Mahmoud Abdallah Hilal</t>
  </si>
  <si>
    <t>Head office</t>
  </si>
  <si>
    <t>01001815936</t>
  </si>
  <si>
    <t>Emad Fawzy Heseen Ebrahem</t>
  </si>
  <si>
    <t>17/02/2023</t>
  </si>
  <si>
    <t>Motor One</t>
  </si>
  <si>
    <t>00901816324</t>
  </si>
  <si>
    <t>Emad Abbas Alsayed Ahmed</t>
  </si>
  <si>
    <t>00901922105</t>
  </si>
  <si>
    <t>Fady Atef Labib</t>
  </si>
  <si>
    <t>Cash</t>
  </si>
  <si>
    <t>محمد فاروق</t>
  </si>
  <si>
    <t>21-3 هاني</t>
  </si>
  <si>
    <t>00901743434</t>
  </si>
  <si>
    <t>Mai Hassan Fahmy</t>
  </si>
  <si>
    <t>00901816446</t>
  </si>
  <si>
    <t>Dina Emad Aldin Ali Kaml</t>
  </si>
  <si>
    <t>00901922114</t>
  </si>
  <si>
    <t>Dina Magdy Talat Mohammed Al mahllawy</t>
  </si>
  <si>
    <t>00901728518</t>
  </si>
  <si>
    <t>طارق عادل خليل العشماوى</t>
  </si>
  <si>
    <t>18/02/2023</t>
  </si>
  <si>
    <t>هيدفع بالتقسيط دفع القسط الاول و الاخير في 8</t>
  </si>
  <si>
    <t>00901743641</t>
  </si>
  <si>
    <t>Ahmed Ayman Ahmed Younis</t>
  </si>
  <si>
    <t>24/02/2023</t>
  </si>
  <si>
    <t>00901745168</t>
  </si>
  <si>
    <t>Omar Mohammed Yehia Soliman</t>
  </si>
  <si>
    <t>19/02/2023</t>
  </si>
  <si>
    <t>Alwataniya</t>
  </si>
  <si>
    <t>011223</t>
  </si>
  <si>
    <t>محمد عبدالرحمن محمود عبدالرحمن</t>
  </si>
  <si>
    <t>26-2-2023-تحويل بنكي و استلم الوثيقة</t>
  </si>
  <si>
    <t>00901812826</t>
  </si>
  <si>
    <t>Mohammed Shaaban Mohammed Awwad</t>
  </si>
  <si>
    <t>20/02/2023</t>
  </si>
  <si>
    <t>Branches</t>
  </si>
  <si>
    <t>00901816700</t>
  </si>
  <si>
    <t>Atef Eshak Mahawd Gerges</t>
  </si>
  <si>
    <t>دفع تحويل بنكي و PDF</t>
  </si>
  <si>
    <t>00901816566</t>
  </si>
  <si>
    <t>أحمد نصرت نعيم</t>
  </si>
  <si>
    <t>00901744938</t>
  </si>
  <si>
    <t>Shenouda Kirolos Azer Yacoub</t>
  </si>
  <si>
    <t>دفع اون لاين و PDF</t>
  </si>
  <si>
    <t>00901444527--</t>
  </si>
  <si>
    <t>Khaled Mohamed Abdel Meneam Kandeil</t>
  </si>
  <si>
    <t>00901444527</t>
  </si>
  <si>
    <t>00901816544</t>
  </si>
  <si>
    <t>Rahma Hossam Abdal rady Ismail</t>
  </si>
  <si>
    <t>عمل تحويل بنكي و PDF حول زيادة 1164 و بعت ميل</t>
  </si>
  <si>
    <t>00902015120</t>
  </si>
  <si>
    <t>محمد مصطفي كمال عبد العزيز عيسى</t>
  </si>
  <si>
    <t>01001433659</t>
  </si>
  <si>
    <t>28/02/2023</t>
  </si>
  <si>
    <t>S007094</t>
  </si>
  <si>
    <t>بيجو 3008</t>
  </si>
  <si>
    <t>00902015465</t>
  </si>
  <si>
    <t>علا حلمى احمد شكر</t>
  </si>
  <si>
    <t>سكودا أوكتافيا</t>
  </si>
  <si>
    <t>27/02/2023</t>
  </si>
  <si>
    <t>Fire</t>
  </si>
  <si>
    <t>11812</t>
  </si>
  <si>
    <t>11812/2023</t>
  </si>
  <si>
    <t>العمولة مظبوطة-199.86ج-468.46ج</t>
  </si>
  <si>
    <t>00901816522</t>
  </si>
  <si>
    <t>Samah Al husseini Abdalla Abdal mageed</t>
  </si>
  <si>
    <t>21/02/2023</t>
  </si>
  <si>
    <t>01221506622</t>
  </si>
  <si>
    <t>Branches-02/03/2023</t>
  </si>
  <si>
    <t>00901817165</t>
  </si>
  <si>
    <t>Mostafa Mohammed Magdy Ahmed Abo basha</t>
  </si>
  <si>
    <t>00901616961</t>
  </si>
  <si>
    <t>Naglaa Said Mohamed Gaafar</t>
  </si>
  <si>
    <t>00901616963</t>
  </si>
  <si>
    <t>Hana Yasser Abdel Kodos</t>
  </si>
  <si>
    <t>00902015449</t>
  </si>
  <si>
    <t>ياسمين محمد رشدى سامى</t>
  </si>
  <si>
    <t>01009122828</t>
  </si>
  <si>
    <t>Mina</t>
  </si>
  <si>
    <t>بيجو 2008</t>
  </si>
  <si>
    <t>done</t>
  </si>
  <si>
    <t>R-m Done</t>
  </si>
  <si>
    <t>00901745217</t>
  </si>
  <si>
    <t>Safwat Mostafa Darwish</t>
  </si>
  <si>
    <t>22-02-23</t>
  </si>
  <si>
    <t>Feb</t>
  </si>
  <si>
    <t>00901924377</t>
  </si>
  <si>
    <t>Amr Okasha Abdal Salam Mohammedeen</t>
  </si>
  <si>
    <t>22/02/2023</t>
  </si>
  <si>
    <t>30-3-2023</t>
  </si>
  <si>
    <t>00901923499</t>
  </si>
  <si>
    <t>Ahmed Mostafa Abdal Aziz Emam</t>
  </si>
  <si>
    <t>00901851447-</t>
  </si>
  <si>
    <t>Nesma Sherif Mahmoud Sharara</t>
  </si>
  <si>
    <t>00901851447</t>
  </si>
  <si>
    <t>هيدفع اون لاين 28-2</t>
  </si>
  <si>
    <t>00901817048</t>
  </si>
  <si>
    <t>Hossam Ahmed Mohamed Abd Al Atea</t>
  </si>
  <si>
    <t>01226437351</t>
  </si>
  <si>
    <t>117</t>
  </si>
  <si>
    <t>2681اجمالي - 2525 صافي - دولار</t>
  </si>
  <si>
    <t>00901745677</t>
  </si>
  <si>
    <t>Hebattalla Sayed Ahmed</t>
  </si>
  <si>
    <t>23/02/2023</t>
  </si>
  <si>
    <t>14/3/2023-جواب بنك</t>
  </si>
  <si>
    <t>01001815216</t>
  </si>
  <si>
    <t>Reham Diya Al deen Mahmoud Al sabaei</t>
  </si>
  <si>
    <t>بخصم 5 % في المعرض محسوب زيادة تم خصمه 25-6</t>
  </si>
  <si>
    <t>00901817042</t>
  </si>
  <si>
    <t>Youssif Rafek Armia Gad</t>
  </si>
  <si>
    <t>19-3 هيستلم الوثيقة فقط من موتور سيتي</t>
  </si>
  <si>
    <t>00901817140</t>
  </si>
  <si>
    <t>Rehab Hamza Helal Ali Bassiouni</t>
  </si>
  <si>
    <t>دفع في موتور سيتي</t>
  </si>
  <si>
    <t>00901817366</t>
  </si>
  <si>
    <t>Mark Amil George Faheem</t>
  </si>
  <si>
    <t>00901923848</t>
  </si>
  <si>
    <t>Ebtesam Hafez Hamed Al zabalawy</t>
  </si>
  <si>
    <t xml:space="preserve">Head office-جواب بنك </t>
  </si>
  <si>
    <t>1203</t>
  </si>
  <si>
    <t>محمود عبدالعال شلبي السيد</t>
  </si>
  <si>
    <t>01223603823</t>
  </si>
  <si>
    <t>23578</t>
  </si>
  <si>
    <t>KIA</t>
  </si>
  <si>
    <t>سبورتاج</t>
  </si>
  <si>
    <t xml:space="preserve"> 06/03/2023 </t>
  </si>
  <si>
    <t>دفع في معرض سلطان</t>
  </si>
  <si>
    <t>00901745221</t>
  </si>
  <si>
    <t>mohammed mahmoud kamal hosny ahmed abdelfatah hosny</t>
  </si>
  <si>
    <t>00902015484</t>
  </si>
  <si>
    <t>نادر يوسف الحجار ادوار حجار</t>
  </si>
  <si>
    <t>01224377237</t>
  </si>
  <si>
    <t>26/02/2023</t>
  </si>
  <si>
    <t>00901923863</t>
  </si>
  <si>
    <t>Ghada Abdul sattar Abdal tawab Ahmed</t>
  </si>
  <si>
    <t>21/3</t>
  </si>
  <si>
    <t>00901817316</t>
  </si>
  <si>
    <t>Ahmed Wissam Ashaly Wlbk</t>
  </si>
  <si>
    <t>6/3/2023 -يوجد تعديل مراجعة مع مريم</t>
  </si>
  <si>
    <t>00901817318</t>
  </si>
  <si>
    <t>Mohammed Sami Mohammed Mousa Marie</t>
  </si>
  <si>
    <t>00901924380</t>
  </si>
  <si>
    <t>mina younan melad nashed</t>
  </si>
  <si>
    <t>27-3-2023</t>
  </si>
  <si>
    <t>00901745754</t>
  </si>
  <si>
    <t>Hadeel Mohamed Gehad Hassan Zaza</t>
  </si>
  <si>
    <t>25/02/2023</t>
  </si>
  <si>
    <t>Transfer-pdf</t>
  </si>
  <si>
    <t>00901745680</t>
  </si>
  <si>
    <t>YASMINE SABRY MAHMOUD HEGAZI</t>
  </si>
  <si>
    <t>00901746230</t>
  </si>
  <si>
    <t>JOSEPH NESSIM ZARIF FAKHOURI</t>
  </si>
  <si>
    <t>25/6/2023</t>
  </si>
  <si>
    <t>22/6/2023</t>
  </si>
  <si>
    <t>00901617851</t>
  </si>
  <si>
    <t>هشام محمد الحسينى على طه</t>
  </si>
  <si>
    <t>01222104210</t>
  </si>
  <si>
    <t>تفويض بالشركة مع هاني-الدفعة التانية في شهر 8</t>
  </si>
  <si>
    <t>هيقسط على مرتين اول قسط دفعه 10891.45  و الثاني في شهر 8</t>
  </si>
  <si>
    <t>00901746142</t>
  </si>
  <si>
    <t>sara mohamed fakhry abdullghafor</t>
  </si>
  <si>
    <t>00901746198</t>
  </si>
  <si>
    <t>Khadeega Mohamed Mohamed Gamal Eldin</t>
  </si>
  <si>
    <t>00901926921</t>
  </si>
  <si>
    <t>Haitham Hassan Hassan Mohammed</t>
  </si>
  <si>
    <t>00901819314</t>
  </si>
  <si>
    <t>Noha Abdo mohammed Anwar Mohammed Hassan</t>
  </si>
  <si>
    <t>POS - Hany</t>
  </si>
  <si>
    <t>00901924874</t>
  </si>
  <si>
    <t>Abdelhamid mohamed Abdelhamid Abou El Fotouh Khafagy</t>
  </si>
  <si>
    <t>ايداع بنكي و ارسالها PDF</t>
  </si>
  <si>
    <t>00901924880</t>
  </si>
  <si>
    <t>Diana Malak Hanna Maxeemoos</t>
  </si>
  <si>
    <t>تحويل بنكي - 27-2-2023</t>
  </si>
  <si>
    <t>00901924868</t>
  </si>
  <si>
    <t>Mohammed Sami Mohammed Saeed Barakat</t>
  </si>
  <si>
    <t>26-3</t>
  </si>
  <si>
    <t>00901618453</t>
  </si>
  <si>
    <t>MONA MICHEL MATTA MOHAREB</t>
  </si>
  <si>
    <t>00902016789</t>
  </si>
  <si>
    <t>ابراهيم محمد عبد العزيز علام على</t>
  </si>
  <si>
    <t>01025599515</t>
  </si>
  <si>
    <t>20-3-2023</t>
  </si>
  <si>
    <t>فولكس واجن باسات</t>
  </si>
  <si>
    <t>دفع في معرض سلطان 9-3-2023</t>
  </si>
  <si>
    <t>00901927271</t>
  </si>
  <si>
    <t>Ziad Mostafa Bahgat Mostafa Shaet</t>
  </si>
  <si>
    <t>00901927260</t>
  </si>
  <si>
    <t>Samih Fathy Samih Saber Abou labda</t>
  </si>
  <si>
    <t>00901749032</t>
  </si>
  <si>
    <t>Alaa Mohamed Attef</t>
  </si>
  <si>
    <t>26/2/2023</t>
  </si>
  <si>
    <t>00901926386</t>
  </si>
  <si>
    <t>عزه احمد فوزى عبدالمعطى مرعى</t>
  </si>
  <si>
    <t>01222147977</t>
  </si>
  <si>
    <t>هاني</t>
  </si>
  <si>
    <t>00901928147</t>
  </si>
  <si>
    <t>Ghada Abdal Shakour Al sebai Salim</t>
  </si>
  <si>
    <t>01117551603</t>
  </si>
  <si>
    <t>march</t>
  </si>
  <si>
    <t>00901927304</t>
  </si>
  <si>
    <t>داليا احمد جلال محمد حسن</t>
  </si>
  <si>
    <t>01068011616</t>
  </si>
  <si>
    <t>00901926835</t>
  </si>
  <si>
    <t>ايمان صلاح فريد منقريوس</t>
  </si>
  <si>
    <t>01005171597</t>
  </si>
  <si>
    <t>00901805154</t>
  </si>
  <si>
    <t>عبد الله خلف عبد الله سلطان</t>
  </si>
  <si>
    <t>تجديد يناير</t>
  </si>
  <si>
    <t>Jan</t>
  </si>
  <si>
    <t>00901918674</t>
  </si>
  <si>
    <t>Dina Mohamed Mostafa</t>
  </si>
  <si>
    <t>دفعت بفرع المعادي</t>
  </si>
  <si>
    <t>00901813316</t>
  </si>
  <si>
    <t>Ahmed Magdy Hames Ali</t>
  </si>
  <si>
    <t>00901917807</t>
  </si>
  <si>
    <t>Sherif Mohamed Mahdy</t>
  </si>
  <si>
    <t>00901813822</t>
  </si>
  <si>
    <t>Sahar Al sayed Abdal rahman Ahmed Al rayys</t>
  </si>
  <si>
    <t>الدقي</t>
  </si>
  <si>
    <t>00901814072</t>
  </si>
  <si>
    <t>Ghada Salah Mohammed Al marghany Al tayib</t>
  </si>
  <si>
    <t>00901927257</t>
  </si>
  <si>
    <t>محمد مجدي منير سلامه محمد</t>
  </si>
  <si>
    <t>01004313092</t>
  </si>
  <si>
    <t>00901621121</t>
  </si>
  <si>
    <t>Hatem Farouk Hasan Mohamed Badr</t>
  </si>
  <si>
    <t>01000320037</t>
  </si>
  <si>
    <t>cib 5-3-2023</t>
  </si>
  <si>
    <t>00901749220</t>
  </si>
  <si>
    <t>Heba Mohy Hafez Bayuomi</t>
  </si>
  <si>
    <t>01007770232</t>
  </si>
  <si>
    <t>00901927732</t>
  </si>
  <si>
    <t>Tamer Mahmoud Hassan Ragab</t>
  </si>
  <si>
    <t>00901927876</t>
  </si>
  <si>
    <t>Eman Mahmoud Hassan Ateyya Ali</t>
  </si>
  <si>
    <t>01102222181</t>
  </si>
  <si>
    <t>دفعت في معرض سلطان 9-3-2023</t>
  </si>
  <si>
    <t>00901927889</t>
  </si>
  <si>
    <t>Nariman Hany Gerges Hanna</t>
  </si>
  <si>
    <t>16/5/2023</t>
  </si>
  <si>
    <t>دفعت في موتور سيتي-19-2</t>
  </si>
  <si>
    <t>00901927736</t>
  </si>
  <si>
    <t>Shaza Hamed Sadeeq Borham</t>
  </si>
  <si>
    <t>00901621610</t>
  </si>
  <si>
    <t>Asmaa Ashraf Mahmoud Gomaa</t>
  </si>
  <si>
    <t>00901927891</t>
  </si>
  <si>
    <t>احمد حلمى عبدالله عبد المنصف</t>
  </si>
  <si>
    <t>01009666631</t>
  </si>
  <si>
    <t>00902017692</t>
  </si>
  <si>
    <t>مايكل موريس اسعد سليمان</t>
  </si>
  <si>
    <t>01226322328</t>
  </si>
  <si>
    <t>20/03/2023</t>
  </si>
  <si>
    <t>Y006839</t>
  </si>
  <si>
    <t>بيجو 508</t>
  </si>
  <si>
    <t>قريب ا.ريمون-دفع بتحويل بنكي 8-3 العنوان قريه صن تيرا D801 شرم الشيخ</t>
  </si>
  <si>
    <t>خصم 15% للعميل -دفع 8-3</t>
  </si>
  <si>
    <t>00901927874</t>
  </si>
  <si>
    <t>Shaimaa Emad Ragab Mohammed</t>
  </si>
  <si>
    <t>14-3-2023</t>
  </si>
  <si>
    <t>00901820170</t>
  </si>
  <si>
    <t>منى على عبدالرازق محمد</t>
  </si>
  <si>
    <t>01221749344</t>
  </si>
  <si>
    <t>Jouzif-master</t>
  </si>
  <si>
    <t>26/4/2023-حساب قديم 10500ج مديونية</t>
  </si>
  <si>
    <t>00901635337</t>
  </si>
  <si>
    <t>Hamada Ibrahim Mohamed El tannany</t>
  </si>
  <si>
    <t>April</t>
  </si>
  <si>
    <t>00901635336</t>
  </si>
  <si>
    <t>AYMAN LOTFY MAHMOUD FAHMY</t>
  </si>
  <si>
    <t>00901634764</t>
  </si>
  <si>
    <t>Menna alla Shaaban Hajaj Khalil</t>
  </si>
  <si>
    <t>00901758829</t>
  </si>
  <si>
    <t>محمد مجدى حلمى زكى</t>
  </si>
  <si>
    <t>May</t>
  </si>
  <si>
    <t>00901758951</t>
  </si>
  <si>
    <t>عماد علاء الدين فاروق عبد الحميد</t>
  </si>
  <si>
    <t>Througt IC</t>
  </si>
  <si>
    <t>00902029139</t>
  </si>
  <si>
    <t>مصطفى سعد عبدالخالق عبد الوهاب</t>
  </si>
  <si>
    <t>01062779682</t>
  </si>
  <si>
    <t>29/5/2023</t>
  </si>
  <si>
    <t>محمد كمال</t>
  </si>
  <si>
    <t>ستروين C5</t>
  </si>
  <si>
    <t>فاضل 25ج-14-5 تحويل بنكي</t>
  </si>
  <si>
    <t>00901843851</t>
  </si>
  <si>
    <t>نجلاء محمد على علوى</t>
  </si>
  <si>
    <t>June</t>
  </si>
  <si>
    <t>00901845082</t>
  </si>
  <si>
    <t>محمد مصطفى عبد الوهاب مصطفى شيحه</t>
  </si>
  <si>
    <t>00901762155</t>
  </si>
  <si>
    <t>خالد محمد السايح علي</t>
  </si>
  <si>
    <t>00901482979</t>
  </si>
  <si>
    <t>عاطف حسن محمد حسين</t>
  </si>
  <si>
    <t>01273344241</t>
  </si>
  <si>
    <t>هيونداي النترا اتش دي</t>
  </si>
  <si>
    <t>تجديد</t>
  </si>
  <si>
    <t>00901764579</t>
  </si>
  <si>
    <t>هاني صبري عبدالقادر ابوعيطه</t>
  </si>
  <si>
    <t>1348-</t>
  </si>
  <si>
    <t>احمد هشام مصطفى عبدالمجيد-</t>
  </si>
  <si>
    <t>01008680731</t>
  </si>
  <si>
    <t>Augest</t>
  </si>
  <si>
    <t>نجلا</t>
  </si>
  <si>
    <t>23/8/2023</t>
  </si>
  <si>
    <t>21/8/2023</t>
  </si>
  <si>
    <t>201073</t>
  </si>
  <si>
    <t>كريم حسن عبدالمنعم الحيوان</t>
  </si>
  <si>
    <t>ريمون</t>
  </si>
  <si>
    <t>الشرقاوي</t>
  </si>
  <si>
    <t>فولكس فاجن تيجوان 2022</t>
  </si>
  <si>
    <t>24/08/2023</t>
  </si>
  <si>
    <t>22/8/2023</t>
  </si>
  <si>
    <t>00901662609-</t>
  </si>
  <si>
    <t>هشام ابراهيم محمد احمد شعيب-</t>
  </si>
  <si>
    <t>22/08/2023</t>
  </si>
  <si>
    <t>00901820735</t>
  </si>
  <si>
    <t>Mostafa Ibrahim Mohammed Bakr</t>
  </si>
  <si>
    <t>01098222289</t>
  </si>
  <si>
    <t>13-3-2023</t>
  </si>
  <si>
    <t>00901779211</t>
  </si>
  <si>
    <t>محمد محمد احمد ابو رزق</t>
  </si>
  <si>
    <t>sep</t>
  </si>
  <si>
    <t>بيجو 5008</t>
  </si>
  <si>
    <t xml:space="preserve">جدد هو في الشركة </t>
  </si>
  <si>
    <t>00901690148</t>
  </si>
  <si>
    <t>مها صبرى حلمى جرجس</t>
  </si>
  <si>
    <t>14/8/2023</t>
  </si>
  <si>
    <t>00901866301</t>
  </si>
  <si>
    <t>ريمون عادل وليم ارمانيوس</t>
  </si>
  <si>
    <t>20/8/2023</t>
  </si>
  <si>
    <t>00901526078-</t>
  </si>
  <si>
    <t>00901689812</t>
  </si>
  <si>
    <t>اسلام محمد عصام عبد العظيم عبد السلام</t>
  </si>
  <si>
    <t>31/8/2023</t>
  </si>
  <si>
    <t>00901687482-</t>
  </si>
  <si>
    <t>احمد محمد فارس ابراهيم-</t>
  </si>
  <si>
    <t>01006300919</t>
  </si>
  <si>
    <t>3-9 مردش بعت التفاصيل</t>
  </si>
  <si>
    <t>Mohandes</t>
  </si>
  <si>
    <t>17383</t>
  </si>
  <si>
    <t>دريم هاوس للمقاولات</t>
  </si>
  <si>
    <t>01224576509</t>
  </si>
  <si>
    <t>18/9/2023</t>
  </si>
  <si>
    <t>21/9/2023</t>
  </si>
  <si>
    <t>19562</t>
  </si>
  <si>
    <t>00901930921</t>
  </si>
  <si>
    <t>Samir Salama Mahmoud Salama</t>
  </si>
  <si>
    <t>13/03/2023</t>
  </si>
  <si>
    <t>1212</t>
  </si>
  <si>
    <t>شيماء طلعت عبدالرحمن عبدالكريم-</t>
  </si>
  <si>
    <t>رانج روفر سبورت 2022</t>
  </si>
  <si>
    <t>رانج روفر سبورت 2022- 4900000</t>
  </si>
  <si>
    <t>1214</t>
  </si>
  <si>
    <t>احمد بدوي حسن حسنين</t>
  </si>
  <si>
    <t>01099769969</t>
  </si>
  <si>
    <t>Through GIG</t>
  </si>
  <si>
    <t>مصطفى عدنان</t>
  </si>
  <si>
    <t>CITREON</t>
  </si>
  <si>
    <t>C5</t>
  </si>
  <si>
    <t>16/3/2023</t>
  </si>
  <si>
    <t>عمل احلال وثيقة بدل وثيقة  الجديدة - 1376-25-5 -ستروين c5 2020-850000-هيبعت حد بكرة لفرع التجمع-14-3</t>
  </si>
  <si>
    <t>15-3-2023 التجمع</t>
  </si>
  <si>
    <t>1215</t>
  </si>
  <si>
    <t>وليد خالد مصطفى ابودره</t>
  </si>
  <si>
    <t>01006570000</t>
  </si>
  <si>
    <t>لصالح البنك-BMW 2023- 1850000- هيكلمني تاني</t>
  </si>
  <si>
    <t>1283</t>
  </si>
  <si>
    <t>وليد خالد مصطفى ابودره-</t>
  </si>
  <si>
    <t>FP06201</t>
  </si>
  <si>
    <t>BMW</t>
  </si>
  <si>
    <t>320i</t>
  </si>
  <si>
    <t>21/3/2023</t>
  </si>
  <si>
    <t>00901930509</t>
  </si>
  <si>
    <t>Moussa Adel Fawzy Gaied</t>
  </si>
  <si>
    <t>14/03/2023</t>
  </si>
  <si>
    <t>01028206027</t>
  </si>
  <si>
    <t>00901931890</t>
  </si>
  <si>
    <t>Alsayed Mahmoud Barakat Ahmed Rahinaa</t>
  </si>
  <si>
    <t>28-3-2023</t>
  </si>
  <si>
    <t>1216</t>
  </si>
  <si>
    <t>عبدالسميع فتحي عبدالسميع شعلان</t>
  </si>
  <si>
    <t>28/3/2023</t>
  </si>
  <si>
    <t>اودي Q3-2023</t>
  </si>
  <si>
    <t>لصالح بنك مصر-تم الايداع 28-3-2023</t>
  </si>
  <si>
    <t>00901930920</t>
  </si>
  <si>
    <t>Sameh Al Said Ahmed Al banna</t>
  </si>
  <si>
    <t>خصم 5%-46000</t>
  </si>
  <si>
    <t>16-5 بعته ميل الاليانز لوحده للسداد</t>
  </si>
  <si>
    <t>00901930922</t>
  </si>
  <si>
    <t>Mohammed Abdal maqsood Mohammed Al sharqawy</t>
  </si>
  <si>
    <t>01001608606</t>
  </si>
  <si>
    <t>00901931894</t>
  </si>
  <si>
    <t>Karam Basit Fam Fahmy</t>
  </si>
  <si>
    <t>15/03/2023</t>
  </si>
  <si>
    <t>00901751892</t>
  </si>
  <si>
    <t>Medhat Magdy Aziz Booles</t>
  </si>
  <si>
    <t>00901821848</t>
  </si>
  <si>
    <t>Mohammed Khaled Hassan Ahmed Ali</t>
  </si>
  <si>
    <t>00901822084</t>
  </si>
  <si>
    <t>Younes EL Afifi Abd Ellatif EL Azab</t>
  </si>
  <si>
    <t>00902021025</t>
  </si>
  <si>
    <t>محمود رفعت عبد الظاهر مبارك</t>
  </si>
  <si>
    <t>01003133736</t>
  </si>
  <si>
    <t>ZFACF8DP1N6W00698</t>
  </si>
  <si>
    <t>فيات تيبو</t>
  </si>
  <si>
    <t xml:space="preserve">مريم- 20-3- 16-10 </t>
  </si>
  <si>
    <t>00901751889</t>
  </si>
  <si>
    <t>Jan Samir Aryan Nasim</t>
  </si>
  <si>
    <t>لصالح البنك</t>
  </si>
  <si>
    <t>00901931867</t>
  </si>
  <si>
    <t>Marian Edward Azar Qalads</t>
  </si>
  <si>
    <t>16/03/2023</t>
  </si>
  <si>
    <t>00901823192</t>
  </si>
  <si>
    <t>Hanaa Haredy Saied El Shorbagy</t>
  </si>
  <si>
    <t>hany - 13-3</t>
  </si>
  <si>
    <t>00901822088</t>
  </si>
  <si>
    <t>Ahmed Mohammed Sami Haddad Ali Afia</t>
  </si>
  <si>
    <t>00901822350</t>
  </si>
  <si>
    <t>هشام محمود حمزة محمد ابراهيم</t>
  </si>
  <si>
    <t>00902020989</t>
  </si>
  <si>
    <t>عبد الله ابراهيم عبد المنعم الشربينى</t>
  </si>
  <si>
    <t>01011190954</t>
  </si>
  <si>
    <t>مريم</t>
  </si>
  <si>
    <t>00901750862</t>
  </si>
  <si>
    <t>Mohamed Mahmoud zen abdel rahman Zyadah</t>
  </si>
  <si>
    <t>00901931313</t>
  </si>
  <si>
    <t>دينا سامى السيد عبد الرحمن شماخ</t>
  </si>
  <si>
    <t>00901626633</t>
  </si>
  <si>
    <t>Yousef Amr Farag Nagy Elhamalwy</t>
  </si>
  <si>
    <t>17/03/2023</t>
  </si>
  <si>
    <t>00901627902</t>
  </si>
  <si>
    <t>Fady Hany Henry Qstandy</t>
  </si>
  <si>
    <t>18/03/2023</t>
  </si>
  <si>
    <t>20/3/2023</t>
  </si>
  <si>
    <t>00901627357</t>
  </si>
  <si>
    <t>Nehal Ahmed Nasr ELdeen Mahmoud Zamzam</t>
  </si>
  <si>
    <t>9-3-2023 - كاش مع هاني</t>
  </si>
  <si>
    <t>00901931917</t>
  </si>
  <si>
    <t>Girgis Adly Waqim Masoud</t>
  </si>
  <si>
    <t>00901753733</t>
  </si>
  <si>
    <t>Ahmed Mohamed Ashraf Ahmed Reda Abdallah</t>
  </si>
  <si>
    <t>00901822352</t>
  </si>
  <si>
    <t>amany kamal abdelmegeed elmasry</t>
  </si>
  <si>
    <t>00902020987</t>
  </si>
  <si>
    <t>جمال ابراهيم ماضى مسعود</t>
  </si>
  <si>
    <t>01223121690</t>
  </si>
  <si>
    <t>S006651</t>
  </si>
  <si>
    <t>20-3 ايداع</t>
  </si>
  <si>
    <t>00901822620</t>
  </si>
  <si>
    <t>Hesham Mohamed Lotfy Abdel Hamid El Kholy</t>
  </si>
  <si>
    <t>حاتم</t>
  </si>
  <si>
    <t>Madi-23-3</t>
  </si>
  <si>
    <t>معرض سعودي-</t>
  </si>
  <si>
    <t>00900971175</t>
  </si>
  <si>
    <t>احمد محمد سيف الله هاشم محمد</t>
  </si>
  <si>
    <t>00901822625</t>
  </si>
  <si>
    <t>Shimaa Abdal ghafoor Abdal zahar Hassan</t>
  </si>
  <si>
    <t>00901822391</t>
  </si>
  <si>
    <t>رباب مجدى عبد العال مرزوق</t>
  </si>
  <si>
    <t>00901931892</t>
  </si>
  <si>
    <t>ISLAM HANY ISMAIL</t>
  </si>
  <si>
    <t>19/03/2023</t>
  </si>
  <si>
    <t>1208</t>
  </si>
  <si>
    <t>محمد لطفي محمد مازن-</t>
  </si>
  <si>
    <t>01005009361</t>
  </si>
  <si>
    <t>BMW-2023</t>
  </si>
  <si>
    <t>cancelled لانها عدت 10 ايام</t>
  </si>
  <si>
    <t>00901627667</t>
  </si>
  <si>
    <t>Emad Ali Mohamed Ali</t>
  </si>
  <si>
    <t>01001409698</t>
  </si>
  <si>
    <t>13-3</t>
  </si>
  <si>
    <t>1284</t>
  </si>
  <si>
    <t>يارا بهاء الدين محمود الكحكى</t>
  </si>
  <si>
    <t>01001838891</t>
  </si>
  <si>
    <t>بيجو 2008-2020</t>
  </si>
  <si>
    <t>مينا</t>
  </si>
  <si>
    <t>1285</t>
  </si>
  <si>
    <t>زينه طارق فاروق سيد</t>
  </si>
  <si>
    <t>01118197024</t>
  </si>
  <si>
    <t>سوزوكي سويفت 2022</t>
  </si>
  <si>
    <t>22/3/2023</t>
  </si>
  <si>
    <t>19-3 مردتش</t>
  </si>
  <si>
    <t>1286</t>
  </si>
  <si>
    <t>محمد لطفي محمد مازن</t>
  </si>
  <si>
    <t>19-3 دفع و تم اعادة المعاينة-14-3 كان رايح يدفع مش معاه العربية -13-3 مردش</t>
  </si>
  <si>
    <t>1289-</t>
  </si>
  <si>
    <t>الشركه الهندسيه لانتاج الاجهزه الكهربائيه والمنزليه(رويال جاز)</t>
  </si>
  <si>
    <t>E 180</t>
  </si>
  <si>
    <t>1290-</t>
  </si>
  <si>
    <t>الشركه الهندسيه لانتاج الاجهزه الكهربائيه والمنزليه (رويال جاز)</t>
  </si>
  <si>
    <t>3008</t>
  </si>
  <si>
    <t>00901822390</t>
  </si>
  <si>
    <t>اسامه محمد محمد عطيه</t>
  </si>
  <si>
    <t>01010034200</t>
  </si>
  <si>
    <t>00901822817</t>
  </si>
  <si>
    <t>Tarek Sobhy Amin Aly Ghoniam</t>
  </si>
  <si>
    <t>00901822977</t>
  </si>
  <si>
    <t>Nevine Abdal monem Ali Ahmed</t>
  </si>
  <si>
    <t>01002010237</t>
  </si>
  <si>
    <t>لصالح البنك - 9-3</t>
  </si>
  <si>
    <t>00901822654</t>
  </si>
  <si>
    <t>Amr Kamal Youssef Khalil</t>
  </si>
  <si>
    <t>00901822655</t>
  </si>
  <si>
    <t>Salma Maged Mohammed Moharram Almasry</t>
  </si>
  <si>
    <t>00901902312-</t>
  </si>
  <si>
    <t>Angela Khalil Gerges Khalil</t>
  </si>
  <si>
    <t>01283224703</t>
  </si>
  <si>
    <t>00901902312</t>
  </si>
  <si>
    <t>لصالح البنك-21-3 مردتش-مريم</t>
  </si>
  <si>
    <t>00901822389</t>
  </si>
  <si>
    <t>ريم ماجد محمد محرم المصرى</t>
  </si>
  <si>
    <t>1301-</t>
  </si>
  <si>
    <t>الشركة الهندسية لانتاج الاجهزة الكهربائية و المنزلية(رويال جاز)</t>
  </si>
  <si>
    <t>مرسيدس E180-2020</t>
  </si>
  <si>
    <t xml:space="preserve"> 01/05/2023 </t>
  </si>
  <si>
    <t>1301</t>
  </si>
  <si>
    <t>1302-</t>
  </si>
  <si>
    <t>بيجو 2008-2021</t>
  </si>
  <si>
    <t>1302</t>
  </si>
  <si>
    <t>1296-</t>
  </si>
  <si>
    <t>احمد السيد سيد احمد سيد احمد الزيني-</t>
  </si>
  <si>
    <t>01116660314</t>
  </si>
  <si>
    <t>shimaa</t>
  </si>
  <si>
    <t>رينو كادجار-2018</t>
  </si>
  <si>
    <t>-1296</t>
  </si>
  <si>
    <t>26-3 هيعمل تحويل بنكي - هتتلغي للتعديل و تم ارسالها لي GIG4-2</t>
  </si>
  <si>
    <t>1297-</t>
  </si>
  <si>
    <t>احمد ممدوح محمد ذكى عبدالمجيد الصاوى</t>
  </si>
  <si>
    <t>01007800984</t>
  </si>
  <si>
    <t>Mary</t>
  </si>
  <si>
    <t>سوبارو امبريزا 2018</t>
  </si>
  <si>
    <t>1297</t>
  </si>
  <si>
    <t>اسكندرية-مردش 27-3 بعت رسالة</t>
  </si>
  <si>
    <t>00901822807-</t>
  </si>
  <si>
    <t>عزه حسين محمد الدسوقى</t>
  </si>
  <si>
    <t>00901822816</t>
  </si>
  <si>
    <t>شريف راغب سليم توفيق</t>
  </si>
  <si>
    <t>21/03/2023</t>
  </si>
  <si>
    <t>01225036888</t>
  </si>
  <si>
    <t>9-4 عمل تحويل بنكي و سمع من غير ما يبعتلي و لا بعت ميل</t>
  </si>
  <si>
    <t>00901822812</t>
  </si>
  <si>
    <t>Maged Victor Gad Allah Atia</t>
  </si>
  <si>
    <t>26/3</t>
  </si>
  <si>
    <t>00901822807</t>
  </si>
  <si>
    <t>Azza Hussein Mohammed Al desouky</t>
  </si>
  <si>
    <t>ايداع 20-3 PDF</t>
  </si>
  <si>
    <t>00901822809</t>
  </si>
  <si>
    <t>Mohammed Kamal aldeen Abdal hameed Said Ahmed Afifi</t>
  </si>
  <si>
    <t>15-3-2023</t>
  </si>
  <si>
    <t>1217</t>
  </si>
  <si>
    <t>ياسمين عادل محمود على الشربينى</t>
  </si>
  <si>
    <t>01223250873</t>
  </si>
  <si>
    <t>نيسان قشقلي-2023</t>
  </si>
  <si>
    <t>1287</t>
  </si>
  <si>
    <t>عبد الرحمن عبدالله ابراهيم متولي</t>
  </si>
  <si>
    <t>01068023585</t>
  </si>
  <si>
    <t>ابيزا FR-2022</t>
  </si>
  <si>
    <t>27-3 بعت و هيعمل تحويل</t>
  </si>
  <si>
    <t>00902021402</t>
  </si>
  <si>
    <t>Sabry Awad Mohamed</t>
  </si>
  <si>
    <t>01060553004</t>
  </si>
  <si>
    <t xml:space="preserve"> 29-3 هيدفع بعد العيد - هيكنسل و يأمن GIG</t>
  </si>
  <si>
    <t>00901932331</t>
  </si>
  <si>
    <t>Marwa Ali Hassan Ali</t>
  </si>
  <si>
    <t>194405</t>
  </si>
  <si>
    <t>احمد عبدالوهاب ابوالعلا بيومي-</t>
  </si>
  <si>
    <t>جاجوار-2018-F-Pace</t>
  </si>
  <si>
    <t>18/7/2023</t>
  </si>
  <si>
    <t>اجمالي صافي القسط31996.19-12-7 تم عمل عدد 2 اذن عمولة</t>
  </si>
  <si>
    <t>00901823191</t>
  </si>
  <si>
    <t>Hannan Nabil Mohammed Shafiq</t>
  </si>
  <si>
    <t>22/03/2023</t>
  </si>
  <si>
    <t>20-3</t>
  </si>
  <si>
    <t>00901822806</t>
  </si>
  <si>
    <t>Lukas Edwar Elias Wasef</t>
  </si>
  <si>
    <t>00901822978</t>
  </si>
  <si>
    <t>Marwan Ahmed Refat Mahmoud Youssef</t>
  </si>
  <si>
    <t>23/03/2023</t>
  </si>
  <si>
    <t>120</t>
  </si>
  <si>
    <t>120/2023</t>
  </si>
  <si>
    <t>دولار امريكي-120/2023</t>
  </si>
  <si>
    <t>00901822975</t>
  </si>
  <si>
    <t>وسام  محمود   محمد عبد ربة</t>
  </si>
  <si>
    <t>01005023421</t>
  </si>
  <si>
    <t>00901822979</t>
  </si>
  <si>
    <t>وحيد محمد عبدالله  عبد الحميد</t>
  </si>
  <si>
    <t>01200759553</t>
  </si>
  <si>
    <t>00901934171</t>
  </si>
  <si>
    <t>Abdel Ghany Faisal Hamam Ali El-Dein</t>
  </si>
  <si>
    <t>لصالح البنك-21-3</t>
  </si>
  <si>
    <t>1291</t>
  </si>
  <si>
    <t>عبد الرحمن محمد احمد عبدالرحمن الجوهري</t>
  </si>
  <si>
    <t>0127749196</t>
  </si>
  <si>
    <t>BMW-520-2019</t>
  </si>
  <si>
    <t xml:space="preserve"> 05/04/2023 </t>
  </si>
  <si>
    <t>26-4-2023</t>
  </si>
  <si>
    <t>ايداع 30-3</t>
  </si>
  <si>
    <t>العمولة 10000 بناء على طلب ا.ريمون</t>
  </si>
  <si>
    <t>1288</t>
  </si>
  <si>
    <t>احمد لطفي عبدالحكيم احمد</t>
  </si>
  <si>
    <t>01001782222</t>
  </si>
  <si>
    <t>BMW-520-2023</t>
  </si>
  <si>
    <t>01002022673</t>
  </si>
  <si>
    <t>ابتسام فوزى حميد سيد--</t>
  </si>
  <si>
    <t>01222785543</t>
  </si>
  <si>
    <t>27/03/2023</t>
  </si>
  <si>
    <t>تويوتا فورتشنر</t>
  </si>
  <si>
    <t>27-3-122278554</t>
  </si>
  <si>
    <t>00901823188</t>
  </si>
  <si>
    <t>شادى رائف انور عزوز الياس</t>
  </si>
  <si>
    <t>إم جى -350</t>
  </si>
  <si>
    <t>00901930920-</t>
  </si>
  <si>
    <t>سامح السعيد احمد البنا--</t>
  </si>
  <si>
    <t>00901826186</t>
  </si>
  <si>
    <t>HASSAN MOHMAED ABDALLA HASSAN El-Sada</t>
  </si>
  <si>
    <t>24/03/2023</t>
  </si>
  <si>
    <t>00901823186</t>
  </si>
  <si>
    <t>Maged Abdal ghafar Mohammed Ali Mousa</t>
  </si>
  <si>
    <t>00901823555</t>
  </si>
  <si>
    <t>عبير محمود ابو الفرح ابو الفرح</t>
  </si>
  <si>
    <t>00901630663</t>
  </si>
  <si>
    <t>Farida Tarek Adel Khaleel</t>
  </si>
  <si>
    <t>25/03/2023</t>
  </si>
  <si>
    <t>مقسماها على اقسام - هاني دفعها ب Credit card</t>
  </si>
  <si>
    <t>00901823564</t>
  </si>
  <si>
    <t>Ebtesam Abdal fattah Ahmed Al sharqawy</t>
  </si>
  <si>
    <t>26/03/2023</t>
  </si>
  <si>
    <t>1290</t>
  </si>
  <si>
    <t>احمد بخيت احمد على</t>
  </si>
  <si>
    <t>مرسيدس C200-2022</t>
  </si>
  <si>
    <t>00902022643</t>
  </si>
  <si>
    <t>محمد سمير محمد محمد على</t>
  </si>
  <si>
    <t>01005744411</t>
  </si>
  <si>
    <t>كانت في سلطان من 15/5 - 29-3 مردش</t>
  </si>
  <si>
    <t>1289</t>
  </si>
  <si>
    <t>بسنت محمد رحمى عبدالغنى عبدالرحيم</t>
  </si>
  <si>
    <t>بيجو 508 - 2021</t>
  </si>
  <si>
    <t>تجديدات</t>
  </si>
  <si>
    <t xml:space="preserve"> 30/03/2023 </t>
  </si>
  <si>
    <t>دفعت - وثيقتها لصالح البنك</t>
  </si>
  <si>
    <t>عمولة معرض 15% علشان كان قديم مع المعرض-11-6-2023</t>
  </si>
  <si>
    <t>00901921854</t>
  </si>
  <si>
    <t>Mohamed Ali Nosier Ahmed</t>
  </si>
  <si>
    <t>01119494944</t>
  </si>
  <si>
    <t>00902023560</t>
  </si>
  <si>
    <t>مريم محمد ابراهيم عبد الغنى</t>
  </si>
  <si>
    <t>01009390058</t>
  </si>
  <si>
    <t>14-5 كنسل</t>
  </si>
  <si>
    <t>00901825177</t>
  </si>
  <si>
    <t>مصطفى محمد صلاح الدين السيد صالح النجار</t>
  </si>
  <si>
    <t>00901934749</t>
  </si>
  <si>
    <t>Mona Hassan Abdal fattah Hassan</t>
  </si>
  <si>
    <t>28/03/2023</t>
  </si>
  <si>
    <t>00901825831</t>
  </si>
  <si>
    <t>Salah eldeen Saleh Hassan Ali</t>
  </si>
  <si>
    <t>21-3</t>
  </si>
  <si>
    <t>00401633761</t>
  </si>
  <si>
    <t>Osama Thabet Farag Moawwad</t>
  </si>
  <si>
    <t>Motor Express</t>
  </si>
  <si>
    <t>00901825618</t>
  </si>
  <si>
    <t>Nader Farouk Gerges</t>
  </si>
  <si>
    <t>2-4 هاني</t>
  </si>
  <si>
    <t>00901825557</t>
  </si>
  <si>
    <t>Amina Zaki Saeed Qandeel</t>
  </si>
  <si>
    <t>29/03/2023</t>
  </si>
  <si>
    <t>00901825560</t>
  </si>
  <si>
    <t>رائد محمد محمد ايوب</t>
  </si>
  <si>
    <t>00901825556</t>
  </si>
  <si>
    <t>Hazem Mamdouh Mohammed Mahmoud</t>
  </si>
  <si>
    <t>00901825971</t>
  </si>
  <si>
    <t>Yasmin Mohammed Mohammed Hassan Farid</t>
  </si>
  <si>
    <t>00902023563</t>
  </si>
  <si>
    <t>امجد محمد نبيل عبد البديع سليمان</t>
  </si>
  <si>
    <t>01003781239</t>
  </si>
  <si>
    <t>SALYA2BX5MA327069</t>
  </si>
  <si>
    <t>رانج روفر فيلر</t>
  </si>
  <si>
    <t>لصالح البنك -سلطان الميراج- تم توصيلها للمعرض</t>
  </si>
  <si>
    <t>باقي المبلغ بحساب مينا</t>
  </si>
  <si>
    <t>00901825972</t>
  </si>
  <si>
    <t>Christine Alfons Kamel Aziz</t>
  </si>
  <si>
    <t>30/03/2023</t>
  </si>
  <si>
    <t>00901825609</t>
  </si>
  <si>
    <t>سعد محمود سعد حامد ابراهيم</t>
  </si>
  <si>
    <t>00901825610</t>
  </si>
  <si>
    <t>ساره امير فاروق نسيم عقداوى</t>
  </si>
  <si>
    <t>00901825608</t>
  </si>
  <si>
    <t>mohamed tarek mahmoud zaki</t>
  </si>
  <si>
    <t>00902023469</t>
  </si>
  <si>
    <t>اسامه جلال مصيلحي صقر</t>
  </si>
  <si>
    <t>01033669335</t>
  </si>
  <si>
    <t>سكودا سوبرب</t>
  </si>
  <si>
    <t>سلطان مدينة نصر- تم توصيلها لمعرض</t>
  </si>
  <si>
    <t>194780</t>
  </si>
  <si>
    <t>فرح محمود جمال الدين سيد شافعى</t>
  </si>
  <si>
    <t>Sandy</t>
  </si>
  <si>
    <t>BMW X3-2023</t>
  </si>
  <si>
    <t>30-4-2023</t>
  </si>
  <si>
    <t>مع ا.ريمون - لم تدفع للشركة-10-4-ساندي اخدت العمولة في شهر 5</t>
  </si>
  <si>
    <t>6-6 بناء على طلب ا.ريمون ساندي 250ج عمولة لمساعدة العميلة</t>
  </si>
  <si>
    <t>00901754791</t>
  </si>
  <si>
    <t>Ashraf Farouk Zakarya Saleh</t>
  </si>
  <si>
    <t>31/03/2023</t>
  </si>
  <si>
    <t>00901813968</t>
  </si>
  <si>
    <t>Amr Eayd Abdal hadi Muslim</t>
  </si>
  <si>
    <t>00901739486</t>
  </si>
  <si>
    <t>Mohammed Galal Al deen Abdal hady Farrag</t>
  </si>
  <si>
    <t>تحويل بنكي - pdf</t>
  </si>
  <si>
    <t>00902019191</t>
  </si>
  <si>
    <t>منه الله هشام محمد صلاح الدين رخا</t>
  </si>
  <si>
    <t>01001370572</t>
  </si>
  <si>
    <t>Bayon</t>
  </si>
  <si>
    <t>هيونداى</t>
  </si>
  <si>
    <t>00901621048</t>
  </si>
  <si>
    <t>Ahmed Ramzy Mohammed Abdel Aal Shabana</t>
  </si>
  <si>
    <t>00901820176</t>
  </si>
  <si>
    <t>Ghada Al sadeq Abdalla Al sadeq</t>
  </si>
  <si>
    <t>00901938021</t>
  </si>
  <si>
    <t>Sara Abd Elhady Ibrahim Aram</t>
  </si>
  <si>
    <t>01000978543</t>
  </si>
  <si>
    <t>1305-</t>
  </si>
  <si>
    <t>احمد السيد سيد احمد سيد احمد الزيني</t>
  </si>
  <si>
    <t>-1305</t>
  </si>
  <si>
    <t>(11-4 بعت تفاصيل 5-4 كلمته مرتين و بعت رسائل</t>
  </si>
  <si>
    <t>لم نستلم الاصل</t>
  </si>
  <si>
    <t>00901831958</t>
  </si>
  <si>
    <t>عمرو محمد عاشور كامل عاشور</t>
  </si>
  <si>
    <t>28/5/2023</t>
  </si>
  <si>
    <t>00901831965</t>
  </si>
  <si>
    <t>سعيد محمد عبد الرحمن العشيرى</t>
  </si>
  <si>
    <t>14-6 هاني بوش الكريدت كارد</t>
  </si>
  <si>
    <t>00901831869</t>
  </si>
  <si>
    <t>ندى محمد ياسر ابراهيم رفاعي</t>
  </si>
  <si>
    <t>6/8/2023</t>
  </si>
  <si>
    <t>july</t>
  </si>
  <si>
    <t>00901643618</t>
  </si>
  <si>
    <t>كريم سيد اسماعيل مسلم</t>
  </si>
  <si>
    <t>00901643805</t>
  </si>
  <si>
    <t>سوزان صبحى روفائيل سرجيوس</t>
  </si>
  <si>
    <t>00901763889</t>
  </si>
  <si>
    <t>أحمد يوسف عبد ربه ابراهيم عجاج</t>
  </si>
  <si>
    <t>00901763784</t>
  </si>
  <si>
    <t>احمد حسن حلمى عبدالمتعال</t>
  </si>
  <si>
    <t>00901763664</t>
  </si>
  <si>
    <t>هند محمد احمد عبد الحليم</t>
  </si>
  <si>
    <t>1382</t>
  </si>
  <si>
    <t>نادين وائل محمد باشا</t>
  </si>
  <si>
    <t>فيات تيبو 2022</t>
  </si>
  <si>
    <t>13/6/2023</t>
  </si>
  <si>
    <t>18/6/2023</t>
  </si>
  <si>
    <t>198096</t>
  </si>
  <si>
    <t>رانيا عبد العزيز محمد على الغرابلى</t>
  </si>
  <si>
    <t>19/6/2023</t>
  </si>
  <si>
    <t>مع مصطفى عدنان الاصل</t>
  </si>
  <si>
    <t>198097</t>
  </si>
  <si>
    <t>احمد عبدالعزيز محمد الغرابلى</t>
  </si>
  <si>
    <t>BMW X1 2023</t>
  </si>
  <si>
    <t>00901766635-</t>
  </si>
  <si>
    <t>محمد علي عبد الحميد محمد--</t>
  </si>
  <si>
    <t>00901671498</t>
  </si>
  <si>
    <t>نبيل محمد عبد الغفار محروس</t>
  </si>
  <si>
    <t xml:space="preserve">00901671084 </t>
  </si>
  <si>
    <t>اكرام حسين حمدى شهاب الدين</t>
  </si>
  <si>
    <t>1407</t>
  </si>
  <si>
    <t>سهير سعيد لطفى الغمراوى</t>
  </si>
  <si>
    <t>01222180025</t>
  </si>
  <si>
    <t>سوبارو XV</t>
  </si>
  <si>
    <t>1409</t>
  </si>
  <si>
    <t>هايدى خالد خضرى محمود ابراهيم-</t>
  </si>
  <si>
    <t>30/7/2023</t>
  </si>
  <si>
    <t>لصالح البنك 26/6/2023</t>
  </si>
  <si>
    <t xml:space="preserve">00901859286 </t>
  </si>
  <si>
    <t>داليا كمال رشدى تادرس</t>
  </si>
  <si>
    <t>26/10/2023</t>
  </si>
  <si>
    <t xml:space="preserve">00901691348 </t>
  </si>
  <si>
    <t>وفاء ابراهيم اسماعيل الفقى</t>
  </si>
  <si>
    <t>00901771536-</t>
  </si>
  <si>
    <t>خالد محمد صادق احمد صادق الابريقجى-</t>
  </si>
  <si>
    <t>Oct</t>
  </si>
  <si>
    <t>1298--</t>
  </si>
  <si>
    <t>عمرو احمد مختار مصطفى عرفه---</t>
  </si>
  <si>
    <t>1298---</t>
  </si>
  <si>
    <t>عمرو احمد مختار مصطفى عرفه-----</t>
  </si>
  <si>
    <t>00901702319-</t>
  </si>
  <si>
    <t>Sherouk Hassan Faried Hashem</t>
  </si>
  <si>
    <t>00901702319</t>
  </si>
  <si>
    <t>20-3 UW</t>
  </si>
  <si>
    <t>00901940699</t>
  </si>
  <si>
    <t>ايهاب مصطفى حسن حسن</t>
  </si>
  <si>
    <t>13/04/2023</t>
  </si>
  <si>
    <t>00901940789</t>
  </si>
  <si>
    <t>احمد محمد فؤاد عبد الخالق الشربينى</t>
  </si>
  <si>
    <t>00901940701</t>
  </si>
  <si>
    <t>هند عادل مصطفى السيد</t>
  </si>
  <si>
    <t>1308</t>
  </si>
  <si>
    <t>مصطفى على خلاف محمد عبدالله</t>
  </si>
  <si>
    <t>01023443693</t>
  </si>
  <si>
    <t>شيرى تيجو 3 - 2023</t>
  </si>
  <si>
    <t>25/5/2023</t>
  </si>
  <si>
    <t>سيلز-مينا</t>
  </si>
  <si>
    <t>00901974247-</t>
  </si>
  <si>
    <t>يمنى وائل احمد فتحى-</t>
  </si>
  <si>
    <t>01001788922</t>
  </si>
  <si>
    <t>00901974247</t>
  </si>
  <si>
    <t>17-5 مردتش بعت تفاصيل-1136751-هتدفع بكرة26-4 -19-4 مردتش</t>
  </si>
  <si>
    <t>00901885768-</t>
  </si>
  <si>
    <t>سيف الدين حسن فريد هاشم-</t>
  </si>
  <si>
    <t>01004888983</t>
  </si>
  <si>
    <t>00901885768</t>
  </si>
  <si>
    <t>1050961-19-4 مردتش- هتشوف مع ا.ريمون-21-5 هيبعتلي هيدفع امتى</t>
  </si>
  <si>
    <t>00901637886</t>
  </si>
  <si>
    <t>Marwa Mostafa Ibrahim El Agrab</t>
  </si>
  <si>
    <t>14/04/2023</t>
  </si>
  <si>
    <t>00901827545</t>
  </si>
  <si>
    <t>على حسن بيومى عجلان</t>
  </si>
  <si>
    <t>00901940794</t>
  </si>
  <si>
    <t>Mohamed Ahmed Mohy</t>
  </si>
  <si>
    <t>00901940782</t>
  </si>
  <si>
    <t>ايك توماس خسروف زاكريان</t>
  </si>
  <si>
    <t>00901940781</t>
  </si>
  <si>
    <t>معتز بالله  مجدي مراد السيد حسن</t>
  </si>
  <si>
    <t>22-11 تم معرفة ان العميل راح كانس في الشركة بعد ما دفع</t>
  </si>
  <si>
    <t>00901941495</t>
  </si>
  <si>
    <t>محمد عبد الغنى السيد محمد</t>
  </si>
  <si>
    <t>00901827726</t>
  </si>
  <si>
    <t>عادل بنيامين ديمترى بشاره</t>
  </si>
  <si>
    <t xml:space="preserve">00901827738 </t>
  </si>
  <si>
    <t>جورج سمير سعيد رياض</t>
  </si>
  <si>
    <t>00901638416</t>
  </si>
  <si>
    <t>Mahmoud Tolba El Bayoumi Ahmed</t>
  </si>
  <si>
    <t>15/04/2023</t>
  </si>
  <si>
    <t>00901940769</t>
  </si>
  <si>
    <t>تامر محمد خليل على</t>
  </si>
  <si>
    <t>00901940785</t>
  </si>
  <si>
    <t>احمد حسين محمد الجميزى</t>
  </si>
  <si>
    <t>16/04/2023</t>
  </si>
  <si>
    <t>00901941494</t>
  </si>
  <si>
    <t>Moataz Metwally Alsayed Alsayed</t>
  </si>
  <si>
    <t>00901638723</t>
  </si>
  <si>
    <t>سارى سالم سعد الفقى</t>
  </si>
  <si>
    <t>00902026385</t>
  </si>
  <si>
    <t>يوسف ايمن ابراهيم ابراهيم صبري</t>
  </si>
  <si>
    <t>01124650333</t>
  </si>
  <si>
    <t>18/5/2023</t>
  </si>
  <si>
    <t>X5 بى ام دابليو</t>
  </si>
  <si>
    <t>15/5 سلطان</t>
  </si>
  <si>
    <t>00902025643</t>
  </si>
  <si>
    <t>مارينا ايليا ذكى عويضه</t>
  </si>
  <si>
    <t>17/04/2023</t>
  </si>
  <si>
    <t>01069999328</t>
  </si>
  <si>
    <t>مرسيدس CLA 200</t>
  </si>
  <si>
    <t>مع مينا- 26-4</t>
  </si>
  <si>
    <t>00901827990</t>
  </si>
  <si>
    <t>نانسى عبد الجواد السيد حامد حماد</t>
  </si>
  <si>
    <t>18/04/2023</t>
  </si>
  <si>
    <t>00902025667</t>
  </si>
  <si>
    <t>هانى رضوان عيد مرسى</t>
  </si>
  <si>
    <t>01005112233</t>
  </si>
  <si>
    <t>A6 أودى</t>
  </si>
  <si>
    <t>19-4 في معرض سلطان</t>
  </si>
  <si>
    <t>00902025665</t>
  </si>
  <si>
    <t>كريستين ايليا ذكى عويضه</t>
  </si>
  <si>
    <t>الدفع مع مينا 26-4</t>
  </si>
  <si>
    <t>00901941498</t>
  </si>
  <si>
    <t>Hisham Mohammed Rashwan Mohammed</t>
  </si>
  <si>
    <t>19/04/2023</t>
  </si>
  <si>
    <t>00901943806</t>
  </si>
  <si>
    <t>Hasnaa mahmoud samy mohamed</t>
  </si>
  <si>
    <t>00901941500</t>
  </si>
  <si>
    <t>امل احمد حسن عبد المجيد العزب</t>
  </si>
  <si>
    <t>00901828209</t>
  </si>
  <si>
    <t>Yousef Elsayed Ahemd Hashem</t>
  </si>
  <si>
    <t>00901941905</t>
  </si>
  <si>
    <t>محمد ايهاب احمد سعد زغلول سعيد مصطفى</t>
  </si>
  <si>
    <t>1307</t>
  </si>
  <si>
    <t>ساندرا عزيز شحاته غالي</t>
  </si>
  <si>
    <t>01022727268-01282113670</t>
  </si>
  <si>
    <t>30/4/2023</t>
  </si>
  <si>
    <t>كيا سبورتاج 2023</t>
  </si>
  <si>
    <t>1307#</t>
  </si>
  <si>
    <t>جواب بنك-بنك التعمير و الاسكان</t>
  </si>
  <si>
    <t>تم ايداعها 30-4-2023</t>
  </si>
  <si>
    <t>1309</t>
  </si>
  <si>
    <t>هايدى محمد سعيد محمود واصل</t>
  </si>
  <si>
    <t>14/5/2023</t>
  </si>
  <si>
    <t>26/6/2023</t>
  </si>
  <si>
    <t>1309-</t>
  </si>
  <si>
    <t>هايدى محمد سعيد محمود واصل-</t>
  </si>
  <si>
    <t>1309#</t>
  </si>
  <si>
    <t>195651</t>
  </si>
  <si>
    <t>محمد عبدالعزيز محمد على الغرابلى</t>
  </si>
  <si>
    <t>01153668833</t>
  </si>
  <si>
    <t>BMW-X5-2023</t>
  </si>
  <si>
    <t>مع ا.ريمون 11-5-10-5 دفع مع مصطفى عدنان</t>
  </si>
  <si>
    <t>ا.ريمون سلمها كاش</t>
  </si>
  <si>
    <t>00901941499</t>
  </si>
  <si>
    <t>مصطفى احمد طه محمد ابو السعود</t>
  </si>
  <si>
    <t>1307--</t>
  </si>
  <si>
    <t>ساندرا عزيز شحاته غالي-</t>
  </si>
  <si>
    <t>01022727268</t>
  </si>
  <si>
    <t>24/9/2023</t>
  </si>
  <si>
    <t>00901640734</t>
  </si>
  <si>
    <t>Hanan Wasfy Al Kasan George</t>
  </si>
  <si>
    <t>20/04/2023</t>
  </si>
  <si>
    <t>00901828513</t>
  </si>
  <si>
    <t>هشام محمود محمد شريف</t>
  </si>
  <si>
    <t>اقساط</t>
  </si>
  <si>
    <t>00901941908</t>
  </si>
  <si>
    <t>السيد محمود بركات احمد رهينه</t>
  </si>
  <si>
    <t>00901640401</t>
  </si>
  <si>
    <t>Ahmed Shehata Ali Mahmoud</t>
  </si>
  <si>
    <t>21/04/2023</t>
  </si>
  <si>
    <t>00901828533</t>
  </si>
  <si>
    <t>Kariam Ismail Mohamed</t>
  </si>
  <si>
    <t>00901992411</t>
  </si>
  <si>
    <t>نهال لطفى سليمان داود</t>
  </si>
  <si>
    <t>00901829097</t>
  </si>
  <si>
    <t>ياسمين حسن فهمى محمد احمد</t>
  </si>
  <si>
    <t>22/04/2023</t>
  </si>
  <si>
    <t>00901828596</t>
  </si>
  <si>
    <t>Motaz Ballah Mohamed Abdel Aziz</t>
  </si>
  <si>
    <t>00901828930</t>
  </si>
  <si>
    <t>حسام الدين محمد احمد حسنين</t>
  </si>
  <si>
    <t>00901641698</t>
  </si>
  <si>
    <t>احمد ابراهيم محمود السلامونى</t>
  </si>
  <si>
    <t>23/04/2023</t>
  </si>
  <si>
    <t>00901828927</t>
  </si>
  <si>
    <t>نوران جمال محمد كمال</t>
  </si>
  <si>
    <t>عايزة الاصل</t>
  </si>
  <si>
    <t>00901829098</t>
  </si>
  <si>
    <t>ايه حلمى عبد الرحمن سيد احمد الهضيبى</t>
  </si>
  <si>
    <t>24/04/2023</t>
  </si>
  <si>
    <t>00901829213</t>
  </si>
  <si>
    <t>Mai Hatem Mohammed Al shaarawy</t>
  </si>
  <si>
    <t>00901943759</t>
  </si>
  <si>
    <t>على فرحان زايد عوده</t>
  </si>
  <si>
    <t>00901831174</t>
  </si>
  <si>
    <t>ضحى فاروق حسن عامر</t>
  </si>
  <si>
    <t>25/04/2023</t>
  </si>
  <si>
    <t>معرض مكان-ايداع بعد العيد</t>
  </si>
  <si>
    <t>00901829187</t>
  </si>
  <si>
    <t>فادى فؤاد فهيم</t>
  </si>
  <si>
    <t>00901829437</t>
  </si>
  <si>
    <t>هايدى احمد محمود السيد شلبى</t>
  </si>
  <si>
    <t>00901829439</t>
  </si>
  <si>
    <t>هبه احمد نذير محمد بكداش</t>
  </si>
  <si>
    <t>Medical</t>
  </si>
  <si>
    <t>90402055928-</t>
  </si>
  <si>
    <t>سامر شعبان على شعبان</t>
  </si>
  <si>
    <t>Unpaid</t>
  </si>
  <si>
    <t>shrouk</t>
  </si>
  <si>
    <t>00901831312</t>
  </si>
  <si>
    <t>سلوى سعد توفيق سعد</t>
  </si>
  <si>
    <t>26/04/2023</t>
  </si>
  <si>
    <t>28/8/2023</t>
  </si>
  <si>
    <t>23/10/2023</t>
  </si>
  <si>
    <t>28-8 دفع جوذيف بالفيزا في المعرض - هاني</t>
  </si>
  <si>
    <t>1310</t>
  </si>
  <si>
    <t>منال كمال محمد درغام</t>
  </si>
  <si>
    <t>اودى A4-2023</t>
  </si>
  <si>
    <t>مينا عمل ايداع يوم 2-5-2023-من فلوس المعرض 58500</t>
  </si>
  <si>
    <t>1312</t>
  </si>
  <si>
    <t>احمد عبدالعظيم احمد اسماعيل</t>
  </si>
  <si>
    <t>01062909702</t>
  </si>
  <si>
    <t>محمد حمدي</t>
  </si>
  <si>
    <t>ميتسوبيشي اكلبس كروس 2022</t>
  </si>
  <si>
    <t>27-4 هيودع 30-4</t>
  </si>
  <si>
    <t>1320-</t>
  </si>
  <si>
    <t>عصام السيد احمد السيد</t>
  </si>
  <si>
    <t>01227719821</t>
  </si>
  <si>
    <t>فولكس فاجن -cross fox-2021</t>
  </si>
  <si>
    <t>1320</t>
  </si>
  <si>
    <t>26-4  بكرة هيروحGIG-كهرباء</t>
  </si>
  <si>
    <t>00901718029--</t>
  </si>
  <si>
    <t>ريمون حنا بطرس صالح#</t>
  </si>
  <si>
    <t>00901718029</t>
  </si>
  <si>
    <t>1316-</t>
  </si>
  <si>
    <t>نهير سامح تيسير عبدالعال</t>
  </si>
  <si>
    <t>01006376377</t>
  </si>
  <si>
    <t>الفا روميو ميتو 2015</t>
  </si>
  <si>
    <t>1316</t>
  </si>
  <si>
    <t>26-4 كلمتها و بعت التفاصيل</t>
  </si>
  <si>
    <t>1306</t>
  </si>
  <si>
    <t>خالد متولى عبدالحافظ متولى</t>
  </si>
  <si>
    <t>01063386565</t>
  </si>
  <si>
    <t>ميتسوبيشي اكسباندر 2021</t>
  </si>
  <si>
    <t>26-4 هيدفع بكرة في الفرع</t>
  </si>
  <si>
    <t>00901943748</t>
  </si>
  <si>
    <t>حسن لوى حسن حسن عياط</t>
  </si>
  <si>
    <t>15/5/2023</t>
  </si>
  <si>
    <t>00901831305</t>
  </si>
  <si>
    <t>احمد مصطفى عبد الحميد مصطفى-</t>
  </si>
  <si>
    <t>00901831305-</t>
  </si>
  <si>
    <t>00901831175</t>
  </si>
  <si>
    <t>عايده كمال لوكاس غبريال</t>
  </si>
  <si>
    <t>27/04/2023</t>
  </si>
  <si>
    <t>00901831664</t>
  </si>
  <si>
    <t>عبد العليم عبدالفتاح عوض على</t>
  </si>
  <si>
    <t>00901946937</t>
  </si>
  <si>
    <t>خالد محمد فتحى عبد الفتاح سعود</t>
  </si>
  <si>
    <t>00901947336</t>
  </si>
  <si>
    <t>امانى شنوده هندى عبد الشهيد</t>
  </si>
  <si>
    <t>تويوتا كورولا</t>
  </si>
  <si>
    <t>00901947336-</t>
  </si>
  <si>
    <t>00901831858</t>
  </si>
  <si>
    <t>نور عمرو نصحى سراج الدين</t>
  </si>
  <si>
    <t>28/04/2023</t>
  </si>
  <si>
    <t>00902026466</t>
  </si>
  <si>
    <t>عماد ابراهيم على عفانه</t>
  </si>
  <si>
    <t>29/04/2023</t>
  </si>
  <si>
    <t>01028234111</t>
  </si>
  <si>
    <t>هيونداي توسان</t>
  </si>
  <si>
    <t>2-5 تاريخ الايداع</t>
  </si>
  <si>
    <t>1314</t>
  </si>
  <si>
    <t>محمد نشأت محمد يوسف</t>
  </si>
  <si>
    <t>30/04/2023</t>
  </si>
  <si>
    <t>01555550067</t>
  </si>
  <si>
    <t>بيجو 508 -2021</t>
  </si>
  <si>
    <t>1-5 مردش بعت التفاصيل3-5 هيروح مدينة نصر</t>
  </si>
  <si>
    <t>195831</t>
  </si>
  <si>
    <t>محمد عاكف محمد اسماعيل</t>
  </si>
  <si>
    <t>01283453555</t>
  </si>
  <si>
    <t>سيارو XV-2021</t>
  </si>
  <si>
    <t>1-5 بعت العناوين و عايز حد من السليز</t>
  </si>
  <si>
    <t>195950</t>
  </si>
  <si>
    <t>اسحق اسماعيل صالح اسماعيل النجار</t>
  </si>
  <si>
    <t>01060017777</t>
  </si>
  <si>
    <t>ميتسوبيشي Eclipse-2018</t>
  </si>
  <si>
    <t>?</t>
  </si>
  <si>
    <t>لصالح البنك-هيروح بكرة مدينة نصر- 24-5 امن في شركة المهندس</t>
  </si>
  <si>
    <t>00901643210</t>
  </si>
  <si>
    <t>احمد محمد احمد محمد على</t>
  </si>
  <si>
    <t>Business</t>
  </si>
  <si>
    <t>06501758352</t>
  </si>
  <si>
    <t>فيجا و قطونيل</t>
  </si>
  <si>
    <t>بيزنس بلس</t>
  </si>
  <si>
    <t>00902009575</t>
  </si>
  <si>
    <t>محمد فتحي مصطفى عيسى</t>
  </si>
  <si>
    <t>01000630807</t>
  </si>
  <si>
    <t>jan</t>
  </si>
  <si>
    <t>00901807379</t>
  </si>
  <si>
    <t>Ahmed Fouad Abdel Hafez</t>
  </si>
  <si>
    <t>تحويل بنكي و ارسالها PDF</t>
  </si>
  <si>
    <t>00901807395</t>
  </si>
  <si>
    <t>Maged Mohamed Moharm</t>
  </si>
  <si>
    <t>00901728801</t>
  </si>
  <si>
    <t>Rania Mahmoud Mohammed Al Zanati</t>
  </si>
  <si>
    <t>29/01/2023</t>
  </si>
  <si>
    <t>00901657171-</t>
  </si>
  <si>
    <t>بشار محمود احمد محمود مزيد--</t>
  </si>
  <si>
    <t>00901608988</t>
  </si>
  <si>
    <t>Samah Ismail Ali Abdel Nasser</t>
  </si>
  <si>
    <t>00901841568-</t>
  </si>
  <si>
    <t>يحيى محمد امين عبدالعظيم السحيمي-</t>
  </si>
  <si>
    <t>00901928281</t>
  </si>
  <si>
    <t>Naglaa Mostafa Hussein Hassan Halawa</t>
  </si>
  <si>
    <t>00901820257</t>
  </si>
  <si>
    <t>Ashraf Mohammed Saleh aldeen Hassan Ali</t>
  </si>
  <si>
    <t>00901750007</t>
  </si>
  <si>
    <t>Ahmed Fathy Zaghloul Ahmed</t>
  </si>
  <si>
    <t>01222599702</t>
  </si>
  <si>
    <t>2-3 تحويل بنكي CIB</t>
  </si>
  <si>
    <t>1206</t>
  </si>
  <si>
    <t>هدير عادل عبده منذور</t>
  </si>
  <si>
    <t>327282</t>
  </si>
  <si>
    <t>RANGE ROVER</t>
  </si>
  <si>
    <t>فيلار</t>
  </si>
  <si>
    <t>00902019553</t>
  </si>
  <si>
    <t>احمد شوقى سليمان عبد المولى</t>
  </si>
  <si>
    <t>01006904504</t>
  </si>
  <si>
    <t>جيب جراند شيروكى</t>
  </si>
  <si>
    <t>1-5-2023</t>
  </si>
  <si>
    <t>بنك قطر الوطنى الاهلى-هكلمه تاني 13-3-14-3 هيدفع خلال 10 ايام-مريم</t>
  </si>
  <si>
    <t>ايداع الخصم فقط 9-5</t>
  </si>
  <si>
    <t>00901820256</t>
  </si>
  <si>
    <t>Nardeen Maged Hanna Walson</t>
  </si>
  <si>
    <t>01002021026</t>
  </si>
  <si>
    <t>Badr Mohammed Alsaid Mahmoud Ramadan</t>
  </si>
  <si>
    <t>01005439291</t>
  </si>
  <si>
    <t xml:space="preserve"> 14-5مردش- 19/3/2023 مردش</t>
  </si>
  <si>
    <t>00901246021</t>
  </si>
  <si>
    <t>Rady ahmed mahmoud elnashar</t>
  </si>
  <si>
    <t>PDF-20-3</t>
  </si>
  <si>
    <t>00901750046</t>
  </si>
  <si>
    <t>نادر فتحى رياض عبدالله</t>
  </si>
  <si>
    <t>14-5 تم ايداع المبلغ بحساب ا. ريمون البنك الاهلي و هندفع الفرق الخصم</t>
  </si>
  <si>
    <t>1298</t>
  </si>
  <si>
    <t>عمرو احمد مختار مصطفى عرفه</t>
  </si>
  <si>
    <t>01002017858</t>
  </si>
  <si>
    <t>سوزوكي سياز 2022</t>
  </si>
  <si>
    <t>00901938628</t>
  </si>
  <si>
    <t>Mina Samir Samy Masoud Botros</t>
  </si>
  <si>
    <t>00901938023</t>
  </si>
  <si>
    <t>على ياسين على شرشر</t>
  </si>
  <si>
    <t>00901826539</t>
  </si>
  <si>
    <t>على حسام الدين مصطفى عبداللة ربيع</t>
  </si>
  <si>
    <t>00901652278-</t>
  </si>
  <si>
    <t>عمرو محمد عبد العليم رفاعي-</t>
  </si>
  <si>
    <t>1298-</t>
  </si>
  <si>
    <t>عمرو احمد مختار مصطفى عرفه-</t>
  </si>
  <si>
    <t>00901831988</t>
  </si>
  <si>
    <t>خالد محمد محى الدين على احمد</t>
  </si>
  <si>
    <t>00901832342</t>
  </si>
  <si>
    <t>امل حسنين محمد حمزه</t>
  </si>
  <si>
    <t>1318</t>
  </si>
  <si>
    <t>محمود على احمد محمد قناوى</t>
  </si>
  <si>
    <t>01001716789</t>
  </si>
  <si>
    <t>بيجو 3008-2022</t>
  </si>
  <si>
    <t>معرض سعودي- حاتم - لصالح البنك-9-5عايزها على 3 اقساط</t>
  </si>
  <si>
    <t>012952</t>
  </si>
  <si>
    <t>هشام محمد فتحي محمد محمد سيد احمد</t>
  </si>
  <si>
    <t>01001082083</t>
  </si>
  <si>
    <t>MG RX5-2021</t>
  </si>
  <si>
    <t xml:space="preserve"> 24/05/2023 </t>
  </si>
  <si>
    <t>9-5 مردش بعت التفاصيل</t>
  </si>
  <si>
    <t>1393</t>
  </si>
  <si>
    <t>حازم محمد محمد عبدالسلام عبدالوهاب</t>
  </si>
  <si>
    <t>01153053464</t>
  </si>
  <si>
    <t>ادهم عطية</t>
  </si>
  <si>
    <t>بيجو 3008 - 2021</t>
  </si>
  <si>
    <t xml:space="preserve"> 07/06/2023 </t>
  </si>
  <si>
    <t>5-6 هيحول النهاردة</t>
  </si>
  <si>
    <t>1391</t>
  </si>
  <si>
    <t>هايدى خالد خضرى محمود ابراهيم</t>
  </si>
  <si>
    <t>01116882711</t>
  </si>
  <si>
    <t>198099</t>
  </si>
  <si>
    <t>مها رفعت عبدالقادر غزاوى</t>
  </si>
  <si>
    <t>01097734806</t>
  </si>
  <si>
    <t>محمد عبدالفتاح</t>
  </si>
  <si>
    <t>ميتسوبيشي Eclipse 2021</t>
  </si>
  <si>
    <t>20/6/2023</t>
  </si>
  <si>
    <t>00401794406-</t>
  </si>
  <si>
    <t>احمد بدوى عبدالله محمد الشناوى</t>
  </si>
  <si>
    <t>01272820195</t>
  </si>
  <si>
    <t>00401794406</t>
  </si>
  <si>
    <t>بعت رسالة 12-6 - كلمته 13-6 مردش - 11-6 مردتش بعت رسالة</t>
  </si>
  <si>
    <t>00901501804</t>
  </si>
  <si>
    <t>إيهاب عبدالحليم عبد السلام على</t>
  </si>
  <si>
    <t>14262</t>
  </si>
  <si>
    <t>ندى على شريف ذكى مصطفى محمد</t>
  </si>
  <si>
    <t>01002959232</t>
  </si>
  <si>
    <t>احمد رأفت</t>
  </si>
  <si>
    <t>اودى 2020</t>
  </si>
  <si>
    <t>lead</t>
  </si>
  <si>
    <t>10-7 دفعت في الشركة تحويل-ا.ريمون</t>
  </si>
  <si>
    <t>00901671521</t>
  </si>
  <si>
    <t>عزت محمد رماح رضا احمد عزت</t>
  </si>
  <si>
    <t>00901773624</t>
  </si>
  <si>
    <t>شيماء انيس عمارة محمد</t>
  </si>
  <si>
    <t>00901859601</t>
  </si>
  <si>
    <t>وليد فوزى احمد شماخ</t>
  </si>
  <si>
    <t>00901773885</t>
  </si>
  <si>
    <t>هناء جميل ميخائيل بشاى</t>
  </si>
  <si>
    <t>00901859721</t>
  </si>
  <si>
    <t>ضياء ايهاب رضوان عبد المنعم</t>
  </si>
  <si>
    <t>00901859602</t>
  </si>
  <si>
    <t>الاء محمد محمود محمد</t>
  </si>
  <si>
    <t xml:space="preserve">00901859704 </t>
  </si>
  <si>
    <t>سامح عبد الرؤوف عطا جاد الكريم</t>
  </si>
  <si>
    <t>27/9/2023</t>
  </si>
  <si>
    <t>00901866768</t>
  </si>
  <si>
    <t>محمود محمد محمود حسن</t>
  </si>
  <si>
    <t>00401540501</t>
  </si>
  <si>
    <t>سليم فرج شعبان سليم</t>
  </si>
  <si>
    <t xml:space="preserve">00901952786 </t>
  </si>
  <si>
    <t>ياسين مراد احمد كامل-</t>
  </si>
  <si>
    <t>196796-</t>
  </si>
  <si>
    <t>محمد فايز عدلى عبدالعزيز عامر-</t>
  </si>
  <si>
    <t>01016172019</t>
  </si>
  <si>
    <t>عمر مرزوق</t>
  </si>
  <si>
    <t>كيا سبوتاج 2021</t>
  </si>
  <si>
    <t>19/10/2023</t>
  </si>
  <si>
    <t>17/10/2023</t>
  </si>
  <si>
    <t>00901647822</t>
  </si>
  <si>
    <t>محمد صادق حافظ محمود</t>
  </si>
  <si>
    <t>14/05/2023</t>
  </si>
  <si>
    <t>00901716157-</t>
  </si>
  <si>
    <t>احمد محمد محمود محمد-</t>
  </si>
  <si>
    <t>01114555970</t>
  </si>
  <si>
    <t>17-5 مردش بعت التفاصيل</t>
  </si>
  <si>
    <t>00901728870-</t>
  </si>
  <si>
    <t>محمد نبيل محمد عبد الفتاح-</t>
  </si>
  <si>
    <t>01000045130</t>
  </si>
  <si>
    <t>17-5 هيروح النهاردة يدفع</t>
  </si>
  <si>
    <t>196690</t>
  </si>
  <si>
    <t>هانى مراد محمود الزمر</t>
  </si>
  <si>
    <t>01110077002</t>
  </si>
  <si>
    <t>1346</t>
  </si>
  <si>
    <t>شريهان سامح السيد عبدالمنعم ناصف</t>
  </si>
  <si>
    <t>01222911103</t>
  </si>
  <si>
    <t>24/5/203</t>
  </si>
  <si>
    <t xml:space="preserve"> 25/05/2023 </t>
  </si>
  <si>
    <t>لصالح البنك- لا يوجد استثناءات</t>
  </si>
  <si>
    <t>1344</t>
  </si>
  <si>
    <t>داليا السيد عبدالرحمن النجار</t>
  </si>
  <si>
    <t>01062296999</t>
  </si>
  <si>
    <t>22/5/2023</t>
  </si>
  <si>
    <t>مرسيدس G-500-2021</t>
  </si>
  <si>
    <t>24/5/2023</t>
  </si>
  <si>
    <t>00901760362</t>
  </si>
  <si>
    <t>محمد منذر احمد بستانى</t>
  </si>
  <si>
    <t>90402030226</t>
  </si>
  <si>
    <t>صلاح الدين محمد فتحى</t>
  </si>
  <si>
    <t>16-5 دفع هاني فالشركة اول قسط يتبقى الثاني</t>
  </si>
  <si>
    <t>1354-</t>
  </si>
  <si>
    <t>هاجر شريف بهجت احمد عبدالرحمن-</t>
  </si>
  <si>
    <t>01212397777</t>
  </si>
  <si>
    <t>هيونداى ألترا 2019</t>
  </si>
  <si>
    <t>1354</t>
  </si>
  <si>
    <t>00901709136-</t>
  </si>
  <si>
    <t>لمياء محمد بهائي عبد المجيد سليمان</t>
  </si>
  <si>
    <t>01064444420</t>
  </si>
  <si>
    <t>21-5 هتسدد بكرة</t>
  </si>
  <si>
    <t>00901930922-</t>
  </si>
  <si>
    <t>محمد عبدالمقصود محمد الشرقاوى</t>
  </si>
  <si>
    <t>00901723263-</t>
  </si>
  <si>
    <t>هيثم ابو بكر حسن محمد الرشيدى</t>
  </si>
  <si>
    <t>01223551838</t>
  </si>
  <si>
    <t>00902034011</t>
  </si>
  <si>
    <t>مينا رفيق رشدى الطوخى</t>
  </si>
  <si>
    <t>01141257777</t>
  </si>
  <si>
    <t>GLC200 SUV AMG مرسيدس</t>
  </si>
  <si>
    <t>00901763930-</t>
  </si>
  <si>
    <t>احمد اسامه سعيد همام-</t>
  </si>
  <si>
    <t>00901837113-</t>
  </si>
  <si>
    <t>حنان محمد عبد الرازق زهره-</t>
  </si>
  <si>
    <t>00901649470</t>
  </si>
  <si>
    <t>ريمون ايوب عزمى خير الذهبى</t>
  </si>
  <si>
    <t>15/05/2023</t>
  </si>
  <si>
    <t>1347</t>
  </si>
  <si>
    <t>هاجر شريف بهجت احمد عبدالرحمن</t>
  </si>
  <si>
    <t>01100845854</t>
  </si>
  <si>
    <t>مينا عاطف</t>
  </si>
  <si>
    <t>هيونداى الترا 2022</t>
  </si>
  <si>
    <t>لصالح البنك- تم تعديل الوثيقة من ج13000 الى 15600 ج</t>
  </si>
  <si>
    <t>1349</t>
  </si>
  <si>
    <t>زينب محمد سليمان محمد شحاته</t>
  </si>
  <si>
    <t>01223198658 </t>
  </si>
  <si>
    <t>ميتسوبيشي-Attrag-2023</t>
  </si>
  <si>
    <t>21/5/2023</t>
  </si>
  <si>
    <t xml:space="preserve"> 18/05/2023 </t>
  </si>
  <si>
    <t>1348</t>
  </si>
  <si>
    <t>احمد هشام مصطفى عبدالمجيد</t>
  </si>
  <si>
    <t>تويوتا كورولا-2022</t>
  </si>
  <si>
    <t>ا.نجلاء</t>
  </si>
  <si>
    <t>1350</t>
  </si>
  <si>
    <t>ماجد فكتور جادالله عطيه</t>
  </si>
  <si>
    <t>01003674000</t>
  </si>
  <si>
    <t>مرسيدس E200-2019</t>
  </si>
  <si>
    <t>00901650759</t>
  </si>
  <si>
    <t>أحمد حمدى عبدالحى الصيرفى</t>
  </si>
  <si>
    <t>16/05/2023</t>
  </si>
  <si>
    <t>00901856686-</t>
  </si>
  <si>
    <t>ايمان عادل بسيونى عبد الجواد</t>
  </si>
  <si>
    <t>01004530610</t>
  </si>
  <si>
    <t>23-5 في معرض موتور سيتي-21-5 عايزاها في موتور سيتي النزهة</t>
  </si>
  <si>
    <t>00901884293-</t>
  </si>
  <si>
    <t>حبيبه احمد محمد مدحت سليمان الروبى</t>
  </si>
  <si>
    <t>01030507068</t>
  </si>
  <si>
    <t>21-5 هتدفع النهاردة او بكرة</t>
  </si>
  <si>
    <t>00901987798-</t>
  </si>
  <si>
    <t>حسين هيثم ابو بكر حسن محمد</t>
  </si>
  <si>
    <t>01008708970</t>
  </si>
  <si>
    <t>00901803865-</t>
  </si>
  <si>
    <t>مهند طارق عبد الحميد محمد سالم</t>
  </si>
  <si>
    <t>01112277417</t>
  </si>
  <si>
    <t>00901803969-</t>
  </si>
  <si>
    <t>خالد السيد احمد عز الدين</t>
  </si>
  <si>
    <t>01223133005</t>
  </si>
  <si>
    <t>00901791954-</t>
  </si>
  <si>
    <t>مريم هانى مجدى توفيق</t>
  </si>
  <si>
    <t>01003158777</t>
  </si>
  <si>
    <t>00901832541</t>
  </si>
  <si>
    <t>دينا عمرو حسن يسرى</t>
  </si>
  <si>
    <t>17/05/2023</t>
  </si>
  <si>
    <t>00901833931</t>
  </si>
  <si>
    <t>هند هشام سيف الدين محمد بركات</t>
  </si>
  <si>
    <t>00901950971</t>
  </si>
  <si>
    <t>مجدى عبد المقصود محمد نوح</t>
  </si>
  <si>
    <t>MG 5</t>
  </si>
  <si>
    <t>1345</t>
  </si>
  <si>
    <t>منى على الدين صالح ابراهيم</t>
  </si>
  <si>
    <t>01000761176</t>
  </si>
  <si>
    <t>بيجو 508-2020</t>
  </si>
  <si>
    <t>21-5 سلطان</t>
  </si>
  <si>
    <t>00901878107-</t>
  </si>
  <si>
    <t>حنان محمد ممدوح عبد المالك</t>
  </si>
  <si>
    <t>00901835614</t>
  </si>
  <si>
    <t>مينا وجيه شنوده مجلع</t>
  </si>
  <si>
    <t>18/05/2023</t>
  </si>
  <si>
    <t>00901835112</t>
  </si>
  <si>
    <t>محمد عبد الوهاب عبد اللطيف عبدالله</t>
  </si>
  <si>
    <t>00901835617</t>
  </si>
  <si>
    <t>باسم عماد عزت نصر</t>
  </si>
  <si>
    <t>00901834891</t>
  </si>
  <si>
    <t>حازم محمد محمد محمد امين</t>
  </si>
  <si>
    <t>00901501804-</t>
  </si>
  <si>
    <t>إيهاب عبدالحليم عبد السلام على-</t>
  </si>
  <si>
    <t>01003111505</t>
  </si>
  <si>
    <t>21-5 هيروح الفرع</t>
  </si>
  <si>
    <t>00901378898-</t>
  </si>
  <si>
    <t>كاريمان محمود كامل احمد</t>
  </si>
  <si>
    <t>01020333552</t>
  </si>
  <si>
    <t>هاني دفع-22-5 كلمته و دفع بوش كاريدت كارد الي معانا</t>
  </si>
  <si>
    <t>00901998678-</t>
  </si>
  <si>
    <t>اسماعيل محمد محمود فهمى سليمان</t>
  </si>
  <si>
    <t>01005401399</t>
  </si>
  <si>
    <t>عايزة اتأكد من رقم الموبيل- 21-5 مردش بعت رسالة</t>
  </si>
  <si>
    <t>00901912701-</t>
  </si>
  <si>
    <t>ريمون رمسيس انيس بطرس-</t>
  </si>
  <si>
    <t>01061056900</t>
  </si>
  <si>
    <t xml:space="preserve"> 21-5 مردش بعت رسالة</t>
  </si>
  <si>
    <t>00901808234-</t>
  </si>
  <si>
    <t>رباب فوده على فوده-</t>
  </si>
  <si>
    <t>01008057474</t>
  </si>
  <si>
    <t xml:space="preserve"> 21-5 مردش بعت رسالة-هيسدد 28-5</t>
  </si>
  <si>
    <t>00901898547-</t>
  </si>
  <si>
    <t>سليم يوسف عبيد</t>
  </si>
  <si>
    <t>01201078478</t>
  </si>
  <si>
    <t>00902001878-</t>
  </si>
  <si>
    <t>زينب على ثابت عواد</t>
  </si>
  <si>
    <t>01065555449</t>
  </si>
  <si>
    <t xml:space="preserve"> 21-5 مردش بعت رسالة -22-5 دفع 78خخ ج</t>
  </si>
  <si>
    <t>00901728131-</t>
  </si>
  <si>
    <t>ولاء وحيد احمد محمد عبد العزيز-</t>
  </si>
  <si>
    <t>01001578565</t>
  </si>
  <si>
    <t>21-5 هتروح مدينة نصر</t>
  </si>
  <si>
    <t>00901745680-</t>
  </si>
  <si>
    <t>ياسمين صبرى محمود حجازى-</t>
  </si>
  <si>
    <t>01224113054</t>
  </si>
  <si>
    <t>21-5 عندها مشكلة مع الاكونت هتكلم الكول سنتر</t>
  </si>
  <si>
    <t>197262</t>
  </si>
  <si>
    <t>عمرو عماد عبدالله حجاب</t>
  </si>
  <si>
    <t>01000066656</t>
  </si>
  <si>
    <t>رينو - ميجان - 2020</t>
  </si>
  <si>
    <t>197205</t>
  </si>
  <si>
    <t>كارمن رامز بشرى نسيم</t>
  </si>
  <si>
    <t>01223103273</t>
  </si>
  <si>
    <t>C3 2022</t>
  </si>
  <si>
    <t>00901444527-</t>
  </si>
  <si>
    <t>خالد محمد عبدالمنعم قنديل</t>
  </si>
  <si>
    <t>01093005969</t>
  </si>
  <si>
    <t>13-6 فكرته-31-5 ا.خالد- هيتابع د-خالد-هيدفع لما يرجعله خلال 5 ايام</t>
  </si>
  <si>
    <t>01001975077-</t>
  </si>
  <si>
    <t>محمد السيد محمود رمضان--</t>
  </si>
  <si>
    <t>16/6/2023</t>
  </si>
  <si>
    <t>14-6 هاني حصل من العملاء شيك</t>
  </si>
  <si>
    <t>00901876432-</t>
  </si>
  <si>
    <t>دينا سامى عزيز جيد</t>
  </si>
  <si>
    <t>01223465989</t>
  </si>
  <si>
    <t>20-6 مردش بعت تفاصيل</t>
  </si>
  <si>
    <t>00901715682-</t>
  </si>
  <si>
    <t>اشرف كمال عبد المجيد بهجت-</t>
  </si>
  <si>
    <t>00901761526</t>
  </si>
  <si>
    <t>عبير على حسن الشعشاعى</t>
  </si>
  <si>
    <t>19/05/2023</t>
  </si>
  <si>
    <t>00901835611</t>
  </si>
  <si>
    <t>مصطفى محى الدين مصطفى كامل بحر</t>
  </si>
  <si>
    <t>00901761449</t>
  </si>
  <si>
    <t>محمد سالم مصطفى على</t>
  </si>
  <si>
    <t>47583.65-14625</t>
  </si>
  <si>
    <t>مش عارفة الصافي بتعها</t>
  </si>
  <si>
    <t>00901650579</t>
  </si>
  <si>
    <t>رضوى مدحت محمود  المبيض</t>
  </si>
  <si>
    <t>00901651051</t>
  </si>
  <si>
    <t>طارق بكرى  منصور على</t>
  </si>
  <si>
    <t>00901651084</t>
  </si>
  <si>
    <t>سارة شريف بشرى مجلى</t>
  </si>
  <si>
    <t>20/05/2023</t>
  </si>
  <si>
    <t>00901651271</t>
  </si>
  <si>
    <t>حسين صلاح الدين كمال عبد المجيد ابراهيم</t>
  </si>
  <si>
    <t>00901652521</t>
  </si>
  <si>
    <t>مينا مجدى رمزى اسحق بدوى</t>
  </si>
  <si>
    <t>21/05/2023</t>
  </si>
  <si>
    <t>2-5 هيروح الفرع و يدفع تقسيط</t>
  </si>
  <si>
    <t>00901836111</t>
  </si>
  <si>
    <t>ابانوب شوقى تمترى شحاته</t>
  </si>
  <si>
    <t>1364</t>
  </si>
  <si>
    <t>نجوان جعفر زكى محمد</t>
  </si>
  <si>
    <t>01000123472</t>
  </si>
  <si>
    <t>كيا سيراتو 2021</t>
  </si>
  <si>
    <t>معاها لحد 6-1 - اخدت خصم 1114 ج</t>
  </si>
  <si>
    <t>6-7 تم ايداع الفرق</t>
  </si>
  <si>
    <t>1365</t>
  </si>
  <si>
    <t>سارة سعيد عبداللطيف محمد عرابى</t>
  </si>
  <si>
    <t>01063864476</t>
  </si>
  <si>
    <t>كيا اسبوتاج 2023</t>
  </si>
  <si>
    <t>384027</t>
  </si>
  <si>
    <t>على الميل ؟</t>
  </si>
  <si>
    <t>مع ا.ريمون</t>
  </si>
  <si>
    <t>197217</t>
  </si>
  <si>
    <t>محمد فايز ابراهيم بركات</t>
  </si>
  <si>
    <t>BMW-X6-2019</t>
  </si>
  <si>
    <t>ا.ريمون هيسلمها لحد تاني</t>
  </si>
  <si>
    <t>1362</t>
  </si>
  <si>
    <t>ريم محمد رأفت احمد عمرو</t>
  </si>
  <si>
    <t>01093163915</t>
  </si>
  <si>
    <t>بيجو 3008-2020</t>
  </si>
  <si>
    <t>هتدفع النهاردة 30-5 - هتدفع فالتجمع 24-5</t>
  </si>
  <si>
    <t>198095</t>
  </si>
  <si>
    <t>محمد فايز ابراهيم بركات-</t>
  </si>
  <si>
    <t>اودعهم  لحساب ا.ريمون 13-6</t>
  </si>
  <si>
    <t>00901996572-</t>
  </si>
  <si>
    <t>سميره السيد الحفناوي عيد-</t>
  </si>
  <si>
    <t>00901513597-</t>
  </si>
  <si>
    <t>فادى كريم صبرى وايت المصرى-</t>
  </si>
  <si>
    <t>2554</t>
  </si>
  <si>
    <t>محمد فايز عدلى عبدالعزيز عامر</t>
  </si>
  <si>
    <t>00901836111-</t>
  </si>
  <si>
    <t>ابانوب شوقى تمترى شحاته--</t>
  </si>
  <si>
    <t>196796--</t>
  </si>
  <si>
    <t>محمد فايز عدلى عبدالعزيز عامر--</t>
  </si>
  <si>
    <t>00901652278</t>
  </si>
  <si>
    <t>عمرو محمد عبد العليم رفاعي</t>
  </si>
  <si>
    <t>22/05/2023</t>
  </si>
  <si>
    <t>01001966173-</t>
  </si>
  <si>
    <t>محمد علي محمد علي خيال</t>
  </si>
  <si>
    <t>01223242093</t>
  </si>
  <si>
    <t>31-5 بعت التفاصيل-12-6 نازل البنك يعمل التحويل</t>
  </si>
  <si>
    <t>00901714383-</t>
  </si>
  <si>
    <t>مروى عبد الستار ابراهيم رزق</t>
  </si>
  <si>
    <t>01226707222</t>
  </si>
  <si>
    <t>31-5 هتدفع اون لاين خلال 5 ايام</t>
  </si>
  <si>
    <t>90401951656</t>
  </si>
  <si>
    <t>طارق محمد حامد محمد سعود</t>
  </si>
  <si>
    <t>بعت لهاني</t>
  </si>
  <si>
    <t>1315</t>
  </si>
  <si>
    <t>ريهام حمدى عطيه ابو العلا</t>
  </si>
  <si>
    <t>01123628028</t>
  </si>
  <si>
    <t>سوزوكى سويفت 2022</t>
  </si>
  <si>
    <t>28-5 مردتش بعت تفاصيل</t>
  </si>
  <si>
    <t>1367</t>
  </si>
  <si>
    <t>انجى احمد دسوقي سلام</t>
  </si>
  <si>
    <t>01001636944</t>
  </si>
  <si>
    <t>فيات تيبو 2021</t>
  </si>
  <si>
    <t xml:space="preserve"> 05/06/2023 </t>
  </si>
  <si>
    <t>197281</t>
  </si>
  <si>
    <t>مصطفى فايز ابراهيم بركات سيد احمد</t>
  </si>
  <si>
    <t>0115 3668833</t>
  </si>
  <si>
    <t>مرسيدس GLE450-2022</t>
  </si>
  <si>
    <t>00901917592-</t>
  </si>
  <si>
    <t>محمد محمد مصطفى متولى</t>
  </si>
  <si>
    <t>في معرض سلطان هيدفع 23-5</t>
  </si>
  <si>
    <t>197370</t>
  </si>
  <si>
    <t>فاتن ابراهيم عبدالرحمن السيد</t>
  </si>
  <si>
    <t>01005750033</t>
  </si>
  <si>
    <t>سكودا اوكتافيا 2022</t>
  </si>
  <si>
    <t>1376</t>
  </si>
  <si>
    <t>احمد بدوي حسن حسنين-</t>
  </si>
  <si>
    <t>كيا Xceed 2022</t>
  </si>
  <si>
    <t>29/5/2023 ايداع</t>
  </si>
  <si>
    <t>198093</t>
  </si>
  <si>
    <t>مصطفى فايز ابراهيم بركات سيد احمد-</t>
  </si>
  <si>
    <t>00901718787-</t>
  </si>
  <si>
    <t>حسام سيد محمود مرسى</t>
  </si>
  <si>
    <t>00901808603-</t>
  </si>
  <si>
    <t>رحمه ابراهيم احمد محمد-</t>
  </si>
  <si>
    <t>00901651051-</t>
  </si>
  <si>
    <t>طارق بكرى  منصور على-</t>
  </si>
  <si>
    <t>00901837511</t>
  </si>
  <si>
    <t>خالد احمد محمد زرد</t>
  </si>
  <si>
    <t>23/05/2023</t>
  </si>
  <si>
    <t>دفع قبل ما السعر اتعدل 11-5</t>
  </si>
  <si>
    <t>00901958016</t>
  </si>
  <si>
    <t>ناجى متولى منصور ابو طالب</t>
  </si>
  <si>
    <t>00901837113</t>
  </si>
  <si>
    <t>حنان محمد عبد الرازق زهره</t>
  </si>
  <si>
    <t>1363</t>
  </si>
  <si>
    <t>زينب عبدالشافى محمد السيد</t>
  </si>
  <si>
    <t>01090010816</t>
  </si>
  <si>
    <t>ميتسوبيشي اكلبس 2021</t>
  </si>
  <si>
    <t>28-5 30-5 هتروح 31-5هتروح فرع الميريلاند</t>
  </si>
  <si>
    <t>197295</t>
  </si>
  <si>
    <t>الوليد هشام عزيز سامى</t>
  </si>
  <si>
    <t>01061228001</t>
  </si>
  <si>
    <t>MG-Rx5-2021</t>
  </si>
  <si>
    <t>عمولة بائع 400 ج - نجلا 15-6</t>
  </si>
  <si>
    <t>1373-</t>
  </si>
  <si>
    <t>شادى حلمى محمد قناوى الشاذلى</t>
  </si>
  <si>
    <t>اوبل استرا 2015</t>
  </si>
  <si>
    <t>1373</t>
  </si>
  <si>
    <t>Egyptian</t>
  </si>
  <si>
    <t>747780--</t>
  </si>
  <si>
    <t>جيسكو جروب المجموعة العالمية للخدمات الهندسية</t>
  </si>
  <si>
    <t>23/5/2023</t>
  </si>
  <si>
    <t>747780</t>
  </si>
  <si>
    <t>حوادث متنوعة - حوادث شخصية</t>
  </si>
  <si>
    <t>رقم الشيك:59452156 بنك QBN-تاريخ استلام الشيك 28-8-2023</t>
  </si>
  <si>
    <t>1375-</t>
  </si>
  <si>
    <t>ماجد فكتور جادالله عطيه-</t>
  </si>
  <si>
    <t>1370</t>
  </si>
  <si>
    <t>عمرو احمد حسنى مصطفى</t>
  </si>
  <si>
    <t>01003424110</t>
  </si>
  <si>
    <t>ستروين DS7 2021</t>
  </si>
  <si>
    <t>30/5/2023</t>
  </si>
  <si>
    <t xml:space="preserve"> 31/05/2023 </t>
  </si>
  <si>
    <t>1380</t>
  </si>
  <si>
    <t>عمرو محمد يحيى سليمان</t>
  </si>
  <si>
    <t>بيجو 5008-2020</t>
  </si>
  <si>
    <t>00901921854-</t>
  </si>
  <si>
    <t>محمد على نصير احمد</t>
  </si>
  <si>
    <t>هيسدد النهاردة بالفره 13-6-7-6 مردش بعت تفاصيل</t>
  </si>
  <si>
    <t>747780---</t>
  </si>
  <si>
    <t>جيسكو</t>
  </si>
  <si>
    <t>00901837611</t>
  </si>
  <si>
    <t>طه مجدى احمد منصور</t>
  </si>
  <si>
    <t>24/05/2023</t>
  </si>
  <si>
    <t>00901837552</t>
  </si>
  <si>
    <t>حنان محمد كمال نور الدين محمود</t>
  </si>
  <si>
    <t>00901730686-</t>
  </si>
  <si>
    <t>احمد عبد العال ابراهيم عبد العال</t>
  </si>
  <si>
    <t>01025559358</t>
  </si>
  <si>
    <t>31-5 هيحول يوم 1-6</t>
  </si>
  <si>
    <t>00901927876-</t>
  </si>
  <si>
    <t>ايمان محمود حسن عطيه على</t>
  </si>
  <si>
    <t>13-6بدل الملحق - دفعت و استلم الوثيقة بعد التعديل من معرض سلطان</t>
  </si>
  <si>
    <t>00901887981-</t>
  </si>
  <si>
    <t>ايمان محمد بهاء حسن وهبه</t>
  </si>
  <si>
    <t>01065030010</t>
  </si>
  <si>
    <t>18-5 كلمته و بعتله18-6-31-5 مينا بلغني سعر العربية 1300000ج و بلغت العميل-13-6 كريم مشغول هيكلمني-15-6 هيعمل ايداع يوم -12-9 مردتش بعت رسالة</t>
  </si>
  <si>
    <t>1366-</t>
  </si>
  <si>
    <t>محمد هشام جمال محمد السيد</t>
  </si>
  <si>
    <t>محمد عياد</t>
  </si>
  <si>
    <t>اوبل استرا 2017</t>
  </si>
  <si>
    <t>31/5/2023</t>
  </si>
  <si>
    <t>1366</t>
  </si>
  <si>
    <t>00901743434-</t>
  </si>
  <si>
    <t>مى حسن فهمى محمد الاشول</t>
  </si>
  <si>
    <t>1375</t>
  </si>
  <si>
    <t>ميار سحاب محمد محمد سليم</t>
  </si>
  <si>
    <t>01004850656</t>
  </si>
  <si>
    <t>ستروين C-Elysee 2023</t>
  </si>
  <si>
    <t>1367-</t>
  </si>
  <si>
    <t>هشام جمال محمد السيد</t>
  </si>
  <si>
    <t>01020349066</t>
  </si>
  <si>
    <t>تويوتا كورولا 2015</t>
  </si>
  <si>
    <t>197439</t>
  </si>
  <si>
    <t>سماح سمير حافظ المليجى يونس</t>
  </si>
  <si>
    <t xml:space="preserve">01111130597 </t>
  </si>
  <si>
    <t>سات اتيكا 2021</t>
  </si>
  <si>
    <t>تم تسليم الوثيقة لمصطفى عدنان</t>
  </si>
  <si>
    <t>1364-</t>
  </si>
  <si>
    <t>عمرو نصحى السعيد سراج الدين</t>
  </si>
  <si>
    <t>01064020609</t>
  </si>
  <si>
    <t>مرسيدس C180-2019</t>
  </si>
  <si>
    <t>01002033148</t>
  </si>
  <si>
    <t>خالد عادل عبده حبيب</t>
  </si>
  <si>
    <t>01008222200</t>
  </si>
  <si>
    <t>C180 مرسيدس</t>
  </si>
  <si>
    <t>20/8/2023 دفع فقط 21600 ج و ذلك علشان كان ليه وثيقة شركات و حولناها افراد</t>
  </si>
  <si>
    <t>00902035843</t>
  </si>
  <si>
    <t>ماركو ماهر جيد بباوى-</t>
  </si>
  <si>
    <t>01222345466</t>
  </si>
  <si>
    <t>26/06/2023</t>
  </si>
  <si>
    <t>اوبل استرا</t>
  </si>
  <si>
    <t>00901701781-</t>
  </si>
  <si>
    <t>سارة يوسف ابراهيم يوسف-</t>
  </si>
  <si>
    <t>00901816700-</t>
  </si>
  <si>
    <t>عاطف اسحق مهاود جرجس</t>
  </si>
  <si>
    <t>01022299443</t>
  </si>
  <si>
    <t>اودع زيادة 140 ج -15-6 بعت رسالة</t>
  </si>
  <si>
    <t>00901878667-</t>
  </si>
  <si>
    <t>محمد مصطفى محمد احمد-</t>
  </si>
  <si>
    <t>01148932819</t>
  </si>
  <si>
    <t>15-6 هيعمل تحويل بنكي و هيبعتلي</t>
  </si>
  <si>
    <t>00901893036-</t>
  </si>
  <si>
    <t>ابانوب فؤاد بشرى جرجس-</t>
  </si>
  <si>
    <t>00901803672-</t>
  </si>
  <si>
    <t>محمد على عبد العزيز القزاز-</t>
  </si>
  <si>
    <t>00901958014</t>
  </si>
  <si>
    <t>مريم عادل كامل سعيد</t>
  </si>
  <si>
    <t>25/05/2023</t>
  </si>
  <si>
    <t>00901838663</t>
  </si>
  <si>
    <t>حسام الدين وجيه حماد العيسوى</t>
  </si>
  <si>
    <t>عايزها بريد الاصل</t>
  </si>
  <si>
    <t xml:space="preserve">90500012347 </t>
  </si>
  <si>
    <t>قبل 1-6 - CMG</t>
  </si>
  <si>
    <t>3/10/2023</t>
  </si>
  <si>
    <t>ميل يوم 16-7</t>
  </si>
  <si>
    <t>00901835712</t>
  </si>
  <si>
    <t>رنا محمد اشرف محمد شمس الدين حسن</t>
  </si>
  <si>
    <t>لصالح البنك- 21-6 خصم للعميلة 5 % تبع ا.معتز</t>
  </si>
  <si>
    <t>1386</t>
  </si>
  <si>
    <t>ريهام حمدى عطيه ابو العلا-</t>
  </si>
  <si>
    <t>00901841628</t>
  </si>
  <si>
    <t>عبدالعزيز محمد عبد العزيز النقيدى</t>
  </si>
  <si>
    <t>26/05/2023</t>
  </si>
  <si>
    <t>00901841629</t>
  </si>
  <si>
    <t>محمد محمد سيد محمود</t>
  </si>
  <si>
    <t>28/05/2023</t>
  </si>
  <si>
    <t>1369</t>
  </si>
  <si>
    <t>هاله على محمد صالح الهوارى</t>
  </si>
  <si>
    <t>01066527173</t>
  </si>
  <si>
    <t>هيونداى النترا 2021</t>
  </si>
  <si>
    <t>24/7/2023</t>
  </si>
  <si>
    <t>905</t>
  </si>
  <si>
    <t>تم سداد القسط التاني 21-6</t>
  </si>
  <si>
    <t>7800 -تم سداد اخر قسط 19-7</t>
  </si>
  <si>
    <t>1378</t>
  </si>
  <si>
    <t>خالد محمد محمد احمد الرجبى</t>
  </si>
  <si>
    <t>كيا سبورتاج 2020</t>
  </si>
  <si>
    <t>7366-تم سداد اخر قسط 19-7</t>
  </si>
  <si>
    <t>00901721739-</t>
  </si>
  <si>
    <t>حمزه زهير عبد الكريم ابو الفيلات-</t>
  </si>
  <si>
    <t>01005557722</t>
  </si>
  <si>
    <t>00901721739</t>
  </si>
  <si>
    <t>4-6 مردش بعت رسالة-11-6 مع ا.ريمون</t>
  </si>
  <si>
    <t>00901656688</t>
  </si>
  <si>
    <t>سها صبحى ناشد فهمى</t>
  </si>
  <si>
    <t>29/05/2023</t>
  </si>
  <si>
    <t>عايزها صيغة ورقية</t>
  </si>
  <si>
    <t>00901958012</t>
  </si>
  <si>
    <t>اسامه أسعد يوسف دميان</t>
  </si>
  <si>
    <t>00902034015</t>
  </si>
  <si>
    <t>منال عبده محمد الزناتى</t>
  </si>
  <si>
    <t>01116079797</t>
  </si>
  <si>
    <t>كيا سبورتاج</t>
  </si>
  <si>
    <t>01001873967-</t>
  </si>
  <si>
    <t>محمود غريب علوان عطيه المغينى</t>
  </si>
  <si>
    <t>00901657328</t>
  </si>
  <si>
    <t>محمود حامد محمد فرغلى</t>
  </si>
  <si>
    <t>30/05/2023</t>
  </si>
  <si>
    <t>عايز الاصل</t>
  </si>
  <si>
    <t>00901841415</t>
  </si>
  <si>
    <t>منال محمد حسين اللقاني</t>
  </si>
  <si>
    <t>00901841568</t>
  </si>
  <si>
    <t>يحيى محمد امين عبدالعظيم السحيمي</t>
  </si>
  <si>
    <t>00901841592</t>
  </si>
  <si>
    <t>هبه ابو طالب عبد القوي محمد</t>
  </si>
  <si>
    <t>00901481782</t>
  </si>
  <si>
    <t>هشام محمد فريد السيد حسين</t>
  </si>
  <si>
    <t>398065</t>
  </si>
  <si>
    <t>اميمة</t>
  </si>
  <si>
    <t>Life</t>
  </si>
  <si>
    <t>80101078</t>
  </si>
  <si>
    <t>402679</t>
  </si>
  <si>
    <t>اسماء</t>
  </si>
  <si>
    <t>1385</t>
  </si>
  <si>
    <t>عبدالرحمن عبدالله ابراهيم متولى</t>
  </si>
  <si>
    <t>احمد ابوالمجد</t>
  </si>
  <si>
    <t>سيات ايبيزا 2022</t>
  </si>
  <si>
    <t>00901841632</t>
  </si>
  <si>
    <t>احمد ابراهيم عبد المنعم محمد المعناوى</t>
  </si>
  <si>
    <t>1383</t>
  </si>
  <si>
    <t>ضحى سيد حسن على الجناينى</t>
  </si>
  <si>
    <t>01101185999</t>
  </si>
  <si>
    <t>كيا سبورتاج 2022</t>
  </si>
  <si>
    <t>00902033708</t>
  </si>
  <si>
    <t>تامر فتحى محمد ضيف الله</t>
  </si>
  <si>
    <t>01228772200</t>
  </si>
  <si>
    <t>S006333</t>
  </si>
  <si>
    <t>00901841623</t>
  </si>
  <si>
    <t>محمد خيري احمد عبد الرحمن</t>
  </si>
  <si>
    <t>00901481782-</t>
  </si>
  <si>
    <t>هشام محمد فريد السيد حسين-</t>
  </si>
  <si>
    <t>607</t>
  </si>
  <si>
    <t>31/05/2023</t>
  </si>
  <si>
    <t>607/2023</t>
  </si>
  <si>
    <t>خيانة امانة</t>
  </si>
  <si>
    <t>608</t>
  </si>
  <si>
    <t>608/2023</t>
  </si>
  <si>
    <t>00901972987-</t>
  </si>
  <si>
    <t>ريمون اسحق ابراهيم رزق</t>
  </si>
  <si>
    <t>01229916060</t>
  </si>
  <si>
    <t>7-6 مردش بعت تفاصيل</t>
  </si>
  <si>
    <t>00901958752</t>
  </si>
  <si>
    <t>مريم اشرف عبد المجيد كراره</t>
  </si>
  <si>
    <t>1387</t>
  </si>
  <si>
    <t>مروة عادل عبدالفتاح محمد-</t>
  </si>
  <si>
    <t>01200000678</t>
  </si>
  <si>
    <t>مرسيدس GLC-2022</t>
  </si>
  <si>
    <t>احلال</t>
  </si>
  <si>
    <t>بخصم 5523 من عمولة سلطان لوثيقة قديمة--23609.82الملحق</t>
  </si>
  <si>
    <t>00901529938</t>
  </si>
  <si>
    <t>نسرين نبيل احمد عمر</t>
  </si>
  <si>
    <t>دفع فوري</t>
  </si>
  <si>
    <t>00901831175-</t>
  </si>
  <si>
    <t>عايده كمال لوكاس غبريال-</t>
  </si>
  <si>
    <t>00901863513-</t>
  </si>
  <si>
    <t>رامزى يوسف سروجى-</t>
  </si>
  <si>
    <t>01278708930</t>
  </si>
  <si>
    <t>15-6 بعت رسالة-12-6 مردش بعت رسالة</t>
  </si>
  <si>
    <t>00901850232-</t>
  </si>
  <si>
    <t>هبه الله حسام الدين محمد مصطفى-</t>
  </si>
  <si>
    <t>00901729071</t>
  </si>
  <si>
    <t>Ahmed Nazmy Hassan Soliman</t>
  </si>
  <si>
    <t>00901841633-</t>
  </si>
  <si>
    <t>عبدالملاك سمير عبدالملاك بسالي-</t>
  </si>
  <si>
    <t>00901894023-</t>
  </si>
  <si>
    <t>Mervat Salim Abdal masseh Al daba</t>
  </si>
  <si>
    <t>00901894023</t>
  </si>
  <si>
    <t>7/2/2023 تحويل بنكي</t>
  </si>
  <si>
    <t>1197</t>
  </si>
  <si>
    <t>احمد عبدالفتاح محمد محمود موسى</t>
  </si>
  <si>
    <t>01006829920</t>
  </si>
  <si>
    <t>11300</t>
  </si>
  <si>
    <t>PEUGEOT</t>
  </si>
  <si>
    <t>14/2/2023</t>
  </si>
  <si>
    <t>شادي اسلام عثمان احمد عثمان</t>
  </si>
  <si>
    <t>01019901984</t>
  </si>
  <si>
    <t>348038</t>
  </si>
  <si>
    <t>يوم 1-2 تم ايداع 91917 بالخطأ و اضافة عليهم 9483 اجمالي 101400 وثيقة 1132 اسلام شادي7-2</t>
  </si>
  <si>
    <t>00901814073</t>
  </si>
  <si>
    <t>Magdy Mohammed Ahmed Othman</t>
  </si>
  <si>
    <t>00901918711</t>
  </si>
  <si>
    <t>Cherif Ezzat Khalil Gayed</t>
  </si>
  <si>
    <t>head office branch</t>
  </si>
  <si>
    <t>00901967819-</t>
  </si>
  <si>
    <t>Islam Ali Sedek Sadek-</t>
  </si>
  <si>
    <t>01012000958</t>
  </si>
  <si>
    <t>20-3 هيشوف الملحق مع ا.ريمون- دفع لهاني كاش 3-4</t>
  </si>
  <si>
    <t>00902018114</t>
  </si>
  <si>
    <t>مها محمد حامد السفطى</t>
  </si>
  <si>
    <t>01205333624</t>
  </si>
  <si>
    <t>TMBAC2NX4NY095409</t>
  </si>
  <si>
    <t>خصم 5% - مينا حولهم للعميلة لانها هتدفع بالفرع</t>
  </si>
  <si>
    <t>00902019808</t>
  </si>
  <si>
    <t>Abdalla Khaled Hamed Abu al sood</t>
  </si>
  <si>
    <t>01273033211</t>
  </si>
  <si>
    <t>مردش-8-3 هكلمه كمان نصف ساعة-كلمته مردش- 14-3 مع مريم-14-5 عايز يكنسلها</t>
  </si>
  <si>
    <t>00902019804</t>
  </si>
  <si>
    <t>حنان امين بركات محمد زكى</t>
  </si>
  <si>
    <t>01000507488</t>
  </si>
  <si>
    <t>اسلام</t>
  </si>
  <si>
    <t>23/3/2023</t>
  </si>
  <si>
    <t>20-3 ايداع و هنبعتها بريد</t>
  </si>
  <si>
    <t>00901861047</t>
  </si>
  <si>
    <t>Samia Farid Ahmed Al Sisi</t>
  </si>
  <si>
    <t>00901762155-</t>
  </si>
  <si>
    <t>خالد محمد السايح علي-</t>
  </si>
  <si>
    <t>00901764579-</t>
  </si>
  <si>
    <t>هاني صبري عبدالقادر ابوعيطه-</t>
  </si>
  <si>
    <t>00901826529</t>
  </si>
  <si>
    <t>تامر اسامة محمد شميس</t>
  </si>
  <si>
    <t>لصالح البنك-12-3</t>
  </si>
  <si>
    <t>00901938589</t>
  </si>
  <si>
    <t>اسماء ابو بكر عبد القادر البدراوى</t>
  </si>
  <si>
    <t>1299</t>
  </si>
  <si>
    <t>مجدي محمد صالح ابراهيم</t>
  </si>
  <si>
    <t>01117937932</t>
  </si>
  <si>
    <t>1307-</t>
  </si>
  <si>
    <t>اسامه محمد هبدالمحسن محمد سلطان</t>
  </si>
  <si>
    <t>01022969922</t>
  </si>
  <si>
    <t>21600 العميل دفع</t>
  </si>
  <si>
    <t>00901636118</t>
  </si>
  <si>
    <t>Khalil Mohamed Hamed Badr</t>
  </si>
  <si>
    <t>194956</t>
  </si>
  <si>
    <t>احمد مجدي عبدالعزيز حسين خليلي</t>
  </si>
  <si>
    <t>01096888320</t>
  </si>
  <si>
    <t>لموزين 2022</t>
  </si>
  <si>
    <t>Wesak-دفع لمصطفى عدنان</t>
  </si>
  <si>
    <t>195088</t>
  </si>
  <si>
    <t>كريم ابراهيم محمد مصطفى</t>
  </si>
  <si>
    <t>رينو ميجان 2021</t>
  </si>
  <si>
    <t>1375--</t>
  </si>
  <si>
    <t>ماجد فكتور جادالله عطيه--</t>
  </si>
  <si>
    <t>00901760401</t>
  </si>
  <si>
    <t>ماركو ماهر جيد بباوى</t>
  </si>
  <si>
    <t>00901832344</t>
  </si>
  <si>
    <t>إيهاب سعيد عواد سالم</t>
  </si>
  <si>
    <t>00901779312</t>
  </si>
  <si>
    <t>ايه شكرى ابراهيم سالم</t>
  </si>
  <si>
    <t>00901760400</t>
  </si>
  <si>
    <t>محمد سيد عبد القادر شعبان</t>
  </si>
  <si>
    <t>قسط</t>
  </si>
  <si>
    <t>17/12/2023</t>
  </si>
  <si>
    <t>16-5 سداد في الشركة بوش الفيزا</t>
  </si>
  <si>
    <t>00901838572</t>
  </si>
  <si>
    <t>هانى نبيل صبحى محمد عبد الرؤوف</t>
  </si>
  <si>
    <t>00901843853</t>
  </si>
  <si>
    <t>هدى محمود علي فزالله</t>
  </si>
  <si>
    <t>00901959162</t>
  </si>
  <si>
    <t>مينا ابراهيم صموئيل عبد الملاك</t>
  </si>
  <si>
    <t>00901899834-</t>
  </si>
  <si>
    <t>اباء خالد حسن احمد سويدان</t>
  </si>
  <si>
    <t>00901899834</t>
  </si>
  <si>
    <t>00901684986-</t>
  </si>
  <si>
    <t>ندى محمد حسن مصطفى-</t>
  </si>
  <si>
    <t>01117311533</t>
  </si>
  <si>
    <t>20/06/2023</t>
  </si>
  <si>
    <t>12-6 هيسدده النهاردة</t>
  </si>
  <si>
    <t>00901800349-</t>
  </si>
  <si>
    <t>عماد محمد مختار حسين-</t>
  </si>
  <si>
    <t>00902020989-</t>
  </si>
  <si>
    <t>عبد الله ابراهيم عبد المنعم الشربينى-</t>
  </si>
  <si>
    <t xml:space="preserve">01001763804 </t>
  </si>
  <si>
    <t>اسامة احمد عوض العايدى</t>
  </si>
  <si>
    <t>00901972590</t>
  </si>
  <si>
    <t>حاتم عبدالرحمن إبراهيم إبراهيم قنديل</t>
  </si>
  <si>
    <t>00901768662</t>
  </si>
  <si>
    <t>مجدى عبد الحميد محمد موسى</t>
  </si>
  <si>
    <t xml:space="preserve">00901671088 </t>
  </si>
  <si>
    <t>رضوى وحيد محمد النجار</t>
  </si>
  <si>
    <t>1411-</t>
  </si>
  <si>
    <t>مجدى عبدالمقصود محمد نوح</t>
  </si>
  <si>
    <t>01017947570</t>
  </si>
  <si>
    <t>بيجو 5008-2019</t>
  </si>
  <si>
    <t>1411</t>
  </si>
  <si>
    <t>1410</t>
  </si>
  <si>
    <t>يارا وليد فتحى جابر مصطفى</t>
  </si>
  <si>
    <t>01113996643</t>
  </si>
  <si>
    <t>سيات ارونا 2023</t>
  </si>
  <si>
    <t>1412</t>
  </si>
  <si>
    <t>مينا عادل فوذى جيد</t>
  </si>
  <si>
    <t xml:space="preserve">01224777220 </t>
  </si>
  <si>
    <t>شيرى تيجو3-2022</t>
  </si>
  <si>
    <t>747780-</t>
  </si>
  <si>
    <t>جيسكو جروب المجموعة العالمية للخدمات الهندسية-</t>
  </si>
  <si>
    <t>00902039849</t>
  </si>
  <si>
    <t>سلمى محمد توفيق وهبه</t>
  </si>
  <si>
    <t>01148484866</t>
  </si>
  <si>
    <t>13/07/2023</t>
  </si>
  <si>
    <t>17-7 طالب ايصال سداد</t>
  </si>
  <si>
    <t>00902024853-</t>
  </si>
  <si>
    <t>ريمون حنا بطرس صالح-</t>
  </si>
  <si>
    <t>00901775376</t>
  </si>
  <si>
    <t>شيماء انيس عمارة محمد-</t>
  </si>
  <si>
    <t>ميتسوبيشى باجيرو</t>
  </si>
  <si>
    <t>00901773887</t>
  </si>
  <si>
    <t>عبداللة توفيق على خفاجى</t>
  </si>
  <si>
    <t>00901841580-</t>
  </si>
  <si>
    <t>رامى جمال عطا متر موسى حنا-</t>
  </si>
  <si>
    <t>00901779529</t>
  </si>
  <si>
    <t>مروه عبد الرحمن عبد الغفار عبد الحفيظ</t>
  </si>
  <si>
    <t>00901867245</t>
  </si>
  <si>
    <t>علياء محمد ريحان محمد يوسف</t>
  </si>
  <si>
    <t>26/08/2023</t>
  </si>
  <si>
    <t>29/8/2023</t>
  </si>
  <si>
    <t xml:space="preserve">00901845878 </t>
  </si>
  <si>
    <t>نبيل الكسان حنا</t>
  </si>
  <si>
    <t>00901863981-</t>
  </si>
  <si>
    <t>عبير محمود وهبه جنيدي</t>
  </si>
  <si>
    <t>00901490016</t>
  </si>
  <si>
    <t>رامى بخيت عبدالسيد حنا</t>
  </si>
  <si>
    <t>13/06/2023</t>
  </si>
  <si>
    <t>1399</t>
  </si>
  <si>
    <t>احمد بدوي حسن حسنين--</t>
  </si>
  <si>
    <t>13-6 استلمها مصطفى عدنان هيسلمها للعميل</t>
  </si>
  <si>
    <t>العميل ليه - 1,548 ج لانة كان دافع 7800 ج--17433 الملحق</t>
  </si>
  <si>
    <t>198566</t>
  </si>
  <si>
    <t>محمود اسامه عبدالفتاح داود</t>
  </si>
  <si>
    <t>01156670998</t>
  </si>
  <si>
    <t>سيات ليون -2020</t>
  </si>
  <si>
    <t>27/8/2023</t>
  </si>
  <si>
    <t>لصالح البنك-22-6 استلامها مصطفى عدنان</t>
  </si>
  <si>
    <t>00901764777</t>
  </si>
  <si>
    <t>محسن يوسف مسعود حنا</t>
  </si>
  <si>
    <t>14/06/2023</t>
  </si>
  <si>
    <t>00901846225</t>
  </si>
  <si>
    <t>هشام محمد صلاح محمود حسن</t>
  </si>
  <si>
    <t>01122276077</t>
  </si>
  <si>
    <t>00901764789</t>
  </si>
  <si>
    <t>خالد احمد حسن على عثمان</t>
  </si>
  <si>
    <t>00901960909</t>
  </si>
  <si>
    <t>نادين عصام صليب حنا</t>
  </si>
  <si>
    <t>00901846386</t>
  </si>
  <si>
    <t>سمير محمد حسونه احمد</t>
  </si>
  <si>
    <t>00901846371</t>
  </si>
  <si>
    <t>محمد صلاح الدين محمد هاجوج</t>
  </si>
  <si>
    <t>14-6 دفع بوش كريدت كارت - اقساط</t>
  </si>
  <si>
    <t>198655</t>
  </si>
  <si>
    <t>ولاء ابراهيم عطيه ابراهيم</t>
  </si>
  <si>
    <t>01000767289</t>
  </si>
  <si>
    <t>سوزوكى ديزاير 2022</t>
  </si>
  <si>
    <t>19/7/2023</t>
  </si>
  <si>
    <t>22-6 استلامها مصطفى عدنان</t>
  </si>
  <si>
    <t>5268588</t>
  </si>
  <si>
    <t>شريف عزت</t>
  </si>
  <si>
    <t>00901963204</t>
  </si>
  <si>
    <t>ابراهيم محسن محمد حمدى</t>
  </si>
  <si>
    <t>15/06/2023</t>
  </si>
  <si>
    <t>00901846482</t>
  </si>
  <si>
    <t>هبه كريم محمد كمال السيد محمد</t>
  </si>
  <si>
    <t>00901963206</t>
  </si>
  <si>
    <t>مصطفى احمد طاهر خليفه</t>
  </si>
  <si>
    <t>1397</t>
  </si>
  <si>
    <t>ياسمين علاء الدين احمد محمد</t>
  </si>
  <si>
    <t>01002222615</t>
  </si>
  <si>
    <t>mary</t>
  </si>
  <si>
    <t>حسن امين</t>
  </si>
  <si>
    <t>هيونداى اكسنت 2021</t>
  </si>
  <si>
    <t>1402</t>
  </si>
  <si>
    <t>عمرو جمعه صالح حسين</t>
  </si>
  <si>
    <t>01110000906</t>
  </si>
  <si>
    <t>مرسيدس E30-2021</t>
  </si>
  <si>
    <t>198731</t>
  </si>
  <si>
    <t>ايمن حسنى عبدالحميد عباس</t>
  </si>
  <si>
    <t>Cayman-2018</t>
  </si>
  <si>
    <t>21/6/2023</t>
  </si>
  <si>
    <t>01001899847-</t>
  </si>
  <si>
    <t>اسلام محمود حسنى حامد</t>
  </si>
  <si>
    <t xml:space="preserve">01001899847 </t>
  </si>
  <si>
    <t>00901815145-</t>
  </si>
  <si>
    <t>عمرو محمد شوقى حسن حسين</t>
  </si>
  <si>
    <t>1398</t>
  </si>
  <si>
    <t>عمرو جمعه صالح حسين-</t>
  </si>
  <si>
    <t>00901966168</t>
  </si>
  <si>
    <t>ابراهيم محسن محمد حمدى-</t>
  </si>
  <si>
    <t>16/06/2023</t>
  </si>
  <si>
    <t>00901964659</t>
  </si>
  <si>
    <t>اسلام عبد العال يوسف فضل</t>
  </si>
  <si>
    <t>00901847024</t>
  </si>
  <si>
    <t>خالد كمال عبدالعزيز يونس</t>
  </si>
  <si>
    <t>17/06/2023</t>
  </si>
  <si>
    <t>00901662609</t>
  </si>
  <si>
    <t>هشام ابراهيم محمد احمد شعيب</t>
  </si>
  <si>
    <t>00901847575</t>
  </si>
  <si>
    <t>احمد فاروق ابراهيم قريطم</t>
  </si>
  <si>
    <t>18/06/2023</t>
  </si>
  <si>
    <t>1401</t>
  </si>
  <si>
    <t>منه الله مدحت صالح طه مسعود</t>
  </si>
  <si>
    <t>01208536364</t>
  </si>
  <si>
    <t>بروتون SAGA-2022</t>
  </si>
  <si>
    <t>00902037880</t>
  </si>
  <si>
    <t>هايدى احمد محمود السيد شلبى-</t>
  </si>
  <si>
    <t>01284048478</t>
  </si>
  <si>
    <t>june</t>
  </si>
  <si>
    <t>رينو كادجار</t>
  </si>
  <si>
    <t>198907</t>
  </si>
  <si>
    <t>ناريمان ابراهيم جلال ابراهيم احمد</t>
  </si>
  <si>
    <t>19/06/2023</t>
  </si>
  <si>
    <t>01061555645</t>
  </si>
  <si>
    <t>نيسان قشقاى 2021</t>
  </si>
  <si>
    <t>123</t>
  </si>
  <si>
    <t>19/12/2023</t>
  </si>
  <si>
    <t>لوثيقة 523-28-8 اندريا كاش-بالدولار</t>
  </si>
  <si>
    <t>124</t>
  </si>
  <si>
    <t>لوثيقة 607-28-8 اندريا كاش-بالدولار</t>
  </si>
  <si>
    <t>126</t>
  </si>
  <si>
    <t>لوثيقة 608-28-8 اندريا كاش</t>
  </si>
  <si>
    <t>125</t>
  </si>
  <si>
    <t>لوثيقة 524-28-8 اندريا كاش</t>
  </si>
  <si>
    <t>1404</t>
  </si>
  <si>
    <t>ريم محمد رأفت احمد عمرو--</t>
  </si>
  <si>
    <t>00901965821</t>
  </si>
  <si>
    <t>محمد عصام الدين احمد محمد</t>
  </si>
  <si>
    <t>00901847802</t>
  </si>
  <si>
    <t>تامر احمد طلال اسماعيل فوزى شرارة</t>
  </si>
  <si>
    <t>00901792914-</t>
  </si>
  <si>
    <t>محمد صادق ابراهيم احمد</t>
  </si>
  <si>
    <t>01068796043</t>
  </si>
  <si>
    <t>00901792914</t>
  </si>
  <si>
    <t>00901493997</t>
  </si>
  <si>
    <t>مارينا طاهر سمير جيد</t>
  </si>
  <si>
    <t>1291-</t>
  </si>
  <si>
    <t>عبد الرحمن محمد احمد عبد الرحمن الجوهرى</t>
  </si>
  <si>
    <t>31/7/2023</t>
  </si>
  <si>
    <t>25-6- استلامها مصطفى عدنان</t>
  </si>
  <si>
    <t>مصطفى عدنان دفعه متأخر بالتالي هيتخصم 5% منه</t>
  </si>
  <si>
    <t>747848</t>
  </si>
  <si>
    <t>Itd-free zone</t>
  </si>
  <si>
    <t>ايداع بنكي 10-7-2023- QNB</t>
  </si>
  <si>
    <t>صافي القسط : 900</t>
  </si>
  <si>
    <t>431943</t>
  </si>
  <si>
    <t>منة الله شعبان محمد</t>
  </si>
  <si>
    <t>00901768487-</t>
  </si>
  <si>
    <t>محمد سامى حلمى مرسى-</t>
  </si>
  <si>
    <t>00901670067-</t>
  </si>
  <si>
    <t>ايهاب احمد احمد بخيت-</t>
  </si>
  <si>
    <t>00901972986-</t>
  </si>
  <si>
    <t>محمد صبحى عبده-</t>
  </si>
  <si>
    <t>00901846301</t>
  </si>
  <si>
    <t>اديب مجدى اديب يوسف</t>
  </si>
  <si>
    <t>21/06/2023</t>
  </si>
  <si>
    <t>00901847810</t>
  </si>
  <si>
    <t>بيتر عاطف عبدالملك اسحق</t>
  </si>
  <si>
    <t>00901979945-</t>
  </si>
  <si>
    <t>خالد كمال سليمان اسماعيل</t>
  </si>
  <si>
    <t>01002154747</t>
  </si>
  <si>
    <t>21-6 مردش بعت تفاصيل</t>
  </si>
  <si>
    <t>1403</t>
  </si>
  <si>
    <t>حسام سامى جرجس الاسيوطى</t>
  </si>
  <si>
    <t>01150559955</t>
  </si>
  <si>
    <t>بيجو 5008-2021</t>
  </si>
  <si>
    <t>747851</t>
  </si>
  <si>
    <t>جن كو للخدمات البترولية</t>
  </si>
  <si>
    <t>199042</t>
  </si>
  <si>
    <t>احمد يسرى احمد رأفت عبدالقادر</t>
  </si>
  <si>
    <t>01227346226</t>
  </si>
  <si>
    <t>198566-</t>
  </si>
  <si>
    <t>محمود اسامه عبدالفتاح داود-</t>
  </si>
  <si>
    <t>00901848049</t>
  </si>
  <si>
    <t>مهند محمد عبد العزيز عبد الحى</t>
  </si>
  <si>
    <t>22/06/2023</t>
  </si>
  <si>
    <t>00901848005</t>
  </si>
  <si>
    <t>تمار ختشيج فريج كسابيان</t>
  </si>
  <si>
    <t>00901849766</t>
  </si>
  <si>
    <t>محمد محمود معراوى</t>
  </si>
  <si>
    <t>00901848085</t>
  </si>
  <si>
    <t>ريهام وفيق فؤاد ساويرس</t>
  </si>
  <si>
    <t>1405</t>
  </si>
  <si>
    <t>احمد ابراهيم عبده محمد الصباغ</t>
  </si>
  <si>
    <t>01005116745  </t>
  </si>
  <si>
    <t>ميتسوبيشي اكلبس 2023</t>
  </si>
  <si>
    <t>00901960744-</t>
  </si>
  <si>
    <t>عاصم حافظ مامون فوده-</t>
  </si>
  <si>
    <t>01002039468</t>
  </si>
  <si>
    <t>بدر محمد السيد محمود رمضان</t>
  </si>
  <si>
    <t>جاجور F. Type</t>
  </si>
  <si>
    <t>00901967470</t>
  </si>
  <si>
    <t xml:space="preserve">مارك ابراهيم صموئيل عبد الملاك </t>
  </si>
  <si>
    <t>23/06/2023</t>
  </si>
  <si>
    <t>00901766046</t>
  </si>
  <si>
    <t>بلال احمد عبد الغفار موسى</t>
  </si>
  <si>
    <t>00901666068</t>
  </si>
  <si>
    <t>علاء حسن احمد حسن ربيع</t>
  </si>
  <si>
    <t>00901766259</t>
  </si>
  <si>
    <t>عمرو  محمد ابو السعود سيد محمد حسن</t>
  </si>
  <si>
    <t>24/06/2023</t>
  </si>
  <si>
    <t>00901766332</t>
  </si>
  <si>
    <t>محمد مهدى عبد الحق السيد</t>
  </si>
  <si>
    <t>16/8/2023</t>
  </si>
  <si>
    <t>00901766635</t>
  </si>
  <si>
    <t>محمد علي عبد الحميد محمد</t>
  </si>
  <si>
    <t>00901850232</t>
  </si>
  <si>
    <t>هبه الله حسام الدين محمد مصطفى</t>
  </si>
  <si>
    <t xml:space="preserve">00901850348 </t>
  </si>
  <si>
    <t>هيثم احمد عبد العال احمد</t>
  </si>
  <si>
    <t>Royal insurance</t>
  </si>
  <si>
    <t>9/1/046/2043-Q3-2</t>
  </si>
  <si>
    <t>الشركة سنترو جلوبال سليوشن للاتصالات</t>
  </si>
  <si>
    <t>25/06/2023</t>
  </si>
  <si>
    <t>26/7/2023</t>
  </si>
  <si>
    <t>199215</t>
  </si>
  <si>
    <t>عمار ياسر مصطفى الهادى</t>
  </si>
  <si>
    <t>01020082700</t>
  </si>
  <si>
    <t>MG-5-2021</t>
  </si>
  <si>
    <t>00901768326-</t>
  </si>
  <si>
    <t>هاجر رأفت مجاهد داود-</t>
  </si>
  <si>
    <t>00901497962</t>
  </si>
  <si>
    <t>ياسمين محمد فتحي عبد الرحمن احمد</t>
  </si>
  <si>
    <t>00901670003</t>
  </si>
  <si>
    <t>حسام فتحى عبدالعاطى محمد</t>
  </si>
  <si>
    <t>00901496054</t>
  </si>
  <si>
    <t>هبه حسنى محمد عيد</t>
  </si>
  <si>
    <t>00902038756</t>
  </si>
  <si>
    <t>احمد سامى محمد سيد</t>
  </si>
  <si>
    <t>01003455217</t>
  </si>
  <si>
    <t>199255</t>
  </si>
  <si>
    <t>ايمن حسنى عبدالحميد عباس-</t>
  </si>
  <si>
    <t xml:space="preserve"> 7/4/2023 </t>
  </si>
  <si>
    <t>رانج روفر سبورت 2021</t>
  </si>
  <si>
    <t>00901546775-</t>
  </si>
  <si>
    <t>نجوى نصر رزق بخيت</t>
  </si>
  <si>
    <t>199270</t>
  </si>
  <si>
    <t>لويس عادل لويس فهيم</t>
  </si>
  <si>
    <t>01287054837</t>
  </si>
  <si>
    <t>13-7 بعتناها بريد للمنيا 80 ج</t>
  </si>
  <si>
    <t>عمولة اوفر رايد مختلفة علشان خصمنا من عمولة السليز لكن عمولة اوفر رايد لا</t>
  </si>
  <si>
    <t>00901859721-</t>
  </si>
  <si>
    <t>ضياء ايهاب رضوان عبد المنعم-</t>
  </si>
  <si>
    <t>00901766585</t>
  </si>
  <si>
    <t>مجدى منير سلامه محمد</t>
  </si>
  <si>
    <t>27/06/2023</t>
  </si>
  <si>
    <t>00901766680</t>
  </si>
  <si>
    <t>مارلين ناشد عدلى ناشد</t>
  </si>
  <si>
    <t>00901967971</t>
  </si>
  <si>
    <t>ايهاب محمد الدردير محمد محمد</t>
  </si>
  <si>
    <t>28/06/2023</t>
  </si>
  <si>
    <t>00901850864</t>
  </si>
  <si>
    <t>طارق عبد المجيد محمد سالم</t>
  </si>
  <si>
    <t>00901850863</t>
  </si>
  <si>
    <t>اسراء سعد احمد جمعه</t>
  </si>
  <si>
    <t xml:space="preserve">00901850689 </t>
  </si>
  <si>
    <t>سهام عبدالعال على عبد العزيز</t>
  </si>
  <si>
    <t>9-7 دفع فوري</t>
  </si>
  <si>
    <t>00901669074</t>
  </si>
  <si>
    <t>حازم محمود صادق محمود</t>
  </si>
  <si>
    <t>29/06/2023</t>
  </si>
  <si>
    <t>00901669074-</t>
  </si>
  <si>
    <t>11811</t>
  </si>
  <si>
    <t>جيسكو المناطق الحرة ش.م.م-شيك</t>
  </si>
  <si>
    <t>30/06/2023</t>
  </si>
  <si>
    <t>11811/2023</t>
  </si>
  <si>
    <t>دولار امريكي</t>
  </si>
  <si>
    <t>بناء على مراجعه اندريا-تم عمل فاتورة</t>
  </si>
  <si>
    <t>00901669081</t>
  </si>
  <si>
    <t>باسنت عباس الباز ابراهيم</t>
  </si>
  <si>
    <t>01001851595</t>
  </si>
  <si>
    <t>جيهان محمد محمود على كريم</t>
  </si>
  <si>
    <t>19-6 تم ايداع الشيك في البنك لحساب اليانز-روماني</t>
  </si>
  <si>
    <t>00901970850-</t>
  </si>
  <si>
    <t>محمود محمد عبد الحميد محمد-</t>
  </si>
  <si>
    <t>نسمه شريف محمود شراره</t>
  </si>
  <si>
    <t>00901671051</t>
  </si>
  <si>
    <t>منى شوقى منيب محمد</t>
  </si>
  <si>
    <t>747809</t>
  </si>
  <si>
    <t>GESCO Free Zone-شيك</t>
  </si>
  <si>
    <t>30/6/2023</t>
  </si>
  <si>
    <t>رقم الشيك12312820000520-ADCB-30-6-2023-15000&amp;&amp;</t>
  </si>
  <si>
    <t>بناء على مراجعه اندريا-تم عمل فاتورة الصافي : 44999.89</t>
  </si>
  <si>
    <t>11811-</t>
  </si>
  <si>
    <t>11811--</t>
  </si>
  <si>
    <t>11811---</t>
  </si>
  <si>
    <t>1406</t>
  </si>
  <si>
    <t>محمود نوح صابر احمد</t>
  </si>
  <si>
    <t>01003921680</t>
  </si>
  <si>
    <t xml:space="preserve"> 7/10/2023</t>
  </si>
  <si>
    <t>نيسان صنى 2023</t>
  </si>
  <si>
    <t>تم ايداعها 1-7-2023 وفقا لتاريخ التحرير</t>
  </si>
  <si>
    <t>00901918858</t>
  </si>
  <si>
    <t>Ashraf Ali Abdal aal Mohammed</t>
  </si>
  <si>
    <t>00901919112</t>
  </si>
  <si>
    <t>00901750021</t>
  </si>
  <si>
    <t>Wael Zahry Mohammed Abdal samee</t>
  </si>
  <si>
    <t>دفع بالمعرض</t>
  </si>
  <si>
    <t>00901820383</t>
  </si>
  <si>
    <t>Nardine Nader Boshra Sadek</t>
  </si>
  <si>
    <t>Credit Card_NasrCity 07/03/2023</t>
  </si>
  <si>
    <t>00901928405</t>
  </si>
  <si>
    <t>Wael Abdalaa Ahmed Mohammed</t>
  </si>
  <si>
    <t>14-3 Bank Misr</t>
  </si>
  <si>
    <t>00902020795</t>
  </si>
  <si>
    <t>ايمان احمد عبدالوهاب ابوالعلا</t>
  </si>
  <si>
    <t>01005285678</t>
  </si>
  <si>
    <t>S00376</t>
  </si>
  <si>
    <t>بي ام دبليو X4</t>
  </si>
  <si>
    <t>1111088999-17635دفعت على شيكين-3-5هنودعهم في البنك- تم ايداع الشيكين 10-5</t>
  </si>
  <si>
    <t xml:space="preserve">00901972987 </t>
  </si>
  <si>
    <t>ريمون اسحق ابراهيم رزق-</t>
  </si>
  <si>
    <t>هيونداى النترا AD</t>
  </si>
  <si>
    <t xml:space="preserve">00901669899 </t>
  </si>
  <si>
    <t>صفاء  محمد على احمد هدهود</t>
  </si>
  <si>
    <t>01001828059</t>
  </si>
  <si>
    <t>Mohamed Mahmoud Yousef Ayoub</t>
  </si>
  <si>
    <t>00901938805</t>
  </si>
  <si>
    <t>محمد جلال الدين محمد عبدالرازق</t>
  </si>
  <si>
    <t>hany-23-3</t>
  </si>
  <si>
    <t>00901939953</t>
  </si>
  <si>
    <t>Reham Ahmed Mostafa Ahmed</t>
  </si>
  <si>
    <t>01141155533</t>
  </si>
  <si>
    <t>00901827368</t>
  </si>
  <si>
    <t>خالد شعبان رسلان سالم</t>
  </si>
  <si>
    <t>00901826715</t>
  </si>
  <si>
    <t>Hany Gamil Kamel Abd El Meseh</t>
  </si>
  <si>
    <t>01223300455</t>
  </si>
  <si>
    <t>00901826799</t>
  </si>
  <si>
    <t>Marwa Yahia Lotfy Abdel Maged</t>
  </si>
  <si>
    <t>00901755230</t>
  </si>
  <si>
    <t>ميرال عمرو متولى</t>
  </si>
  <si>
    <t xml:space="preserve">00901768326 </t>
  </si>
  <si>
    <t>هاجر رأفت مجاهد داود</t>
  </si>
  <si>
    <t>00901832512</t>
  </si>
  <si>
    <t>ريهام احمد عادل محمود شاكر راشد</t>
  </si>
  <si>
    <t>00901832736</t>
  </si>
  <si>
    <t>مها محمود سلامه محمد</t>
  </si>
  <si>
    <t>اسامة رفعت غبريال جرجس</t>
  </si>
  <si>
    <t>0120108423</t>
  </si>
  <si>
    <t>هيونداي توسان -2021</t>
  </si>
  <si>
    <t>-1320</t>
  </si>
  <si>
    <t>1321</t>
  </si>
  <si>
    <t>سامح السعيد احمد البنا</t>
  </si>
  <si>
    <t>01008039988</t>
  </si>
  <si>
    <t>بي ام دبليو X6-2023</t>
  </si>
  <si>
    <t xml:space="preserve"> 11/05/2023 </t>
  </si>
  <si>
    <t>خصم - 1800 ج عمل تحويل بنكي و تم ايداع مبلغ الخصم 10-5</t>
  </si>
  <si>
    <t>75389</t>
  </si>
  <si>
    <t>GESCO Free Zone</t>
  </si>
  <si>
    <t>075389/2022</t>
  </si>
  <si>
    <t>المنطقة الحرة الاسكندرية-75389/2022</t>
  </si>
  <si>
    <t>مبلغ التأمين 26222500</t>
  </si>
  <si>
    <t>00901644325</t>
  </si>
  <si>
    <t>رباب السيد زكى سليمان</t>
  </si>
  <si>
    <t>747783</t>
  </si>
  <si>
    <t>رقم الشيك59452183-QNB-29-7-2023</t>
  </si>
  <si>
    <t>صافي القسط : 22214</t>
  </si>
  <si>
    <t>00901959503</t>
  </si>
  <si>
    <t>كمال عبد الخالق محمد على</t>
  </si>
  <si>
    <t>00901845076</t>
  </si>
  <si>
    <t>مرفت خليل ابراهيم ابراهيم سالم</t>
  </si>
  <si>
    <t>00901763930</t>
  </si>
  <si>
    <t>احمد اسامه سعيد همام</t>
  </si>
  <si>
    <t>1394</t>
  </si>
  <si>
    <t>سلمى محمود محمود عسل ابراهيم</t>
  </si>
  <si>
    <t>01558733099</t>
  </si>
  <si>
    <t>ميتسوبيشى Attrag 2023</t>
  </si>
  <si>
    <t>لصالح البنك- مصطفى عدنان حولهم لحساب ا.ريمون 13-6- تم تسليم جواب البنك</t>
  </si>
  <si>
    <t>198244</t>
  </si>
  <si>
    <t>يحيى اشرف يحيى محمد عبدالخالق محمد</t>
  </si>
  <si>
    <t>25-6 هيدفع يوم 4-7</t>
  </si>
  <si>
    <t>00902020022-</t>
  </si>
  <si>
    <t>عمر شريف فتحى حسن الشاذلى-</t>
  </si>
  <si>
    <t>747829</t>
  </si>
  <si>
    <t>اسكندرية للمنطقة الحرة- 8ج ايداع-10-7-2023-QNB-رقم الشيك:59452202-QNB</t>
  </si>
  <si>
    <t>صافي القسط : 22600</t>
  </si>
  <si>
    <t xml:space="preserve">00901851491 </t>
  </si>
  <si>
    <t>ايهاب كمال عبد العليم عبد اللطيف عيطه</t>
  </si>
  <si>
    <t>لصالح البنك - 25-6 دفع اون لاين و هيستلم من الفرع</t>
  </si>
  <si>
    <t xml:space="preserve">00901853512 </t>
  </si>
  <si>
    <t>اسامه محمد حسني عبد الرحمن عبد السلام</t>
  </si>
  <si>
    <t>00901671371</t>
  </si>
  <si>
    <t>نانسى نبيل محمد عبد الرحمن</t>
  </si>
  <si>
    <t>00901682837</t>
  </si>
  <si>
    <t>نوران ماهر درويش مصطفى</t>
  </si>
  <si>
    <t>1478</t>
  </si>
  <si>
    <t>هنا محمد نصر الدين صادق محمد صادق</t>
  </si>
  <si>
    <t>01227077073</t>
  </si>
  <si>
    <t>ستروين 2023</t>
  </si>
  <si>
    <t>1370-</t>
  </si>
  <si>
    <t>عمرو احمد حسنى مصطفى-</t>
  </si>
  <si>
    <t>13/8/2023</t>
  </si>
  <si>
    <t xml:space="preserve">00901769136 </t>
  </si>
  <si>
    <t>علاء السيد ابو مصطفى</t>
  </si>
  <si>
    <t xml:space="preserve">00901853499 </t>
  </si>
  <si>
    <t>حازم محمد زكى احمد خضر</t>
  </si>
  <si>
    <t>00902039849-</t>
  </si>
  <si>
    <t>سلمى محمد توفيق وهبه-</t>
  </si>
  <si>
    <t>00901779762</t>
  </si>
  <si>
    <t>نانيس محمود صلاح احمد الحضرى</t>
  </si>
  <si>
    <t>01220500119</t>
  </si>
  <si>
    <t>195651---</t>
  </si>
  <si>
    <t>محمد عبدالعزيز محمد على الغرابلى--</t>
  </si>
  <si>
    <t>195651--</t>
  </si>
  <si>
    <t>747829--</t>
  </si>
  <si>
    <t>GESCO Free Zone-------</t>
  </si>
  <si>
    <t>July</t>
  </si>
  <si>
    <t>17/9/2023</t>
  </si>
  <si>
    <t>13/9/2023</t>
  </si>
  <si>
    <t>00901710528</t>
  </si>
  <si>
    <t>عبير فوزى حسنين يوسف</t>
  </si>
  <si>
    <t>01228840028</t>
  </si>
  <si>
    <t>Nov</t>
  </si>
  <si>
    <t>نيسان سنترا</t>
  </si>
  <si>
    <t>429192</t>
  </si>
  <si>
    <t>International Engineering Enterprice-</t>
  </si>
  <si>
    <t>8813 - 26-6-هاني _pos-ندى عبدالعظيم</t>
  </si>
  <si>
    <t>199948</t>
  </si>
  <si>
    <t>مصطفى بهاء الدين دسوقى شتيوى</t>
  </si>
  <si>
    <t>01280535978</t>
  </si>
  <si>
    <t>GM-5-2021</t>
  </si>
  <si>
    <t>لصالح البنك-نجلا</t>
  </si>
  <si>
    <t>199945</t>
  </si>
  <si>
    <t>سلوى شعبان ابوالمجد ابو زيد</t>
  </si>
  <si>
    <t>01008866400</t>
  </si>
  <si>
    <t>7-8 خصمت 3.5 في 100 علشان كان متحاسب على زيادة في الوثيقة الي قبلها</t>
  </si>
  <si>
    <t>200047</t>
  </si>
  <si>
    <t>احمد محمود عبدالرؤف عباس حسنين قشطى</t>
  </si>
  <si>
    <t>01006272434</t>
  </si>
  <si>
    <t>محمد صقر</t>
  </si>
  <si>
    <t>ميتسوبيشى اكسبندر 2021</t>
  </si>
  <si>
    <t>200058</t>
  </si>
  <si>
    <t>كامل فتحى عبدالمجيد فايد--</t>
  </si>
  <si>
    <t>01066555996</t>
  </si>
  <si>
    <t>مرسيدس GLE450-2023</t>
  </si>
  <si>
    <t>25-7 استلامنا الاصل و لما العميل يدفع هنوصلها ليه</t>
  </si>
  <si>
    <t>00401703533-</t>
  </si>
  <si>
    <t>عفت فوزى السيد الليثى فايد</t>
  </si>
  <si>
    <t>01224585456</t>
  </si>
  <si>
    <t>00401703533</t>
  </si>
  <si>
    <t>6-8 مردش بعت رسالة</t>
  </si>
  <si>
    <t xml:space="preserve">00901133239 </t>
  </si>
  <si>
    <t>غاده احمد محمد العراقي</t>
  </si>
  <si>
    <t xml:space="preserve">01001857078 </t>
  </si>
  <si>
    <t>اسامه  يسرى  محمد صادق</t>
  </si>
  <si>
    <t xml:space="preserve">00901853439 </t>
  </si>
  <si>
    <t>ميرا حسام ايزوريس عازر</t>
  </si>
  <si>
    <t>00901854830</t>
  </si>
  <si>
    <t>مصطفى محمد عفيفى حفناوى</t>
  </si>
  <si>
    <t>15/07/2023</t>
  </si>
  <si>
    <t>تقسيط بنك اهلي</t>
  </si>
  <si>
    <t>عمولة حاتم 10%-تقسيط بنك اهلي</t>
  </si>
  <si>
    <t xml:space="preserve"> 00901674140</t>
  </si>
  <si>
    <t>احمد السيد محمد سيد احمد</t>
  </si>
  <si>
    <t>00901770238-</t>
  </si>
  <si>
    <t>حسام شهاب الدين ابراهيم عبدالله</t>
  </si>
  <si>
    <t>16/07/2023</t>
  </si>
  <si>
    <t>00901770238</t>
  </si>
  <si>
    <t>00901772951</t>
  </si>
  <si>
    <t>عادل محمد احمد علي</t>
  </si>
  <si>
    <t>00901675201</t>
  </si>
  <si>
    <t>وجدى صفوت عدلى جورجى</t>
  </si>
  <si>
    <t>1444-</t>
  </si>
  <si>
    <t>نادر محمد كامل محمد</t>
  </si>
  <si>
    <t>01032037720</t>
  </si>
  <si>
    <t xml:space="preserve"> 7/17/2023</t>
  </si>
  <si>
    <t>مازدا--2019</t>
  </si>
  <si>
    <t>1444</t>
  </si>
  <si>
    <t>17-7 دفع فوري</t>
  </si>
  <si>
    <t>200121</t>
  </si>
  <si>
    <t>صلاح سعيد عبدالله حسن</t>
  </si>
  <si>
    <t>01159888857</t>
  </si>
  <si>
    <t>00902041626</t>
  </si>
  <si>
    <t>جي يو</t>
  </si>
  <si>
    <t>01028685386</t>
  </si>
  <si>
    <t>بى إم دابليو</t>
  </si>
  <si>
    <t xml:space="preserve">00901509359 </t>
  </si>
  <si>
    <t>مينا وجيه شكرى يوسف</t>
  </si>
  <si>
    <t>17/07/2023</t>
  </si>
  <si>
    <t>00901856686</t>
  </si>
  <si>
    <t>ايمان عادل بسيونى عبد الجواد-</t>
  </si>
  <si>
    <t xml:space="preserve">00901972986 </t>
  </si>
  <si>
    <t>محمد صبحى عبده</t>
  </si>
  <si>
    <t>00901770255</t>
  </si>
  <si>
    <t>محمد احمد عبد العال الهواري</t>
  </si>
  <si>
    <t>18/07/2023</t>
  </si>
  <si>
    <t>1415</t>
  </si>
  <si>
    <t>اشرف ابراهيم محمد ابوالعنين-</t>
  </si>
  <si>
    <t>01222125625</t>
  </si>
  <si>
    <t>اودى A3-2023</t>
  </si>
  <si>
    <t>24-7 هترجع و هتتعدل</t>
  </si>
  <si>
    <t>1455-</t>
  </si>
  <si>
    <t>سامح السيد عبدالمنعم ناصف</t>
  </si>
  <si>
    <t>01150322779</t>
  </si>
  <si>
    <t>اوبل استرا 2018</t>
  </si>
  <si>
    <t>27/7/2023</t>
  </si>
  <si>
    <t>1455</t>
  </si>
  <si>
    <t>00901823188-</t>
  </si>
  <si>
    <t>شادى رائف انور عزوز الياس-</t>
  </si>
  <si>
    <t>01229339212</t>
  </si>
  <si>
    <t>18-7 بعت التفاصيل و مسددش</t>
  </si>
  <si>
    <t>1469</t>
  </si>
  <si>
    <t>اشرف ابراهيم محمد ابوالعنين</t>
  </si>
  <si>
    <t>13/08/2023</t>
  </si>
  <si>
    <t>00901770172</t>
  </si>
  <si>
    <t>نهال طارق لبيب احمد لبيب</t>
  </si>
  <si>
    <t>00902041626-</t>
  </si>
  <si>
    <t>جي يو-</t>
  </si>
  <si>
    <t>00901682837-</t>
  </si>
  <si>
    <t>نوران ماهر درويش مصطفى-</t>
  </si>
  <si>
    <t>00901775240</t>
  </si>
  <si>
    <t>إيهاب مسعد محمد العايدى</t>
  </si>
  <si>
    <t>19/07/2023</t>
  </si>
  <si>
    <t>6-7 هاني دفع بوش الكريدت كارد</t>
  </si>
  <si>
    <t>00901996969-</t>
  </si>
  <si>
    <t>محمود عثمان محمد عثمان فارس</t>
  </si>
  <si>
    <t>00901671930</t>
  </si>
  <si>
    <t>غاده ياسين بهى الدين حسن محمد</t>
  </si>
  <si>
    <t>21/07/2023</t>
  </si>
  <si>
    <t>00901513597</t>
  </si>
  <si>
    <t>فادى كريم صبرى وايت المصرى</t>
  </si>
  <si>
    <t>22/07/2023</t>
  </si>
  <si>
    <t>كريدت كارد - هاني - 18-7 - على اربع اقساط</t>
  </si>
  <si>
    <t>00901771536</t>
  </si>
  <si>
    <t>خالد محمد صادق احمد صادق الابريقجى</t>
  </si>
  <si>
    <t>23/07/2023</t>
  </si>
  <si>
    <t>1416</t>
  </si>
  <si>
    <t>جيهان عصام الدين احمد ابو شادى-</t>
  </si>
  <si>
    <t>1465</t>
  </si>
  <si>
    <t>محمد سمير موسى محمد عامر</t>
  </si>
  <si>
    <t>24/07/2023</t>
  </si>
  <si>
    <t>01212157773</t>
  </si>
  <si>
    <t>MG HS 2021</t>
  </si>
  <si>
    <t>25/7/2023</t>
  </si>
  <si>
    <t>00901511215</t>
  </si>
  <si>
    <t>ميرام سعيد محمد العشيرى</t>
  </si>
  <si>
    <t>00902042391</t>
  </si>
  <si>
    <t>امل الشحات احمد سيد احمد</t>
  </si>
  <si>
    <t>01202979268</t>
  </si>
  <si>
    <t>26-7 هاني سلمها لمعرض سلطان</t>
  </si>
  <si>
    <t>00902042385</t>
  </si>
  <si>
    <t>محمد اسماعيل مهدى اسماعيل</t>
  </si>
  <si>
    <t>01066995000</t>
  </si>
  <si>
    <t>00901677893</t>
  </si>
  <si>
    <t>محمود ابراهيم اسماعيل سيف الدين سليمان</t>
  </si>
  <si>
    <t>00901512555</t>
  </si>
  <si>
    <t>هيثم احمد حافظ محمد العكاوي</t>
  </si>
  <si>
    <t>00901677891</t>
  </si>
  <si>
    <t>نهى عادل امين عبد الحليم</t>
  </si>
  <si>
    <t xml:space="preserve">00901678147 </t>
  </si>
  <si>
    <t>نور الدين انور احمد مرسي</t>
  </si>
  <si>
    <t>01110000281</t>
  </si>
  <si>
    <t>00901773624-</t>
  </si>
  <si>
    <t>شيماء انيس عمارة محمد--</t>
  </si>
  <si>
    <t>1417</t>
  </si>
  <si>
    <t>محمد عبدالوهاب محمد نصر الشعراوى</t>
  </si>
  <si>
    <t>25/07/2023</t>
  </si>
  <si>
    <t>01113911194</t>
  </si>
  <si>
    <t>فولكس فاجن تيجوان 2023</t>
  </si>
  <si>
    <t>1468</t>
  </si>
  <si>
    <t>جيهان عصام الدين احمد ابو شادى</t>
  </si>
  <si>
    <t>لصالح البنك- سعر العربية 1000000</t>
  </si>
  <si>
    <t>444339</t>
  </si>
  <si>
    <t>Adec Innovations</t>
  </si>
  <si>
    <t>747877</t>
  </si>
  <si>
    <t>حوادث متنوعة - مسئولية مدنية عامة</t>
  </si>
  <si>
    <t>00901678218</t>
  </si>
  <si>
    <t>باسم محمود لطفى محمد بسيونى</t>
  </si>
  <si>
    <t xml:space="preserve">00901856761 </t>
  </si>
  <si>
    <t>عماد البرت فهيم لطفى</t>
  </si>
  <si>
    <t xml:space="preserve">00901678038 </t>
  </si>
  <si>
    <t>يونس العفيفى عبد اللطيف العزب</t>
  </si>
  <si>
    <t>15/8/2023</t>
  </si>
  <si>
    <t>00901930509-</t>
  </si>
  <si>
    <t>موسى عادل فوزى جيد</t>
  </si>
  <si>
    <t>1467</t>
  </si>
  <si>
    <t>احمد محمد محمد عبداللطيف الفقى</t>
  </si>
  <si>
    <t>26/07/2023</t>
  </si>
  <si>
    <t>فولكس فاجن باسات 2021</t>
  </si>
  <si>
    <t>00901695119-</t>
  </si>
  <si>
    <t>محمد فاروق عبدالله محمود</t>
  </si>
  <si>
    <t>29/7/202</t>
  </si>
  <si>
    <t>00901772919</t>
  </si>
  <si>
    <t>عبد الرحمن محمد حسين حسن السمان</t>
  </si>
  <si>
    <t>27/07/2023</t>
  </si>
  <si>
    <t>00902043131</t>
  </si>
  <si>
    <t>حمدى مصطفى محمد عبد الغفار</t>
  </si>
  <si>
    <t>01061550880</t>
  </si>
  <si>
    <t xml:space="preserve">00901516636 </t>
  </si>
  <si>
    <t>هانى عبد المسيح عزيز عبد المسيح</t>
  </si>
  <si>
    <t>28/07/2023</t>
  </si>
  <si>
    <t>01003458184</t>
  </si>
  <si>
    <t>31/07/2023</t>
  </si>
  <si>
    <t>5H05093</t>
  </si>
  <si>
    <t>X1 بى ام دابليو</t>
  </si>
  <si>
    <t xml:space="preserve">00901974247 </t>
  </si>
  <si>
    <t>يمنى وائل احمد فتحى</t>
  </si>
  <si>
    <t xml:space="preserve">00901678145 </t>
  </si>
  <si>
    <t>زينب أحمد محمد طه</t>
  </si>
  <si>
    <t>24/8/2023</t>
  </si>
  <si>
    <t>00901769784</t>
  </si>
  <si>
    <t>ريموندة مجدى جرجس صالح</t>
  </si>
  <si>
    <t>29/07/2023</t>
  </si>
  <si>
    <t>00901678971</t>
  </si>
  <si>
    <t>علوى جمال الدين عيد خميس</t>
  </si>
  <si>
    <t>9/1/046/2043-Q4-1</t>
  </si>
  <si>
    <t>30/07/2023</t>
  </si>
  <si>
    <t>17/8/2023</t>
  </si>
  <si>
    <t>3-8 اندريا - تم سداده و هيبعتوا للتحصيل</t>
  </si>
  <si>
    <t>6-8 اندريا 719 ج خصم مصاريف ادراية</t>
  </si>
  <si>
    <t>747809-</t>
  </si>
  <si>
    <t>رقم الشيك12312820000521-ADCB-30-7-2023-15000</t>
  </si>
  <si>
    <t>200771</t>
  </si>
  <si>
    <t>كامل فتحى عبدالمجيد فايد</t>
  </si>
  <si>
    <t>200775</t>
  </si>
  <si>
    <t>شذى رجب اسد</t>
  </si>
  <si>
    <t>01128480477</t>
  </si>
  <si>
    <t>ZsMG2023</t>
  </si>
  <si>
    <t>00901680979</t>
  </si>
  <si>
    <t>منال فوزى سليمان قلادة</t>
  </si>
  <si>
    <t>1472</t>
  </si>
  <si>
    <t>فواد محمد سعيد حسن على</t>
  </si>
  <si>
    <t>اودي A4 2023</t>
  </si>
  <si>
    <t>200944</t>
  </si>
  <si>
    <t>كونكريت للهندسة و المقاولات</t>
  </si>
  <si>
    <t>01030731260</t>
  </si>
  <si>
    <t>MG 5 -2021</t>
  </si>
  <si>
    <t xml:space="preserve">00901858412 </t>
  </si>
  <si>
    <t>مصطفى صلاح الشوادفى السيد</t>
  </si>
  <si>
    <t>01023964618</t>
  </si>
  <si>
    <t>21-11 شروق</t>
  </si>
  <si>
    <t>00901882652-</t>
  </si>
  <si>
    <t>شريف بيومى فتحى منسى-</t>
  </si>
  <si>
    <t>00901919438</t>
  </si>
  <si>
    <t>Marina Amir Farouk Nasim Eaqdawaa</t>
  </si>
  <si>
    <t>01001656265-</t>
  </si>
  <si>
    <t>Heba Mohamed Yehia</t>
  </si>
  <si>
    <t>01001656265</t>
  </si>
  <si>
    <t>محمود احمد نبيه محمود</t>
  </si>
  <si>
    <t>VF3M45GYVMS005870</t>
  </si>
  <si>
    <t xml:space="preserve"> 08/03/2023 </t>
  </si>
  <si>
    <t>دفع في فرع بورسعيد</t>
  </si>
  <si>
    <t>00901919256</t>
  </si>
  <si>
    <t>Dalia Nabil Awad Ahmed Matar</t>
  </si>
  <si>
    <t>00901919571</t>
  </si>
  <si>
    <t>00901919255</t>
  </si>
  <si>
    <t>Naglaa Mohamed Ali</t>
  </si>
  <si>
    <t>00902013213</t>
  </si>
  <si>
    <t>منى جاد عبده جاد-</t>
  </si>
  <si>
    <t>01224195840</t>
  </si>
  <si>
    <t>اوبل كروس لاند</t>
  </si>
  <si>
    <t>دفعت POS - هاني</t>
  </si>
  <si>
    <t>00901928603</t>
  </si>
  <si>
    <t>Eaten Ahmed Mohammed Salah Aldeen Ahmed</t>
  </si>
  <si>
    <t>01022868681</t>
  </si>
  <si>
    <t>2-3 ايداع بنكي</t>
  </si>
  <si>
    <t>00901820632</t>
  </si>
  <si>
    <t>Yasmin Gaber Abdal azeem Hammad</t>
  </si>
  <si>
    <t>01012327233</t>
  </si>
  <si>
    <t>00902020022</t>
  </si>
  <si>
    <t>عمر شريف فتحى حسن الشاذلى</t>
  </si>
  <si>
    <t>01272333346</t>
  </si>
  <si>
    <t>13/3/2023</t>
  </si>
  <si>
    <t>هيروح الفرع خلال اسبوع 13-3 - 9-3 مردش- دفع 13-3</t>
  </si>
  <si>
    <t>احمد مصطفى عبد الحميد مصطفى</t>
  </si>
  <si>
    <t>01005210067</t>
  </si>
  <si>
    <t>20-3 دفع في موتور سيتي</t>
  </si>
  <si>
    <t>00901750315</t>
  </si>
  <si>
    <t>Rana Mohammed Abdal Raouf Sami Sharaf</t>
  </si>
  <si>
    <t>UW</t>
  </si>
  <si>
    <t>00901928602</t>
  </si>
  <si>
    <t>Wael Ghaleb Mohammed Arafa Abu seif</t>
  </si>
  <si>
    <t>لصالح البنك-21-3-</t>
  </si>
  <si>
    <t>00901900577-</t>
  </si>
  <si>
    <t>مى محمد مصطفى الطير-</t>
  </si>
  <si>
    <t>00901974963</t>
  </si>
  <si>
    <t>مصطفى عبد النبى عبد العال بدر الدين</t>
  </si>
  <si>
    <t>01005194650</t>
  </si>
  <si>
    <t>38 585</t>
  </si>
  <si>
    <t>بيجو</t>
  </si>
  <si>
    <t>00901827386</t>
  </si>
  <si>
    <t>خليفه الجيوشى خليفه الجيوشى</t>
  </si>
  <si>
    <t>01147050007</t>
  </si>
  <si>
    <t>00901826921</t>
  </si>
  <si>
    <t>محمد على محمد الغريب</t>
  </si>
  <si>
    <t>00901939010</t>
  </si>
  <si>
    <t>فريده على محمد فريد على صادق</t>
  </si>
  <si>
    <t>00901759598</t>
  </si>
  <si>
    <t>محمد فتحى السيد محمد عامر</t>
  </si>
  <si>
    <t>00902028939</t>
  </si>
  <si>
    <t>فريد بهجت احمد عبد الرحمن</t>
  </si>
  <si>
    <t>01147733988</t>
  </si>
  <si>
    <t>تم سداد 1300 ج للعميل خصم 5%-8-5</t>
  </si>
  <si>
    <t>196499</t>
  </si>
  <si>
    <t>الشيماء السيد توفيق محمد مرسي</t>
  </si>
  <si>
    <t>01229078430</t>
  </si>
  <si>
    <t>سوزوكي سويفت-2021</t>
  </si>
  <si>
    <t>196496</t>
  </si>
  <si>
    <t>ياسر حامد احمد السيد حجازي</t>
  </si>
  <si>
    <t>01102772772</t>
  </si>
  <si>
    <t>Q7-2022</t>
  </si>
  <si>
    <t>لصالح البنك-14-5 مردش بعت التفاصيل-16-5 ساندي هيدفع 21-5 هكلمه-22-5 مسافر و هيرجع 28-5</t>
  </si>
  <si>
    <t>00901841580</t>
  </si>
  <si>
    <t>رامى جمال عطا متر موسى حنا</t>
  </si>
  <si>
    <t>00901845081</t>
  </si>
  <si>
    <t>طارق محمد حامد محمد سعود-</t>
  </si>
  <si>
    <t>1381-</t>
  </si>
  <si>
    <t>ايناس عطيه ابراهيم عطية</t>
  </si>
  <si>
    <t>01000780350</t>
  </si>
  <si>
    <t>فيات تيبو 2019</t>
  </si>
  <si>
    <t>1381</t>
  </si>
  <si>
    <t>01001979290-</t>
  </si>
  <si>
    <t>محمد السيد محمود رمضان-</t>
  </si>
  <si>
    <t>00901913457-</t>
  </si>
  <si>
    <t>بدر حافظ عوض الله انيس</t>
  </si>
  <si>
    <t>00901913457</t>
  </si>
  <si>
    <t>00901969259</t>
  </si>
  <si>
    <t>ساره صلاح ابراهيم سيد</t>
  </si>
  <si>
    <t>747830</t>
  </si>
  <si>
    <t>رقم الشيك59452201-QNB-25-7-2023</t>
  </si>
  <si>
    <t>صافي القسط : 10100</t>
  </si>
  <si>
    <t>00901769316</t>
  </si>
  <si>
    <t>احمد محمد امين والى</t>
  </si>
  <si>
    <t xml:space="preserve">00901769316 </t>
  </si>
  <si>
    <t xml:space="preserve">00901979764 </t>
  </si>
  <si>
    <t>هند سعيد شفيق ميخائيل</t>
  </si>
  <si>
    <t>01223514558</t>
  </si>
  <si>
    <t>تقسيط</t>
  </si>
  <si>
    <t>201428</t>
  </si>
  <si>
    <t>اسامه زكريا محمد عبد الحميد</t>
  </si>
  <si>
    <t>01018155021</t>
  </si>
  <si>
    <t>C5 2020</t>
  </si>
  <si>
    <t>00901860098</t>
  </si>
  <si>
    <t>خالد محمد محمد الشنتلي</t>
  </si>
  <si>
    <t>201480</t>
  </si>
  <si>
    <t>محمد حنفى فهمى يوسف</t>
  </si>
  <si>
    <t>سكودا اوكتافيا 2023</t>
  </si>
  <si>
    <t>00902044495</t>
  </si>
  <si>
    <t>جون عادل كمال باسيلى</t>
  </si>
  <si>
    <t>01223492233</t>
  </si>
  <si>
    <t>اوبل اينسجنيا</t>
  </si>
  <si>
    <t>15116</t>
  </si>
  <si>
    <t>السيد محمد محمد السيد عزالدين</t>
  </si>
  <si>
    <t>01061312505</t>
  </si>
  <si>
    <t>مرسيدس Gla200</t>
  </si>
  <si>
    <t>30/8/2023</t>
  </si>
  <si>
    <t>15113</t>
  </si>
  <si>
    <t>السيد محمد محمد السيد عزالدين-</t>
  </si>
  <si>
    <t>00401626672-</t>
  </si>
  <si>
    <t>00901691348-</t>
  </si>
  <si>
    <t>وفاء ابراهيم اسماعيل الفقى-</t>
  </si>
  <si>
    <t xml:space="preserve">00901774242 </t>
  </si>
  <si>
    <t>مريم مجدى كمال فؤاد</t>
  </si>
  <si>
    <t>01281554458</t>
  </si>
  <si>
    <t>443733</t>
  </si>
  <si>
    <t>غاده على عبد المقصود على</t>
  </si>
  <si>
    <t>90401867060</t>
  </si>
  <si>
    <t xml:space="preserve">00901861556 </t>
  </si>
  <si>
    <t>عزه عبدالوهاب عبد المعز الجوهرى</t>
  </si>
  <si>
    <t>01002009701</t>
  </si>
  <si>
    <t>Marine</t>
  </si>
  <si>
    <t>11202046771</t>
  </si>
  <si>
    <t>الشركة الهندسية لانتاج الاجهزة الكهربائية و المنزلية - رويال جاز</t>
  </si>
  <si>
    <t>22-11 تم تسليم للعميل-23-11 مردش بعتله على السداد</t>
  </si>
  <si>
    <t>202314</t>
  </si>
  <si>
    <t>احمد مسعد عبدالسلام على</t>
  </si>
  <si>
    <t>تيوتا كورولا 2014</t>
  </si>
  <si>
    <t>28-8 دفع كاش مع اندريا بخصم 5%</t>
  </si>
  <si>
    <t>1480</t>
  </si>
  <si>
    <t>دينا معوض ابراهيم معوض -</t>
  </si>
  <si>
    <t>01025000024</t>
  </si>
  <si>
    <t>رينو ميجان 2020</t>
  </si>
  <si>
    <t xml:space="preserve">00901861246 </t>
  </si>
  <si>
    <t>رابحه محمد محمود عبد اللطيف</t>
  </si>
  <si>
    <t>01111333197</t>
  </si>
  <si>
    <t>201816</t>
  </si>
  <si>
    <t>احمد محمد مرتضى محمد عفيفى</t>
  </si>
  <si>
    <t>01020008066</t>
  </si>
  <si>
    <t>00901912680-</t>
  </si>
  <si>
    <t>هويدا امين مرقس حنا</t>
  </si>
  <si>
    <t>00901941905-</t>
  </si>
  <si>
    <t>محمد ايهاب احمد سعد زغلول سعيد مصطفى-</t>
  </si>
  <si>
    <t>00901800601-</t>
  </si>
  <si>
    <t>مينا محب فرج صبحى مسيحه</t>
  </si>
  <si>
    <t>00901893373-</t>
  </si>
  <si>
    <t>جانيت اديب جرجس بدوى</t>
  </si>
  <si>
    <t>01222239624</t>
  </si>
  <si>
    <t>4-9 هيدفع خلال اسبوع</t>
  </si>
  <si>
    <t>00901861246-</t>
  </si>
  <si>
    <t>رابحه محمد محمود عبد اللطيف-</t>
  </si>
  <si>
    <t>00902045819</t>
  </si>
  <si>
    <t>وائل ناهض جورج ظريفه</t>
  </si>
  <si>
    <t>01222225263</t>
  </si>
  <si>
    <t>00901980111</t>
  </si>
  <si>
    <t>ليليان عادل وليم ارمانيوس</t>
  </si>
  <si>
    <t>14/08/2023</t>
  </si>
  <si>
    <t xml:space="preserve">00901860120 </t>
  </si>
  <si>
    <t>حسن محبوب فرج محبوب</t>
  </si>
  <si>
    <t>1483</t>
  </si>
  <si>
    <t>محمد الفاتح الرشيد محمد الامين</t>
  </si>
  <si>
    <t>01555239834</t>
  </si>
  <si>
    <t>RX8 - MG 2023</t>
  </si>
  <si>
    <t>24/10/2023</t>
  </si>
  <si>
    <t>1484</t>
  </si>
  <si>
    <t>كرستين ادوار نجيب بباوى</t>
  </si>
  <si>
    <t>01224061560</t>
  </si>
  <si>
    <t>اوبل Mokka 2023</t>
  </si>
  <si>
    <t>00901939010-</t>
  </si>
  <si>
    <t>فريده على محمد فريد على صادق-</t>
  </si>
  <si>
    <t>201836</t>
  </si>
  <si>
    <t>نهال عبدالمجيد عبدالعاطى عبدالمجيد</t>
  </si>
  <si>
    <t>مرسيدس Gla200 - 2023</t>
  </si>
  <si>
    <t>00901698172-</t>
  </si>
  <si>
    <t>يحيى صلاح الدين فهمى عبد الغنى</t>
  </si>
  <si>
    <t>00901908504-</t>
  </si>
  <si>
    <t>ماجد اديب فهيم عطيه</t>
  </si>
  <si>
    <t>01226666421</t>
  </si>
  <si>
    <t>17-8 بعتله-29-10 عايز يكنسل لان تجديده اخرالسنة</t>
  </si>
  <si>
    <t>1484-</t>
  </si>
  <si>
    <t>كرستين ادوار نجيب بباوى-</t>
  </si>
  <si>
    <t>9/1/046/2043-Q4-2</t>
  </si>
  <si>
    <t>15/08/2023</t>
  </si>
  <si>
    <t>Aug</t>
  </si>
  <si>
    <t xml:space="preserve">00901979945 </t>
  </si>
  <si>
    <t>خالد كمال سليمان اسماعيل-</t>
  </si>
  <si>
    <t>4359</t>
  </si>
  <si>
    <t>ديالا مامون قلعه</t>
  </si>
  <si>
    <t>01010958810</t>
  </si>
  <si>
    <t>1299-</t>
  </si>
  <si>
    <t>مجدى محمد صالح ابراهيم</t>
  </si>
  <si>
    <t>00801979691</t>
  </si>
  <si>
    <t>شركة يو اى فاينانس</t>
  </si>
  <si>
    <t>00901776793</t>
  </si>
  <si>
    <t>خليل صموئيل عبد الملاك بولس</t>
  </si>
  <si>
    <t>16/08/2023</t>
  </si>
  <si>
    <t>00401775696</t>
  </si>
  <si>
    <t>ابراهيم صموئيل عبد الملاك بولس</t>
  </si>
  <si>
    <t>1485</t>
  </si>
  <si>
    <t>اميره ناجى عبداللطيف عامر</t>
  </si>
  <si>
    <t>01016788100</t>
  </si>
  <si>
    <t>بيجو 301-2022</t>
  </si>
  <si>
    <t xml:space="preserve">00901775799 </t>
  </si>
  <si>
    <t>شادى مجدى جورج زكى</t>
  </si>
  <si>
    <t>17/08/2023</t>
  </si>
  <si>
    <t>28/08/2023</t>
  </si>
  <si>
    <t>00901832736-</t>
  </si>
  <si>
    <t>مها محمود سلامه محمد-</t>
  </si>
  <si>
    <t>01008325473</t>
  </si>
  <si>
    <t>21-8 هتعمل تحويل يوم 24</t>
  </si>
  <si>
    <t>00901938805-</t>
  </si>
  <si>
    <t>محمد جلال الدين محمد عبدالرازق-</t>
  </si>
  <si>
    <t>21-8 هيدفع النهاردة</t>
  </si>
  <si>
    <t>00901822816-</t>
  </si>
  <si>
    <t>شريف راغب سليم توفيق-</t>
  </si>
  <si>
    <t>20/08/2023</t>
  </si>
  <si>
    <t>00902046657</t>
  </si>
  <si>
    <t>اسلام علي صديق صادق-</t>
  </si>
  <si>
    <t>00901761526-</t>
  </si>
  <si>
    <t>عبير على حسن الشعشاعى-</t>
  </si>
  <si>
    <t>01228781878</t>
  </si>
  <si>
    <t>00901947336--</t>
  </si>
  <si>
    <t>امانى شنوده هندى عبد الشهيد--</t>
  </si>
  <si>
    <t>00901761526--</t>
  </si>
  <si>
    <t>عبير على حسن الشعشاعى--</t>
  </si>
  <si>
    <t>00901832736--</t>
  </si>
  <si>
    <t>مها محمود سلامه محمد--</t>
  </si>
  <si>
    <t>202251</t>
  </si>
  <si>
    <t>احمد شعبان سيد فرج</t>
  </si>
  <si>
    <t>GM ZS 2021</t>
  </si>
  <si>
    <t>00901684986</t>
  </si>
  <si>
    <t>ندى محمد حسن مصطفى</t>
  </si>
  <si>
    <t>18/08/2023</t>
  </si>
  <si>
    <t xml:space="preserve">00901523127 </t>
  </si>
  <si>
    <t>اسامه احمد عبد الرحمن محمد</t>
  </si>
  <si>
    <t>14/9/2023</t>
  </si>
  <si>
    <t xml:space="preserve">00901775782 </t>
  </si>
  <si>
    <t>جلال الدين عبد الهادى فراج على</t>
  </si>
  <si>
    <t>19/08/2023</t>
  </si>
  <si>
    <t>1473</t>
  </si>
  <si>
    <t>مريم حسام الدين ابراهيم</t>
  </si>
  <si>
    <t>01141656909</t>
  </si>
  <si>
    <t>20-8 تم تعديل التاريخ من2 لي</t>
  </si>
  <si>
    <t xml:space="preserve">00901152849 </t>
  </si>
  <si>
    <t>امير كرم سليمان عطيه</t>
  </si>
  <si>
    <t>00901837511-</t>
  </si>
  <si>
    <t>خالد احمد محمد زرد-</t>
  </si>
  <si>
    <t>1490</t>
  </si>
  <si>
    <t>محمد اسامة احمد النحاس</t>
  </si>
  <si>
    <t>01224441127</t>
  </si>
  <si>
    <t>مرسيدس</t>
  </si>
  <si>
    <t>شركة الدليا للاستيراد و التصدير</t>
  </si>
  <si>
    <t>01224500009</t>
  </si>
  <si>
    <t xml:space="preserve">442381 </t>
  </si>
  <si>
    <t>Q1-442381-</t>
  </si>
  <si>
    <t>1489</t>
  </si>
  <si>
    <t>خالد محمد السيد سكر</t>
  </si>
  <si>
    <t>01065782720</t>
  </si>
  <si>
    <t>بى ام دبليو I520 2023</t>
  </si>
  <si>
    <t>مصطفى عدنان دفعه متأخر بالتالي هيتخصم 3% منه</t>
  </si>
  <si>
    <t>202240</t>
  </si>
  <si>
    <t>محمد محمد سعيد مرسى</t>
  </si>
  <si>
    <t>01200657965</t>
  </si>
  <si>
    <t>GM ZS 2023</t>
  </si>
  <si>
    <t>00901729633-</t>
  </si>
  <si>
    <t>ساندرا مدحت هنرى لوقا-</t>
  </si>
  <si>
    <t>31/08/2023</t>
  </si>
  <si>
    <t>202254</t>
  </si>
  <si>
    <t>بسنت نبيل محمد محمد</t>
  </si>
  <si>
    <t>21/08/2023</t>
  </si>
  <si>
    <t>مرسيدس C180 2023</t>
  </si>
  <si>
    <t xml:space="preserve">00901862921 </t>
  </si>
  <si>
    <t>منار حامد على محمد عسل</t>
  </si>
  <si>
    <t>19517</t>
  </si>
  <si>
    <t>رضا محمد حمدان عبدالكريم</t>
  </si>
  <si>
    <t>19515</t>
  </si>
  <si>
    <t>رضا محمد حمدان عبدالكريم-</t>
  </si>
  <si>
    <t>19527</t>
  </si>
  <si>
    <t>رضا محمد حمدان عبدالكريم--</t>
  </si>
  <si>
    <t>19523</t>
  </si>
  <si>
    <t>رضا محمد حمدان عبدالكريم---</t>
  </si>
  <si>
    <t>202869</t>
  </si>
  <si>
    <t>بسنت نبيل محمد محمد-</t>
  </si>
  <si>
    <t>مرسيدس c180 2023</t>
  </si>
  <si>
    <t>3-9 هيحول و يستلم من الدقي او التجمع</t>
  </si>
  <si>
    <t>3-9 هيتحسب من عمولة شهر 9 ساندي</t>
  </si>
  <si>
    <t xml:space="preserve">00901686398 </t>
  </si>
  <si>
    <t>امير مجدى محمد دواد</t>
  </si>
  <si>
    <t>Y001456</t>
  </si>
  <si>
    <t xml:space="preserve">00901863204 </t>
  </si>
  <si>
    <t>جمال حبيب جاد حنا</t>
  </si>
  <si>
    <t xml:space="preserve">00901863199 </t>
  </si>
  <si>
    <t>سهير محمود عيد الطويل</t>
  </si>
  <si>
    <t>01222185687</t>
  </si>
  <si>
    <t>1493</t>
  </si>
  <si>
    <t>ايه هشام على محمد عاشور</t>
  </si>
  <si>
    <t>سوزوكى اسبريسو 2023</t>
  </si>
  <si>
    <t>00902047063</t>
  </si>
  <si>
    <t>سمير صبرى عدلى يوسف</t>
  </si>
  <si>
    <t>01001493201</t>
  </si>
  <si>
    <t>27-8 تبع محمد فاروق شروق تجديد- سمير صبري تجديد وثيقته في شهر 6 و كنسل و عاد معاينة و اصدار</t>
  </si>
  <si>
    <t>00901862871</t>
  </si>
  <si>
    <t>Mohamed Essam Ahmed</t>
  </si>
  <si>
    <t>August</t>
  </si>
  <si>
    <t>1497</t>
  </si>
  <si>
    <t>ايه هشام على محمد عاشور--</t>
  </si>
  <si>
    <t>1498</t>
  </si>
  <si>
    <t>ايه هشام على محمد عاشور-</t>
  </si>
  <si>
    <t>01142008867</t>
  </si>
  <si>
    <t xml:space="preserve">00901863205 </t>
  </si>
  <si>
    <t>أمل وديع عبد الحليم عفيفى</t>
  </si>
  <si>
    <t>23/08/2023</t>
  </si>
  <si>
    <t xml:space="preserve">00901776056 </t>
  </si>
  <si>
    <t>هيثم محمد سعد محمد يوسف</t>
  </si>
  <si>
    <t xml:space="preserve">00901863513 </t>
  </si>
  <si>
    <t>رامزى يوسف سروجى</t>
  </si>
  <si>
    <t>202377</t>
  </si>
  <si>
    <t>دينا معوض ابراهيم معوض --</t>
  </si>
  <si>
    <t>1819</t>
  </si>
  <si>
    <t>جيسكو للمناطق الحرة</t>
  </si>
  <si>
    <t>202435</t>
  </si>
  <si>
    <t>مها ابراهيم عادل عبدالخالق البحروى</t>
  </si>
  <si>
    <t>01094349299</t>
  </si>
  <si>
    <t>MG RX5-2023</t>
  </si>
  <si>
    <t>00901863481</t>
  </si>
  <si>
    <t>صالح محمد صالح ابراهيم</t>
  </si>
  <si>
    <t>00901750021-</t>
  </si>
  <si>
    <t>وائل زهرى محمد عبد السميع-</t>
  </si>
  <si>
    <t>1495</t>
  </si>
  <si>
    <t>شريف عبدالرحمن زيان عبدالله</t>
  </si>
  <si>
    <t>سوبارو XV 2022</t>
  </si>
  <si>
    <t>27-8 مع مصطفى عدنان-29-10 هاني سلمها لجي اي جي</t>
  </si>
  <si>
    <t>1496</t>
  </si>
  <si>
    <t>امانى الرشيد محمد الامين حامد</t>
  </si>
  <si>
    <t>01123630852</t>
  </si>
  <si>
    <t>MG 5 2022</t>
  </si>
  <si>
    <t>198097-</t>
  </si>
  <si>
    <t>احمد عبدالعزيز محمد الغرابلى-</t>
  </si>
  <si>
    <t>00901687482</t>
  </si>
  <si>
    <t>احمد محمد فارس ابراهيم</t>
  </si>
  <si>
    <t>00901776753</t>
  </si>
  <si>
    <t>طارق محمود ابراهيم عبد اللطيف</t>
  </si>
  <si>
    <t>01001970893</t>
  </si>
  <si>
    <t>رينو ميجان</t>
  </si>
  <si>
    <t xml:space="preserve">00901974158 </t>
  </si>
  <si>
    <t>ممدوح فرج على الرمال</t>
  </si>
  <si>
    <t>1499</t>
  </si>
  <si>
    <t>محمد صبحى سعد عبدالحميد</t>
  </si>
  <si>
    <t>27/08/2023</t>
  </si>
  <si>
    <t>01032725574</t>
  </si>
  <si>
    <t>رينو لوجان 2022</t>
  </si>
  <si>
    <t>00901915211-</t>
  </si>
  <si>
    <t>عادل عبدالوهاب احمد قبيس-</t>
  </si>
  <si>
    <t>01116020350</t>
  </si>
  <si>
    <t>29-8 هيدفع بكرة</t>
  </si>
  <si>
    <t>00901777204</t>
  </si>
  <si>
    <t>مصطفى يوسف محمد جعفر</t>
  </si>
  <si>
    <t>محمد مرسي</t>
  </si>
  <si>
    <t>1500</t>
  </si>
  <si>
    <t>خالد محمد احمد البرير</t>
  </si>
  <si>
    <t>01093002960</t>
  </si>
  <si>
    <t>MG RX5 2023</t>
  </si>
  <si>
    <t>1503</t>
  </si>
  <si>
    <t>نوران حسين عبدالعزيز محمود الشاذلى</t>
  </si>
  <si>
    <t>01111515750</t>
  </si>
  <si>
    <t>فيات 2023</t>
  </si>
  <si>
    <t>1502</t>
  </si>
  <si>
    <t>مصطفى عمر طلبه سيف محمد</t>
  </si>
  <si>
    <t>بيجو 301 2023</t>
  </si>
  <si>
    <t>747913</t>
  </si>
  <si>
    <t>شركة بتروبكر للبترول</t>
  </si>
  <si>
    <t>15/11/2023</t>
  </si>
  <si>
    <t>20-11 تسهيل بسداد على شيكات</t>
  </si>
  <si>
    <t>00902048038</t>
  </si>
  <si>
    <t>نيفين حلمى حسين محمود</t>
  </si>
  <si>
    <t>01005141450</t>
  </si>
  <si>
    <t>31-8 هتبعت بنتها التجمع</t>
  </si>
  <si>
    <t>198096-</t>
  </si>
  <si>
    <t>رانيا عبدالعزيز محمد الغرابلى-</t>
  </si>
  <si>
    <t>محمد عبدالعزيز محمد الغرابلى-</t>
  </si>
  <si>
    <t>25/10/2023</t>
  </si>
  <si>
    <t>16/11/2023</t>
  </si>
  <si>
    <t>يتبقى 1180 ج</t>
  </si>
  <si>
    <t>00902047695</t>
  </si>
  <si>
    <t>اياد احمد عبد الفتاح الدرديرى</t>
  </si>
  <si>
    <t>1501</t>
  </si>
  <si>
    <t>حازم احمد ابراهيم الخميسى</t>
  </si>
  <si>
    <t>0122355397-01154229538</t>
  </si>
  <si>
    <t>فولكس واجن باسات 2023</t>
  </si>
  <si>
    <t>جواب بنك</t>
  </si>
  <si>
    <t xml:space="preserve">00901864715 </t>
  </si>
  <si>
    <t>عزه محمد ابو الهدى عبد الرحمن</t>
  </si>
  <si>
    <t>29/08/2023</t>
  </si>
  <si>
    <t xml:space="preserve">00901775368 </t>
  </si>
  <si>
    <t>احمد حسين عبد الوهاب حسن</t>
  </si>
  <si>
    <t>01025013010</t>
  </si>
  <si>
    <t>00901890076--</t>
  </si>
  <si>
    <t>سامح روؤف زكى معوض</t>
  </si>
  <si>
    <t>01200484353</t>
  </si>
  <si>
    <t>29-8 هيحاول اون لاين</t>
  </si>
  <si>
    <t>00901808056-</t>
  </si>
  <si>
    <t>احمد محمد انور معوض محمد جعفر</t>
  </si>
  <si>
    <t>01011329976</t>
  </si>
  <si>
    <t>29-8 مردش بعت التفاصيل</t>
  </si>
  <si>
    <t xml:space="preserve">00901777092 </t>
  </si>
  <si>
    <t>نيفين محمود سامى عبد الحميد زنون</t>
  </si>
  <si>
    <t>01227334322</t>
  </si>
  <si>
    <t>21-11 مردتش شروق</t>
  </si>
  <si>
    <t>747809--</t>
  </si>
  <si>
    <t>رقم الشيك12312820000522-ADCB-30-8-2023-17787</t>
  </si>
  <si>
    <t xml:space="preserve">00901865575 </t>
  </si>
  <si>
    <t>محمود سعد فرحات عطالله</t>
  </si>
  <si>
    <t>00401529515</t>
  </si>
  <si>
    <t>خالد مختار محمد حجازى</t>
  </si>
  <si>
    <t>30/08/2023</t>
  </si>
  <si>
    <t>00902026466--</t>
  </si>
  <si>
    <t>عماد ابراهيم على عفانه--</t>
  </si>
  <si>
    <t>31-8 هيشوف هيدفه ازاي و هيبعتلي</t>
  </si>
  <si>
    <t>خالد محمد عبدالمنعم قنديل-</t>
  </si>
  <si>
    <t>00901641698-</t>
  </si>
  <si>
    <t>احمد ابراهيم محمود السلامونى-</t>
  </si>
  <si>
    <t>1505</t>
  </si>
  <si>
    <t>عصام احمد يونس عفيفى خلف</t>
  </si>
  <si>
    <t>01005472888</t>
  </si>
  <si>
    <t>بيجو 5008 2020</t>
  </si>
  <si>
    <t>31-8 مردش بعت تفاصيل</t>
  </si>
  <si>
    <t>1305--</t>
  </si>
  <si>
    <t>فادى فواد فهيم-</t>
  </si>
  <si>
    <t>01280828109</t>
  </si>
  <si>
    <t>31-8 بلغته</t>
  </si>
  <si>
    <t xml:space="preserve">00901982334 </t>
  </si>
  <si>
    <t>هانيا مصطفى على سامح بولاية والدها</t>
  </si>
  <si>
    <t>00901808056--</t>
  </si>
  <si>
    <t>احمد محمد انور معوض محمد جعفر-</t>
  </si>
  <si>
    <t>1403-</t>
  </si>
  <si>
    <t>حسام سامى جرجس الاسيوطى-</t>
  </si>
  <si>
    <t>1504</t>
  </si>
  <si>
    <t>روان امير عبدالله ميرغنى</t>
  </si>
  <si>
    <t>01099231169</t>
  </si>
  <si>
    <t>كيا Xceed 2024</t>
  </si>
  <si>
    <t>1504-</t>
  </si>
  <si>
    <t>روان امير عبدالله ميرغنى-</t>
  </si>
  <si>
    <t>202878</t>
  </si>
  <si>
    <t>كامل فتحى عبدالمجيد فايد-</t>
  </si>
  <si>
    <t>بيجو 5008 2019</t>
  </si>
  <si>
    <t>203318</t>
  </si>
  <si>
    <t>شركة جيسكو جروب (احمد عبدالوهاب ابوالعلا بيومي)</t>
  </si>
  <si>
    <t>هيونداى توسان 2017</t>
  </si>
  <si>
    <t>23/11/2023</t>
  </si>
  <si>
    <t>19/11/2023</t>
  </si>
  <si>
    <t>1503-</t>
  </si>
  <si>
    <t>نوران حسين عبدالعزيز محمود الشاذلى-</t>
  </si>
  <si>
    <t>00901866019</t>
  </si>
  <si>
    <t>ماري عازر زكي جاد السيد</t>
  </si>
  <si>
    <t>01221474959</t>
  </si>
  <si>
    <t>موتور سيتي تحصيل+00901878750</t>
  </si>
  <si>
    <t>00901814136</t>
  </si>
  <si>
    <t>Abdallah Hassan Mohammed Yas</t>
  </si>
  <si>
    <t>00902013133</t>
  </si>
  <si>
    <t>هويدا امين مرقس حنا-</t>
  </si>
  <si>
    <t>01223771104-01223766155</t>
  </si>
  <si>
    <t>16/2/2023</t>
  </si>
  <si>
    <t>Y002266</t>
  </si>
  <si>
    <t>تحويل بنكي-خصم 5%-11500</t>
  </si>
  <si>
    <t>00901779176</t>
  </si>
  <si>
    <t>لارا حلمى محمد الطناحى</t>
  </si>
  <si>
    <t>01018440291</t>
  </si>
  <si>
    <t>احمد جمال</t>
  </si>
  <si>
    <t>جيب</t>
  </si>
  <si>
    <t>00901623901</t>
  </si>
  <si>
    <t>Mohammed Hossam Al-deen Ibrahim Mahmoud Amara</t>
  </si>
  <si>
    <t>00901929291</t>
  </si>
  <si>
    <t>Moamer Abdo Mohamed El Damrdashy</t>
  </si>
  <si>
    <t>00901929063</t>
  </si>
  <si>
    <t>Ahmed Hassan Al sayed Ibrahim Nooh</t>
  </si>
  <si>
    <t>00901801187-</t>
  </si>
  <si>
    <t>لامو ماجيا باولينا</t>
  </si>
  <si>
    <t>01001434779</t>
  </si>
  <si>
    <t>19/09/2023</t>
  </si>
  <si>
    <t>00901938787</t>
  </si>
  <si>
    <t>Karim Mohamed Gaber Mahmoud</t>
  </si>
  <si>
    <t>00902024853</t>
  </si>
  <si>
    <t>ريمون حنا بطرس صالح</t>
  </si>
  <si>
    <t>01225700154</t>
  </si>
  <si>
    <t>M99176</t>
  </si>
  <si>
    <t>00901826935</t>
  </si>
  <si>
    <t>هدير بهاء الدين طه محمد على</t>
  </si>
  <si>
    <t>00901866305</t>
  </si>
  <si>
    <t>مهند محمد عبد الفتاح على العدل</t>
  </si>
  <si>
    <t>01288775348</t>
  </si>
  <si>
    <t>747931</t>
  </si>
  <si>
    <t>GESCO Free Zone----</t>
  </si>
  <si>
    <t>00901948139</t>
  </si>
  <si>
    <t>مريم معتز عبد الجبار وهدان محمد</t>
  </si>
  <si>
    <t>00901832730</t>
  </si>
  <si>
    <t>احمد سليمان محمد محمد سليمان</t>
  </si>
  <si>
    <t>1319</t>
  </si>
  <si>
    <t>ياسمين محمد توفيق حسن توفيق - بولايه والدها</t>
  </si>
  <si>
    <t>01158849917</t>
  </si>
  <si>
    <t xml:space="preserve">9-5 هيشوف الوثيقة و هيروح التجمع - مين الي هيستلم التعويض </t>
  </si>
  <si>
    <t>00901947783</t>
  </si>
  <si>
    <t>هبه الله احمد احمد يوسف احمد</t>
  </si>
  <si>
    <t>1509</t>
  </si>
  <si>
    <t>احمد احمد عبدالرحمن ابوشنب</t>
  </si>
  <si>
    <t>01061769175</t>
  </si>
  <si>
    <t>بيجو 3008 2023</t>
  </si>
  <si>
    <t>26/9/2023</t>
  </si>
  <si>
    <t>203189</t>
  </si>
  <si>
    <t>عمر عبدالرحمن يوسف ابراهيم زهران</t>
  </si>
  <si>
    <t>اوبل كورسا 2022</t>
  </si>
  <si>
    <t>لصالح البنك-مصطفى عدنان استلامها</t>
  </si>
  <si>
    <t xml:space="preserve">00901866752 </t>
  </si>
  <si>
    <t>فادي ايهاب كامل سيفين</t>
  </si>
  <si>
    <t>01279859846</t>
  </si>
  <si>
    <t>00901606910-</t>
  </si>
  <si>
    <t>مها مدحت ابراهيم حسين</t>
  </si>
  <si>
    <t>00901960744</t>
  </si>
  <si>
    <t>عاصم حافظ مامون فوده</t>
  </si>
  <si>
    <t>1288-</t>
  </si>
  <si>
    <t>احمد لطفي عبدالحكيم احمد-</t>
  </si>
  <si>
    <t>00901800612-</t>
  </si>
  <si>
    <t>مريم محمد احمد سالم البدن</t>
  </si>
  <si>
    <t>01022449998</t>
  </si>
  <si>
    <t xml:space="preserve">00901531805 </t>
  </si>
  <si>
    <t>إيمان حسنى محمد احمد</t>
  </si>
  <si>
    <t>01221377194</t>
  </si>
  <si>
    <t>19/9/2023</t>
  </si>
  <si>
    <t>00901779531</t>
  </si>
  <si>
    <t>دينا مجد الدين محمود الهوارى</t>
  </si>
  <si>
    <t>01280008050</t>
  </si>
  <si>
    <t>00901779414</t>
  </si>
  <si>
    <t>عبد الرازق مهران عبد الرازق احمد</t>
  </si>
  <si>
    <t>01119000954</t>
  </si>
  <si>
    <t>23/9/2023</t>
  </si>
  <si>
    <t xml:space="preserve">00901672024 </t>
  </si>
  <si>
    <t>امينه عمر عبد الرحمن ابو حسين</t>
  </si>
  <si>
    <t>00901706660-</t>
  </si>
  <si>
    <t>جورج حبيب جورج بريمو</t>
  </si>
  <si>
    <t>01281133345</t>
  </si>
  <si>
    <t>سالى شوقى امام محمد</t>
  </si>
  <si>
    <t>كيا Xceed-2023</t>
  </si>
  <si>
    <t>1413</t>
  </si>
  <si>
    <t>هبه محمد امين سعد</t>
  </si>
  <si>
    <t>01111106709</t>
  </si>
  <si>
    <t>01002039969</t>
  </si>
  <si>
    <t>عماد فوزي حسين ابراهيم</t>
  </si>
  <si>
    <t xml:space="preserve">01005497495-01013334000 </t>
  </si>
  <si>
    <t>Y500393</t>
  </si>
  <si>
    <t>2039969</t>
  </si>
  <si>
    <t>تحويل بنكي 10-7-2023</t>
  </si>
  <si>
    <t>00902011296-</t>
  </si>
  <si>
    <t>سلمى ماهر عبد السلام عبد المجيد</t>
  </si>
  <si>
    <t>00902013213-</t>
  </si>
  <si>
    <t>منى جاد عبده جاد</t>
  </si>
  <si>
    <t>747780------</t>
  </si>
  <si>
    <t>GESCO Free Zone------</t>
  </si>
  <si>
    <t>00901779815</t>
  </si>
  <si>
    <t>احمد بدوى عبدالله محمد الشناوى-</t>
  </si>
  <si>
    <t>01272824003</t>
  </si>
  <si>
    <t>00901776715</t>
  </si>
  <si>
    <t>نرمين يسرى سعيد الششتاوى</t>
  </si>
  <si>
    <t>1479</t>
  </si>
  <si>
    <t>تامر فرج على الرمال</t>
  </si>
  <si>
    <t>19/8/2023</t>
  </si>
  <si>
    <t>نيسان قشقاي 2020</t>
  </si>
  <si>
    <t>1197-</t>
  </si>
  <si>
    <t>احمد عبدالفتاح محمد محمود موسى-</t>
  </si>
  <si>
    <t>29/10/2023</t>
  </si>
  <si>
    <t>17-8 الرقم مجمعش بعت رسالة</t>
  </si>
  <si>
    <t>201552</t>
  </si>
  <si>
    <t>جورجينا رزيق عزيز جرجس</t>
  </si>
  <si>
    <t>01507455020</t>
  </si>
  <si>
    <t>GM ZS-2021</t>
  </si>
  <si>
    <t>1217-</t>
  </si>
  <si>
    <t>ياسمين عادل محمود على الشربينى-</t>
  </si>
  <si>
    <t>15131</t>
  </si>
  <si>
    <t>خالد بن عبدالله بن صالح الحربى</t>
  </si>
  <si>
    <t>01150127912</t>
  </si>
  <si>
    <t>ليموزين 2022</t>
  </si>
  <si>
    <t>00901860215</t>
  </si>
  <si>
    <t>باسل محمد محمد عفيفي</t>
  </si>
  <si>
    <t>00901867378</t>
  </si>
  <si>
    <t>سالى السيد محمد صلاح عطيه</t>
  </si>
  <si>
    <t>01000084460</t>
  </si>
  <si>
    <t>Q3 أودى</t>
  </si>
  <si>
    <t xml:space="preserve">01001868243 </t>
  </si>
  <si>
    <t>مروة امين ابو المجد السيد</t>
  </si>
  <si>
    <t>01006000090</t>
  </si>
  <si>
    <t xml:space="preserve">00901983592 </t>
  </si>
  <si>
    <t>مها ابراهيم حامد عبد الغنى</t>
  </si>
  <si>
    <t>01227360465</t>
  </si>
  <si>
    <t>00901532631</t>
  </si>
  <si>
    <t>خالد مختار محمد حجازى-</t>
  </si>
  <si>
    <t xml:space="preserve">00901692278 </t>
  </si>
  <si>
    <t>وليد محمد حسن محمد</t>
  </si>
  <si>
    <t>01005216515</t>
  </si>
  <si>
    <t>747780----</t>
  </si>
  <si>
    <t>ملحق مرتد - جيسكو</t>
  </si>
  <si>
    <t>19440</t>
  </si>
  <si>
    <t>JABKO-جيسكو للمناطق الحرة</t>
  </si>
  <si>
    <t>رقم الشيك : 61342363 QNB</t>
  </si>
  <si>
    <t>1529</t>
  </si>
  <si>
    <t>احمد بدوى حسن حسنين - بالتوكيل</t>
  </si>
  <si>
    <t>يوجد في حساب العميل 1548 ج يخصم من الاجمالي</t>
  </si>
  <si>
    <t>1525-</t>
  </si>
  <si>
    <t>دينا سامى عزيز جيد-</t>
  </si>
  <si>
    <t>01222746721/01223465989</t>
  </si>
  <si>
    <t>اوبل كروس لاند 2022</t>
  </si>
  <si>
    <t>20/9/2023</t>
  </si>
  <si>
    <t xml:space="preserve">00901780226 </t>
  </si>
  <si>
    <t>احمد محمود جمال الدين مصطفى حمد</t>
  </si>
  <si>
    <t>01223134274</t>
  </si>
  <si>
    <t>1533</t>
  </si>
  <si>
    <t>احمد بدوى حسن حسنين - بالتوكيل-</t>
  </si>
  <si>
    <t>يوجد في حساب العميل 1548 ج يخصم من الاجمالي-1079.63</t>
  </si>
  <si>
    <t>747937</t>
  </si>
  <si>
    <t>GESCO Free Zone---</t>
  </si>
  <si>
    <t>747938</t>
  </si>
  <si>
    <t>GESCO Free Zone-----</t>
  </si>
  <si>
    <t>00401782660</t>
  </si>
  <si>
    <t>داليا هشام محمد حسين وهدان</t>
  </si>
  <si>
    <t>01099998048</t>
  </si>
  <si>
    <t>نيسان</t>
  </si>
  <si>
    <t>نيسان-صنى</t>
  </si>
  <si>
    <t xml:space="preserve">00901780225 </t>
  </si>
  <si>
    <t>سعد عبد الفتاح حسين سليمان</t>
  </si>
  <si>
    <t>01144990482</t>
  </si>
  <si>
    <t>6 ام جي</t>
  </si>
  <si>
    <t>747938-</t>
  </si>
  <si>
    <t>اميره اشرف البسطويسى اليمانى</t>
  </si>
  <si>
    <t>01112015500</t>
  </si>
  <si>
    <t>MG ZS 2021</t>
  </si>
  <si>
    <t>9-11 تم ارسالها لمعرض موتور ستي علشان عايزين ياخدوا العمولة لانها كانت عن طريقهم</t>
  </si>
  <si>
    <t>1501-</t>
  </si>
  <si>
    <t>حازم احمد ابراهيم الخميسى-</t>
  </si>
  <si>
    <t>0122355397</t>
  </si>
  <si>
    <t>1549</t>
  </si>
  <si>
    <t>ماهيتاب ياسر عبدالمحسن السيد عبدالحافظ</t>
  </si>
  <si>
    <t>MG</t>
  </si>
  <si>
    <t>لصالح المعرض</t>
  </si>
  <si>
    <t>00901893373</t>
  </si>
  <si>
    <t>جانيت اديب جرجس بدوى-</t>
  </si>
  <si>
    <t xml:space="preserve">00901984235 </t>
  </si>
  <si>
    <t>منه الله حمدى صالح حسين</t>
  </si>
  <si>
    <t>01003011176</t>
  </si>
  <si>
    <t>203628</t>
  </si>
  <si>
    <t>عمرو بسطويسى احمد بسطويسى</t>
  </si>
  <si>
    <t>01001040503</t>
  </si>
  <si>
    <t>مرسيدس C180 2020</t>
  </si>
  <si>
    <t>00401537413</t>
  </si>
  <si>
    <t>ممدوح على عبد الواحد عليان</t>
  </si>
  <si>
    <t>13/09/2023</t>
  </si>
  <si>
    <t>00901868570</t>
  </si>
  <si>
    <t>جورج منير جرجس شنوده</t>
  </si>
  <si>
    <t>00901869163</t>
  </si>
  <si>
    <t>اسامه محمد ابراهيم عبد القادر الجندى</t>
  </si>
  <si>
    <t>00901780389</t>
  </si>
  <si>
    <t>ايمان عزمى عبد العزيز احمد</t>
  </si>
  <si>
    <t>01208950001</t>
  </si>
  <si>
    <t>1531</t>
  </si>
  <si>
    <t>رانيا هشام محمد حسين وهدان</t>
  </si>
  <si>
    <t>01015658156</t>
  </si>
  <si>
    <t>تاراكو 2021</t>
  </si>
  <si>
    <t>1533-</t>
  </si>
  <si>
    <t>ايمان محمد عطا سلطان</t>
  </si>
  <si>
    <t>01019106930</t>
  </si>
  <si>
    <t>هيونداى IX 35 2015</t>
  </si>
  <si>
    <t>العميل دفع بفرع القرية الذكية 18/9/2023</t>
  </si>
  <si>
    <t>203779</t>
  </si>
  <si>
    <t>ناشيونال تكنولوجى للبرمجيات</t>
  </si>
  <si>
    <t>01067090009</t>
  </si>
  <si>
    <t>بيجو 3008 2021</t>
  </si>
  <si>
    <t>00901850689--</t>
  </si>
  <si>
    <t>سهام عبدالعال على عبد العزيز-</t>
  </si>
  <si>
    <t>25/09/2023</t>
  </si>
  <si>
    <t>00901780454</t>
  </si>
  <si>
    <t>فيفيان فؤاد ابراهيم بطرس</t>
  </si>
  <si>
    <t>01200003903</t>
  </si>
  <si>
    <t xml:space="preserve">00901868247 </t>
  </si>
  <si>
    <t>محمد زكى محمد السيد على الشاهد</t>
  </si>
  <si>
    <t>01023334902</t>
  </si>
  <si>
    <t>1539-</t>
  </si>
  <si>
    <t>ادهم ايهاب محمد فواد احمد الغنيمى</t>
  </si>
  <si>
    <t>01202473432</t>
  </si>
  <si>
    <t>اودى Q3 2015</t>
  </si>
  <si>
    <t>21-9 سألت مينا عارف انها هتتكنسل</t>
  </si>
  <si>
    <t>203743</t>
  </si>
  <si>
    <t>مجدى شحاته كامل عبد الملاك</t>
  </si>
  <si>
    <t>01000067935</t>
  </si>
  <si>
    <t>مرسيدس C200 2020</t>
  </si>
  <si>
    <t>00901355288</t>
  </si>
  <si>
    <t>زكريا سيد محمد حامد</t>
  </si>
  <si>
    <t>01119592462</t>
  </si>
  <si>
    <t>24/09/2023</t>
  </si>
  <si>
    <t>تويوتا</t>
  </si>
  <si>
    <t>30/10/2023</t>
  </si>
  <si>
    <t>00901863497</t>
  </si>
  <si>
    <t>Amr Gamal Aldeen Abdal raheem Ali Abdal raheem</t>
  </si>
  <si>
    <t>September</t>
  </si>
  <si>
    <t xml:space="preserve">00901693701 </t>
  </si>
  <si>
    <t>ايناس حسين ناجى على سعد</t>
  </si>
  <si>
    <t>01224676108</t>
  </si>
  <si>
    <t>27-9 دفعت شيك و 50 ج زيادة</t>
  </si>
  <si>
    <t xml:space="preserve">00901693320 </t>
  </si>
  <si>
    <t>اسراء حسين محمد عبد الحميد</t>
  </si>
  <si>
    <t>01111266913</t>
  </si>
  <si>
    <t>747960</t>
  </si>
  <si>
    <t>GESCO Free Zone----------</t>
  </si>
  <si>
    <t>27/11/2023</t>
  </si>
  <si>
    <t>00901693712</t>
  </si>
  <si>
    <t>دينا محمود صلاح احمد الحضرى</t>
  </si>
  <si>
    <t>16/09/2023</t>
  </si>
  <si>
    <t>016104</t>
  </si>
  <si>
    <t>سمر علاء الدين فاروق عبدالحميد</t>
  </si>
  <si>
    <t>01066679375</t>
  </si>
  <si>
    <t>ليموزين فيات تيبو 2021</t>
  </si>
  <si>
    <t>00901872990</t>
  </si>
  <si>
    <t>01016835813</t>
  </si>
  <si>
    <t>سكودا</t>
  </si>
  <si>
    <t>سكودا كاروك</t>
  </si>
  <si>
    <t>00901781029</t>
  </si>
  <si>
    <t>Badr Mahmoud Badr Abo Zaid</t>
  </si>
  <si>
    <t>01001781029</t>
  </si>
  <si>
    <t>بدر محمود بدر ابو زيد</t>
  </si>
  <si>
    <t>01006854538</t>
  </si>
  <si>
    <t>Mercedes GLA 200</t>
  </si>
  <si>
    <t>not relative</t>
  </si>
  <si>
    <t xml:space="preserve">00901693707 </t>
  </si>
  <si>
    <t>حاتم عطيه خلف الله عبد الجواد</t>
  </si>
  <si>
    <t>01008684777</t>
  </si>
  <si>
    <t>ميتسوبيشى إكليبس</t>
  </si>
  <si>
    <t>1527</t>
  </si>
  <si>
    <t>عماد الدين محمود ضحاوى عبدالله</t>
  </si>
  <si>
    <t>01288426331</t>
  </si>
  <si>
    <t>203838</t>
  </si>
  <si>
    <t>وليد صلاح احمد بسيونى</t>
  </si>
  <si>
    <t>01018101807</t>
  </si>
  <si>
    <t>00902050077</t>
  </si>
  <si>
    <t>محمود محمد عباس ابو العزم</t>
  </si>
  <si>
    <t>01005375999</t>
  </si>
  <si>
    <t>W1K1J8AB9PF193732</t>
  </si>
  <si>
    <t>مرسيدس E200</t>
  </si>
  <si>
    <t>00901868243</t>
  </si>
  <si>
    <t>Marwa Amin Abo Magd</t>
  </si>
  <si>
    <t>01002012345-</t>
  </si>
  <si>
    <t>ريهام ضياء الدين محمود السباعى-</t>
  </si>
  <si>
    <t>18/09/2023</t>
  </si>
  <si>
    <t>203922</t>
  </si>
  <si>
    <t>محمد فرج جلال حسن</t>
  </si>
  <si>
    <t>01211188331</t>
  </si>
  <si>
    <t>00901695119</t>
  </si>
  <si>
    <t>محمد فاروق عبدالله محمود-</t>
  </si>
  <si>
    <t>01141111786</t>
  </si>
  <si>
    <t>فولكس فاجن - تيجوان</t>
  </si>
  <si>
    <t>1507</t>
  </si>
  <si>
    <t>محمد عبدالمجيد محمد قمره-</t>
  </si>
  <si>
    <t>01112679999</t>
  </si>
  <si>
    <t>MG ZS 2022</t>
  </si>
  <si>
    <t>1547</t>
  </si>
  <si>
    <t>وليد عبدالحميد السيد سيد احمد العيسوى</t>
  </si>
  <si>
    <t>01272103220</t>
  </si>
  <si>
    <t>رينو ميجان 2022</t>
  </si>
  <si>
    <t>1553-</t>
  </si>
  <si>
    <t>مصطفى محمود عبدالله احمد الشرقاوى</t>
  </si>
  <si>
    <t>01063104448</t>
  </si>
  <si>
    <t>شيفروليه اكوينوكس 2019</t>
  </si>
  <si>
    <t>00901539374</t>
  </si>
  <si>
    <t>اسامه بشرى يواقيم يوسف</t>
  </si>
  <si>
    <t>01221802033</t>
  </si>
  <si>
    <t>00901873296</t>
  </si>
  <si>
    <t>يوسف عاطف شاكر ابراهيم سعيد</t>
  </si>
  <si>
    <t>01222668910</t>
  </si>
  <si>
    <t>00901781687</t>
  </si>
  <si>
    <t>مصطفى علاء عبد العال فرغلى</t>
  </si>
  <si>
    <t>01115034777</t>
  </si>
  <si>
    <t>أوبل</t>
  </si>
  <si>
    <t>1552</t>
  </si>
  <si>
    <t>ايه شاهر السيد شاكر بيومى</t>
  </si>
  <si>
    <t>01013586040</t>
  </si>
  <si>
    <t>بيجو 301</t>
  </si>
  <si>
    <t>1555</t>
  </si>
  <si>
    <t>محمد عبدالمجيد محمد قمره</t>
  </si>
  <si>
    <t>ZS</t>
  </si>
  <si>
    <t>00901781684</t>
  </si>
  <si>
    <t>احمد حسام الدين محمد بدوى</t>
  </si>
  <si>
    <t>01100054070</t>
  </si>
  <si>
    <t>27/09/2023</t>
  </si>
  <si>
    <t xml:space="preserve">00901781947 </t>
  </si>
  <si>
    <t>نورهان حسن عزت حسن عبد الوهاب</t>
  </si>
  <si>
    <t>01023922258</t>
  </si>
  <si>
    <t>00901873569</t>
  </si>
  <si>
    <t>محمد نبيل عبد الفتاح على عامر</t>
  </si>
  <si>
    <t>01140060960</t>
  </si>
  <si>
    <t xml:space="preserve">00901874956 </t>
  </si>
  <si>
    <t>كرم طه محمد كامل</t>
  </si>
  <si>
    <t>01006617854</t>
  </si>
  <si>
    <t>26-10 كلمته فكرته-10-10 مستني المبلغ و هيعمل تحويل بنكي-22-10 مردش بعت رسالة-21-11 مردش شروق</t>
  </si>
  <si>
    <t>00901782263</t>
  </si>
  <si>
    <t>على يوسف على يوسف رشوان</t>
  </si>
  <si>
    <t>01003115320</t>
  </si>
  <si>
    <t>00901781685</t>
  </si>
  <si>
    <t>مصطفى سعيد سالم سليمان</t>
  </si>
  <si>
    <t>23/09/2023</t>
  </si>
  <si>
    <t>15-8 بمعرض سلطان</t>
  </si>
  <si>
    <t>00901698033</t>
  </si>
  <si>
    <t>ماجى محمود احمد صادق</t>
  </si>
  <si>
    <t>01000226969</t>
  </si>
  <si>
    <t>15/10/2023</t>
  </si>
  <si>
    <t>204221</t>
  </si>
  <si>
    <t>محمود عمر بكر حباكه</t>
  </si>
  <si>
    <t>01126481450</t>
  </si>
  <si>
    <t>24/10/023</t>
  </si>
  <si>
    <t>1551</t>
  </si>
  <si>
    <t>احمد محمد محمد محمد عثمان</t>
  </si>
  <si>
    <t>01094606066</t>
  </si>
  <si>
    <t>شيرى تيجو 3 2024</t>
  </si>
  <si>
    <t>1556</t>
  </si>
  <si>
    <t>بركات الشبراوى محمود احمد على</t>
  </si>
  <si>
    <t>01023369615</t>
  </si>
  <si>
    <t>25/9/2023</t>
  </si>
  <si>
    <t>محمد ماهر</t>
  </si>
  <si>
    <t>بيجو508</t>
  </si>
  <si>
    <t>1552-</t>
  </si>
  <si>
    <t>منى فتحى محمد شعبان</t>
  </si>
  <si>
    <t>01097470850</t>
  </si>
  <si>
    <t>ايبيزا</t>
  </si>
  <si>
    <t>سيات</t>
  </si>
  <si>
    <t>00902051989</t>
  </si>
  <si>
    <t>احمد محمد فتحى عبد الله</t>
  </si>
  <si>
    <t>01061973841</t>
  </si>
  <si>
    <t xml:space="preserve">00901698008 </t>
  </si>
  <si>
    <t>رحاب سيد حسن حسين</t>
  </si>
  <si>
    <t>01001700962</t>
  </si>
  <si>
    <t>فورد</t>
  </si>
  <si>
    <t>فورد كوجا</t>
  </si>
  <si>
    <t xml:space="preserve">00901698172 </t>
  </si>
  <si>
    <t>يحيى صلاح الدين فهمى عبد الغنى-</t>
  </si>
  <si>
    <t>01288888976</t>
  </si>
  <si>
    <t>18/10/2023</t>
  </si>
  <si>
    <t>00901698596</t>
  </si>
  <si>
    <t>رحاب احمد اسامة خليل خليل</t>
  </si>
  <si>
    <t>01006607177</t>
  </si>
  <si>
    <t>00901829213-</t>
  </si>
  <si>
    <t>مى حاتم محمد الشعراوى</t>
  </si>
  <si>
    <t>1557</t>
  </si>
  <si>
    <t>عاطف عزمى اسحق عطيه</t>
  </si>
  <si>
    <t>01281669500</t>
  </si>
  <si>
    <t>شنجان</t>
  </si>
  <si>
    <t>CS35</t>
  </si>
  <si>
    <t>1558</t>
  </si>
  <si>
    <t>احمد محمد سيد محمد جلال</t>
  </si>
  <si>
    <t>01223000066</t>
  </si>
  <si>
    <t>ميلاد</t>
  </si>
  <si>
    <t>هافال</t>
  </si>
  <si>
    <t>H6</t>
  </si>
  <si>
    <t>3 قسط</t>
  </si>
  <si>
    <t xml:space="preserve"> 2-10هيعمل دفتر شيكات و هيدفع اول قسط-10-10 دفع اول قسط-30-10 دفع قسطين</t>
  </si>
  <si>
    <t>204452</t>
  </si>
  <si>
    <t>ياسر محمد احمد عبدالمجيد عيد</t>
  </si>
  <si>
    <t>01224170317</t>
  </si>
  <si>
    <t xml:space="preserve">00901875750 </t>
  </si>
  <si>
    <t>-نجلاء محمد على علوى</t>
  </si>
  <si>
    <t>00901875768</t>
  </si>
  <si>
    <t>كريم عبدالرحمن محمود احمد فرج</t>
  </si>
  <si>
    <t>01111434345</t>
  </si>
  <si>
    <t>سوبارو</t>
  </si>
  <si>
    <t>YP79888</t>
  </si>
  <si>
    <t xml:space="preserve">01001878272 </t>
  </si>
  <si>
    <t>عمرو جمعه صالح حسين--</t>
  </si>
  <si>
    <t>GLC300 مرسيدس</t>
  </si>
  <si>
    <t xml:space="preserve">00901876445 </t>
  </si>
  <si>
    <t>هاله سيد على سيد</t>
  </si>
  <si>
    <t>01156896362</t>
  </si>
  <si>
    <t>00901698422</t>
  </si>
  <si>
    <t>نيفين محمد وجيه احمد حسن</t>
  </si>
  <si>
    <t>01006049004</t>
  </si>
  <si>
    <t>رينو</t>
  </si>
  <si>
    <t>رينو فلوانس</t>
  </si>
  <si>
    <t xml:space="preserve">00901987462 </t>
  </si>
  <si>
    <t>محمد رمضان محمد حسانين</t>
  </si>
  <si>
    <t>01558401477</t>
  </si>
  <si>
    <t>21/09/2023</t>
  </si>
  <si>
    <t xml:space="preserve">00401552255 </t>
  </si>
  <si>
    <t>سعيد محمد السيد محمد</t>
  </si>
  <si>
    <t>01118963822</t>
  </si>
  <si>
    <t>22/10/2023</t>
  </si>
  <si>
    <t xml:space="preserve">00901543240 </t>
  </si>
  <si>
    <t>محمد احمدعادل زكى محمد</t>
  </si>
  <si>
    <t>01007788275</t>
  </si>
  <si>
    <t>26-10 هيروح اول 11-22-10 راح يوم 18 ملقاش حد فالفرع هيروح تاني-10-10 هيروح فرع المنيا-8-10 مردش بعت رسالة-UW -25-9</t>
  </si>
  <si>
    <t>00901910359</t>
  </si>
  <si>
    <t>Mohammed Sahab Mohammed Mohammed Salim</t>
  </si>
  <si>
    <t>28/2/2023</t>
  </si>
  <si>
    <t>معرض سلطان 28-2</t>
  </si>
  <si>
    <t>00901910367</t>
  </si>
  <si>
    <t>Mariam Mohammed Fathy Abu zakery</t>
  </si>
  <si>
    <t>00901878107</t>
  </si>
  <si>
    <t>حنان محمد ممدوح عبد المالك-</t>
  </si>
  <si>
    <t>فورد فوكاس</t>
  </si>
  <si>
    <t>00901807395-</t>
  </si>
  <si>
    <t>ماجد محمد محرم المصرى</t>
  </si>
  <si>
    <t>30/11/2023</t>
  </si>
  <si>
    <t>1548</t>
  </si>
  <si>
    <t>حسين هيثم ابو بكر حسن محمد الرشيدى</t>
  </si>
  <si>
    <t>3-10 دفع فوري</t>
  </si>
  <si>
    <t>00901698802</t>
  </si>
  <si>
    <t>ناريمان مجدى عمران محمد عبد الجواد</t>
  </si>
  <si>
    <t>01111429993</t>
  </si>
  <si>
    <t>748013</t>
  </si>
  <si>
    <t>GESCO Free Zone---------------</t>
  </si>
  <si>
    <t>20/12/2023</t>
  </si>
  <si>
    <t>226</t>
  </si>
  <si>
    <t>GESCO Free Zone----------------</t>
  </si>
  <si>
    <t>20-11 تسهيل بسداد على شيكات/7 التعديل بدون مبلغ ؟</t>
  </si>
  <si>
    <t>00901920917</t>
  </si>
  <si>
    <t>Inas Mohammed Abu al fotooh Sherif</t>
  </si>
  <si>
    <t>00901920598</t>
  </si>
  <si>
    <t>Mahmoud Ateyya Kamel Ateyya</t>
  </si>
  <si>
    <t>00901610274</t>
  </si>
  <si>
    <t>El Moddather Saleh Ahmed Zekry</t>
  </si>
  <si>
    <t>دفع اون لاين</t>
  </si>
  <si>
    <t>204615</t>
  </si>
  <si>
    <t>خالد علاء الدين فتحى عمر</t>
  </si>
  <si>
    <t>01118613042</t>
  </si>
  <si>
    <t>204625</t>
  </si>
  <si>
    <t>رشا ناجح عبدالسميع محمد</t>
  </si>
  <si>
    <t>01222726767</t>
  </si>
  <si>
    <t>01002053171</t>
  </si>
  <si>
    <t>نورهان محمد غرياني</t>
  </si>
  <si>
    <t>01009000026</t>
  </si>
  <si>
    <t>WMW21BR00P3P96713</t>
  </si>
  <si>
    <t>مينى كوبر</t>
  </si>
  <si>
    <t>مينى كوبر كانترى مان</t>
  </si>
  <si>
    <t>00901898547--</t>
  </si>
  <si>
    <t>سليم يوسف عبيد--</t>
  </si>
  <si>
    <t>GPA</t>
  </si>
  <si>
    <t>33901987312</t>
  </si>
  <si>
    <t>اميرالد للتطوير التعليمى و ادارة المدارس</t>
  </si>
  <si>
    <t>33901987311</t>
  </si>
  <si>
    <t>00901803969--</t>
  </si>
  <si>
    <t>October</t>
  </si>
  <si>
    <t>00901878667</t>
  </si>
  <si>
    <t>محمد مصطفى محمد احمد</t>
  </si>
  <si>
    <t>00901878671</t>
  </si>
  <si>
    <t>وليد محمد المتوكل على عثمان قنديل</t>
  </si>
  <si>
    <t>01009441117</t>
  </si>
  <si>
    <t>L000618</t>
  </si>
  <si>
    <t>سيتروين</t>
  </si>
  <si>
    <t>1560--</t>
  </si>
  <si>
    <t>شيرين محمد بهجت محمد سنجر</t>
  </si>
  <si>
    <t>01223002550</t>
  </si>
  <si>
    <t>00901545348</t>
  </si>
  <si>
    <t>محمد طارق عبد القادر محمد مصطفى</t>
  </si>
  <si>
    <t>01028218703</t>
  </si>
  <si>
    <t>20/10/2023</t>
  </si>
  <si>
    <t>نيسان قشقاى</t>
  </si>
  <si>
    <t>901912701-</t>
  </si>
  <si>
    <t>ريمون رمسيس انيس بطرس</t>
  </si>
  <si>
    <t>00901939899</t>
  </si>
  <si>
    <t>هيثم حسين مصطفى الفولى</t>
  </si>
  <si>
    <t>01001914449</t>
  </si>
  <si>
    <t>2-4 دفع اون لاين</t>
  </si>
  <si>
    <t xml:space="preserve">00901939322 </t>
  </si>
  <si>
    <t>محمد عماد محمد الهادى السيد</t>
  </si>
  <si>
    <t>2-4 WU-لم يتم ارسال الميل</t>
  </si>
  <si>
    <t>00901938784</t>
  </si>
  <si>
    <t>Hanan Ashraf Fathy</t>
  </si>
  <si>
    <t>00901912779-</t>
  </si>
  <si>
    <t>-احمد طارق شفيق محمد</t>
  </si>
  <si>
    <t>01114764448</t>
  </si>
  <si>
    <t>00901939289</t>
  </si>
  <si>
    <t>حسام الدين محمد اسماعيل عيد</t>
  </si>
  <si>
    <t>00901909969-</t>
  </si>
  <si>
    <t>جهاد على عبد العزيز القزاز-</t>
  </si>
  <si>
    <t>-00901909969</t>
  </si>
  <si>
    <t>00901939311</t>
  </si>
  <si>
    <t>محمد يحي عيد عبد الجيد</t>
  </si>
  <si>
    <t>1561</t>
  </si>
  <si>
    <t>رانيا ريمو فهيم حنا</t>
  </si>
  <si>
    <t>01005280910</t>
  </si>
  <si>
    <t>شروق تجديد</t>
  </si>
  <si>
    <t>1560</t>
  </si>
  <si>
    <t>احمد سيد محمد طه</t>
  </si>
  <si>
    <t>01121177444</t>
  </si>
  <si>
    <t>اكلبس</t>
  </si>
  <si>
    <t>ميتسوبيشى</t>
  </si>
  <si>
    <t>204792</t>
  </si>
  <si>
    <t>مها امين اسماعيل عطيه</t>
  </si>
  <si>
    <t>01200057140</t>
  </si>
  <si>
    <t>HS</t>
  </si>
  <si>
    <t xml:space="preserve">00901878750 </t>
  </si>
  <si>
    <t>ياسمين جهاد المدنى النجار محمد عمر النجار</t>
  </si>
  <si>
    <t>01222973488</t>
  </si>
  <si>
    <t>00901771536--</t>
  </si>
  <si>
    <t>خالد محمد صادق احمد صادق الابريقجى--</t>
  </si>
  <si>
    <t>00901922114-</t>
  </si>
  <si>
    <t>دينا مجدى طلعت محمد المحلاوى</t>
  </si>
  <si>
    <t>00901948326</t>
  </si>
  <si>
    <t>خالد حسين حسين احمد المسير</t>
  </si>
  <si>
    <t>00901832765</t>
  </si>
  <si>
    <t>محمود محمد عبد الحميد محمد</t>
  </si>
  <si>
    <t>00901832748</t>
  </si>
  <si>
    <t>فادى صلحى شاروبيم زخارى</t>
  </si>
  <si>
    <t>00901646585</t>
  </si>
  <si>
    <t>احمد عبد المنعم محمد احمد</t>
  </si>
  <si>
    <t>00901832763</t>
  </si>
  <si>
    <t>جميل نادر جميل حسن فائق</t>
  </si>
  <si>
    <t>لصالح البنك - استلم من الفرع</t>
  </si>
  <si>
    <t>1323</t>
  </si>
  <si>
    <t>عبدالله خالد حامد ابوالسعود</t>
  </si>
  <si>
    <t>01008552707</t>
  </si>
  <si>
    <t>بيجو -3008-2022</t>
  </si>
  <si>
    <t>00901948329</t>
  </si>
  <si>
    <t>على هشام احمد حماد حجازى</t>
  </si>
  <si>
    <t>01001832157</t>
  </si>
  <si>
    <t>1322</t>
  </si>
  <si>
    <t>عمر مومن عاطف عباس مرسى</t>
  </si>
  <si>
    <t>01012686177</t>
  </si>
  <si>
    <t>MG-6-2020</t>
  </si>
  <si>
    <t>18-5 هكلمه الاحد</t>
  </si>
  <si>
    <t>00901546775</t>
  </si>
  <si>
    <t>نجوى نصر رزق بخيت-</t>
  </si>
  <si>
    <t>01061717446</t>
  </si>
  <si>
    <t xml:space="preserve">00901786260 </t>
  </si>
  <si>
    <t>رانيا محمد خيرى عشماوى اسماعيل</t>
  </si>
  <si>
    <t>01000967537</t>
  </si>
  <si>
    <t>22-10 بعد ما دفع عايز يستلم فلوسه و يكنسل</t>
  </si>
  <si>
    <t xml:space="preserve">00901879926 </t>
  </si>
  <si>
    <t>منى مصطفى محمد فؤاد</t>
  </si>
  <si>
    <t>01224673470</t>
  </si>
  <si>
    <t>16/10/2023</t>
  </si>
  <si>
    <t>00901786212</t>
  </si>
  <si>
    <t>نرمين عزت فريد صليب</t>
  </si>
  <si>
    <t>01001060084</t>
  </si>
  <si>
    <t xml:space="preserve">00901845877 </t>
  </si>
  <si>
    <t>تامر محمود محمد حسن</t>
  </si>
  <si>
    <t xml:space="preserve">00901700078 </t>
  </si>
  <si>
    <t>ايهاب على ابراهيم عوض</t>
  </si>
  <si>
    <t>01114344422</t>
  </si>
  <si>
    <t>-7-11 مردش5-11 بعت رسالة-29-10 هيدفع الاسبوع دا-23-10 بعت رسالة-18-10 برا مصر بعت التفاصيل</t>
  </si>
  <si>
    <t>00901853406</t>
  </si>
  <si>
    <t>عصام لطفي عبد المنعم احمد سيد</t>
  </si>
  <si>
    <t>1414</t>
  </si>
  <si>
    <t>ندى اسامة حامد محمد</t>
  </si>
  <si>
    <t>01006461665</t>
  </si>
  <si>
    <t>11-7-2023 دفعت بفرع الميريلاند و كانت تخص موتور سيتي السنة الماضية-9-11 تم ارسالها لمعرض موتور ستي علشان عايزين ياخدوا العمولة لانها كانت عن طريقهم</t>
  </si>
  <si>
    <t>00901853467</t>
  </si>
  <si>
    <t>ابتسام فوزى حميد سيد</t>
  </si>
  <si>
    <t>00901894026-</t>
  </si>
  <si>
    <t>اكرام حسين حمدى شهاب الدين-</t>
  </si>
  <si>
    <t>13/7/2023</t>
  </si>
  <si>
    <t>00901919256-</t>
  </si>
  <si>
    <t>داليا نبيل عوض احمد مطر-</t>
  </si>
  <si>
    <t>01001001456</t>
  </si>
  <si>
    <t>201672</t>
  </si>
  <si>
    <t>كارول حسام سامى الاسيوطى</t>
  </si>
  <si>
    <t>201670</t>
  </si>
  <si>
    <t>ساندرا حسام سامى الاسيوطى</t>
  </si>
  <si>
    <t>01224942320</t>
  </si>
  <si>
    <t>204921</t>
  </si>
  <si>
    <t>مدحت ممدوح محمد حنفى</t>
  </si>
  <si>
    <t>01222197272</t>
  </si>
  <si>
    <t>كوياك</t>
  </si>
  <si>
    <t xml:space="preserve">00901873493 </t>
  </si>
  <si>
    <t>ممدوح نعيم ابراهيم بخيت</t>
  </si>
  <si>
    <t>01277599196</t>
  </si>
  <si>
    <t>S004449</t>
  </si>
  <si>
    <t>00901623901--</t>
  </si>
  <si>
    <t>محمد حسام الدين ابراهيم محمود عماره-</t>
  </si>
  <si>
    <t>11202046771-</t>
  </si>
  <si>
    <t>December</t>
  </si>
  <si>
    <t>453297</t>
  </si>
  <si>
    <t>1516</t>
  </si>
  <si>
    <t>احمد محمد محمود عبدالعزيز الحفناوى</t>
  </si>
  <si>
    <t>01005221807</t>
  </si>
  <si>
    <t>18-10 دفع عن طريق فوري</t>
  </si>
  <si>
    <t xml:space="preserve">ج50 ////بريد ارسال الوثيقة 26-10 </t>
  </si>
  <si>
    <t>1321-</t>
  </si>
  <si>
    <t>سامح السعيد احمد البنا-</t>
  </si>
  <si>
    <t>للعميل فلوس</t>
  </si>
  <si>
    <t>الفلوس للعميل</t>
  </si>
  <si>
    <t>هيرجعله مبلغ : الاجمالي-ِشيك العميل في الفرع الرئيسي 19-10</t>
  </si>
  <si>
    <t>19440-</t>
  </si>
  <si>
    <t>رقم الشيك : 61342364 QNB</t>
  </si>
  <si>
    <t>00901880551</t>
  </si>
  <si>
    <t>سالي احمد نادر سعيد محمد الوكيل</t>
  </si>
  <si>
    <t>01006898853</t>
  </si>
  <si>
    <t>00901701781</t>
  </si>
  <si>
    <t>سارة يوسف ابراهيم يوسف</t>
  </si>
  <si>
    <t>01002402049</t>
  </si>
  <si>
    <t>S002571</t>
  </si>
  <si>
    <t>G2543107</t>
  </si>
  <si>
    <t>1564</t>
  </si>
  <si>
    <t>احمد صفوت ابوالنور حلمى الرفاعى</t>
  </si>
  <si>
    <t>01005085958</t>
  </si>
  <si>
    <t>كيا</t>
  </si>
  <si>
    <t>1565</t>
  </si>
  <si>
    <t>محمد سامى حلمى مرسى عطيه</t>
  </si>
  <si>
    <t>01223001044</t>
  </si>
  <si>
    <t>9-11 اخد خصم و بالتالي مش هبعتها لموتور سيتي عمولة</t>
  </si>
  <si>
    <t>1369-</t>
  </si>
  <si>
    <t>هاله على محمد صالح الهوارى-</t>
  </si>
  <si>
    <t>159064/Hala Aly/GIG</t>
  </si>
  <si>
    <t xml:space="preserve">00901701682 </t>
  </si>
  <si>
    <t xml:space="preserve">مها احمد عبد الخالق مطاوع </t>
  </si>
  <si>
    <t>01001110259</t>
  </si>
  <si>
    <t>15-11 مردتش بعت رسالة-29-10 مردتش بعت رسالة-8-10 هتعمل ايداع بس مستنية الشيك يتبعتلها-12-10 فكرتها-18-10 بعت رسالة</t>
  </si>
  <si>
    <t>00901701781--</t>
  </si>
  <si>
    <t>1570</t>
  </si>
  <si>
    <t>لمياء محمد بهائى عبدالمجيد سليمان</t>
  </si>
  <si>
    <t>اودى</t>
  </si>
  <si>
    <t>Q3</t>
  </si>
  <si>
    <t>1140597/Lamiaa Mohamed</t>
  </si>
  <si>
    <t>1566</t>
  </si>
  <si>
    <t>سحر ابراهيم ابراهيم فضل</t>
  </si>
  <si>
    <t>01006669405</t>
  </si>
  <si>
    <t>اكسنت-ار</t>
  </si>
  <si>
    <t xml:space="preserve">00901786263 </t>
  </si>
  <si>
    <t>ريم محمد جلال يحى البدوى</t>
  </si>
  <si>
    <t>01226007408</t>
  </si>
  <si>
    <t>S003025</t>
  </si>
  <si>
    <t>00901728870--</t>
  </si>
  <si>
    <t>محمد نبيل محمد عبد الفتاح--</t>
  </si>
  <si>
    <t>00902021025-</t>
  </si>
  <si>
    <t>محمود رفعت عبد الظاهر مبارك-</t>
  </si>
  <si>
    <t>00901702092</t>
  </si>
  <si>
    <t>نور الدين مهدى مرسى طنطاوى</t>
  </si>
  <si>
    <t>01001510015</t>
  </si>
  <si>
    <t>1571</t>
  </si>
  <si>
    <t>محمود ابوالفتوح عبدالمقصود سيد احمد</t>
  </si>
  <si>
    <t>تاراكو</t>
  </si>
  <si>
    <t xml:space="preserve">00901701681 </t>
  </si>
  <si>
    <t>حازم فتحى جاد شقير</t>
  </si>
  <si>
    <t>01155544499</t>
  </si>
  <si>
    <t>S004522</t>
  </si>
  <si>
    <t xml:space="preserve">00901786185 </t>
  </si>
  <si>
    <t>اسلام ماهر عمران عبدالله</t>
  </si>
  <si>
    <t>01066655119</t>
  </si>
  <si>
    <t>S0003098</t>
  </si>
  <si>
    <t>00901787315</t>
  </si>
  <si>
    <t>افراح صادق هادى ابو جراده</t>
  </si>
  <si>
    <t>01117919990</t>
  </si>
  <si>
    <t>شيفروليه كابتيفا</t>
  </si>
  <si>
    <t xml:space="preserve">00901702081 </t>
  </si>
  <si>
    <t>مريم سمير لويس جاد</t>
  </si>
  <si>
    <t>01228602086</t>
  </si>
  <si>
    <t>Y002837</t>
  </si>
  <si>
    <t xml:space="preserve">00901987980 </t>
  </si>
  <si>
    <t>منال فوزى ايوب حنين</t>
  </si>
  <si>
    <t>01271401490</t>
  </si>
  <si>
    <t>على قسطين 2-11</t>
  </si>
  <si>
    <t>1573</t>
  </si>
  <si>
    <t>نورهان محمد ابو الفتوح محمد</t>
  </si>
  <si>
    <t>01113088001</t>
  </si>
  <si>
    <t>A200</t>
  </si>
  <si>
    <t>15-10 هتحول النهاردة</t>
  </si>
  <si>
    <t>1572</t>
  </si>
  <si>
    <t>ايمان عدلى محمد صالح</t>
  </si>
  <si>
    <t xml:space="preserve"> 01006218517</t>
  </si>
  <si>
    <t>Xceed</t>
  </si>
  <si>
    <t>205402</t>
  </si>
  <si>
    <t>عبدالرحمن علاء محمود محمد ابراهيم</t>
  </si>
  <si>
    <t>01012593124</t>
  </si>
  <si>
    <t>MG ZS 2023</t>
  </si>
  <si>
    <t>205405</t>
  </si>
  <si>
    <t>حسام حسن سيد احمد نصار</t>
  </si>
  <si>
    <t>01208826778</t>
  </si>
  <si>
    <t xml:space="preserve">00901550014 </t>
  </si>
  <si>
    <t>احمد صلاح الدين عبد الرحمن حفنى</t>
  </si>
  <si>
    <t>01226299112</t>
  </si>
  <si>
    <t>كيا سيراتو</t>
  </si>
  <si>
    <t>01002033148--</t>
  </si>
  <si>
    <t>خالد عادل عبده حبيب--</t>
  </si>
  <si>
    <t>00901702981</t>
  </si>
  <si>
    <t>الشيماء محمد جمال الدين فضل</t>
  </si>
  <si>
    <t>01227491026</t>
  </si>
  <si>
    <t>00901787093</t>
  </si>
  <si>
    <t>نهال مصطفى كمال محمد عفيفى</t>
  </si>
  <si>
    <t>01007070403</t>
  </si>
  <si>
    <t xml:space="preserve">00901882343 </t>
  </si>
  <si>
    <t>محمد محمد عاطف عبدالحليم احمد عليوه</t>
  </si>
  <si>
    <t>01273123456</t>
  </si>
  <si>
    <t>MG HS</t>
  </si>
  <si>
    <t>1569</t>
  </si>
  <si>
    <t>مجاهد زين مجاهد الحصرى</t>
  </si>
  <si>
    <t xml:space="preserve">01069849984 </t>
  </si>
  <si>
    <t>00901989467</t>
  </si>
  <si>
    <t>امل جاد الرب السيد جاد الرب</t>
  </si>
  <si>
    <t>01118666802</t>
  </si>
  <si>
    <t>00901909969--</t>
  </si>
  <si>
    <t>جهاد على عبد العزيز القزاز--</t>
  </si>
  <si>
    <t>00901990090</t>
  </si>
  <si>
    <t>ابتسام فوزى حميد سيد-</t>
  </si>
  <si>
    <t>00122278554</t>
  </si>
  <si>
    <t>1506</t>
  </si>
  <si>
    <t>مومن محمد قمر الدوله احمد ابراهيم</t>
  </si>
  <si>
    <t>01143279738</t>
  </si>
  <si>
    <t xml:space="preserve"> ألنترا</t>
  </si>
  <si>
    <t>شروق تجديد-هيتعاد معاينة</t>
  </si>
  <si>
    <t>00901882411</t>
  </si>
  <si>
    <t>خالد فوزى محمد حواس</t>
  </si>
  <si>
    <t>01116133977</t>
  </si>
  <si>
    <t xml:space="preserve">00901703211 </t>
  </si>
  <si>
    <t>ياسمين محمود مصطفي</t>
  </si>
  <si>
    <t>01156777737</t>
  </si>
  <si>
    <t>S002531</t>
  </si>
  <si>
    <t xml:space="preserve">00901879995 </t>
  </si>
  <si>
    <t>ماجى عاطف اديب مجلى</t>
  </si>
  <si>
    <t>01222236373</t>
  </si>
  <si>
    <t xml:space="preserve">00901882366 </t>
  </si>
  <si>
    <t>عمرو سعد احمد احمد سليم</t>
  </si>
  <si>
    <t>01002110821</t>
  </si>
  <si>
    <t>23-11 عايزها بريد</t>
  </si>
  <si>
    <t xml:space="preserve">01001884290 </t>
  </si>
  <si>
    <t xml:space="preserve">محمد  غريانى  محمد اسماعيل </t>
  </si>
  <si>
    <t>WIK2231631A034251</t>
  </si>
  <si>
    <t>مرسيدس S500</t>
  </si>
  <si>
    <t>205495</t>
  </si>
  <si>
    <t>عبدالعاطى موسى سليمان درغام</t>
  </si>
  <si>
    <t>سكودا كودياك 2023</t>
  </si>
  <si>
    <t>205405-</t>
  </si>
  <si>
    <t>حسام حسن سيد احمد نصار-</t>
  </si>
  <si>
    <t>00901882379</t>
  </si>
  <si>
    <t>محمد احمد المصرى احمد</t>
  </si>
  <si>
    <t>01019202040</t>
  </si>
  <si>
    <t>479623</t>
  </si>
  <si>
    <t>Digination MEA</t>
  </si>
  <si>
    <t>00901985649</t>
  </si>
  <si>
    <t>Maha Ibrahem Hamed</t>
  </si>
  <si>
    <t>00901970850</t>
  </si>
  <si>
    <t>محمود محمد عبد الحميد محمد--</t>
  </si>
  <si>
    <t xml:space="preserve">00901970850 </t>
  </si>
  <si>
    <t>00901882652</t>
  </si>
  <si>
    <t>شريف بيومى فتحى منسى</t>
  </si>
  <si>
    <t>01273733303</t>
  </si>
  <si>
    <t>E00409</t>
  </si>
  <si>
    <t xml:space="preserve">00901882344 </t>
  </si>
  <si>
    <t>الاء طارق حسين كامل</t>
  </si>
  <si>
    <t>01222220382</t>
  </si>
  <si>
    <t xml:space="preserve">00901374728 </t>
  </si>
  <si>
    <t>احمد رضا عبد المنعم محمد</t>
  </si>
  <si>
    <t>01001686762</t>
  </si>
  <si>
    <t>205630</t>
  </si>
  <si>
    <t>علاء الشحات عبدالهادى محجوب</t>
  </si>
  <si>
    <t>01002342034</t>
  </si>
  <si>
    <t>KZ000824</t>
  </si>
  <si>
    <t>ميتسوبيشى ECLIPSE 2019</t>
  </si>
  <si>
    <t>1576</t>
  </si>
  <si>
    <t>شروق حسن فريد هاشم</t>
  </si>
  <si>
    <t>01004888983-
01005003314</t>
  </si>
  <si>
    <t>بيجو 508 2020</t>
  </si>
  <si>
    <t>شروق - تجديد-19-10 هتروح الميريلاند بس هتأكد عليا</t>
  </si>
  <si>
    <t>1577</t>
  </si>
  <si>
    <t>سيف الدين حسن فريد هاشم</t>
  </si>
  <si>
    <t>هيونداى توسان 2022</t>
  </si>
  <si>
    <t>205663</t>
  </si>
  <si>
    <t>تامر ابراهيم ابو العطا العميرى</t>
  </si>
  <si>
    <t>01111411455</t>
  </si>
  <si>
    <t>205665</t>
  </si>
  <si>
    <t>محمود عادل احمد محمد فرغلى</t>
  </si>
  <si>
    <t>01003192798</t>
  </si>
  <si>
    <t>00902055337</t>
  </si>
  <si>
    <t>بسمه عبد عسيلى يوسف</t>
  </si>
  <si>
    <t>01286018251</t>
  </si>
  <si>
    <t>204625-</t>
  </si>
  <si>
    <t>رشا ناجح عبدالسميع محمد-</t>
  </si>
  <si>
    <t>ملحق مد فترة</t>
  </si>
  <si>
    <t>227</t>
  </si>
  <si>
    <t>GESCO Free Zone------------</t>
  </si>
  <si>
    <t>خطر حريق- دولار</t>
  </si>
  <si>
    <t>228</t>
  </si>
  <si>
    <t>00901883908--</t>
  </si>
  <si>
    <t>محمد ممدوح اسماعيل لبيب محمد حسين-</t>
  </si>
  <si>
    <t>01097777722</t>
  </si>
  <si>
    <t>00901883908-</t>
  </si>
  <si>
    <t>1578</t>
  </si>
  <si>
    <t>طارق محمد عطيه فرج</t>
  </si>
  <si>
    <t>01114022289</t>
  </si>
  <si>
    <t>1574</t>
  </si>
  <si>
    <t>نهى محمود حسن محمد مرزوق</t>
  </si>
  <si>
    <t>01114022289-01158780138</t>
  </si>
  <si>
    <t>بيجو 3008 2020</t>
  </si>
  <si>
    <t>205752</t>
  </si>
  <si>
    <t>محمود السعيد البندارى السيد</t>
  </si>
  <si>
    <t xml:space="preserve">01100055120 </t>
  </si>
  <si>
    <t>مرسيدس GLC300 2019</t>
  </si>
  <si>
    <t>Mahmoud Al-Saaed  / Wethaq  / GLC300 2019-1-11 الشيكات</t>
  </si>
  <si>
    <t>205751</t>
  </si>
  <si>
    <t>فرح منتصر حسن احمد القصاص</t>
  </si>
  <si>
    <t>01007111209</t>
  </si>
  <si>
    <t>205757</t>
  </si>
  <si>
    <t>رامى محمد المغربى شومان</t>
  </si>
  <si>
    <t>01124000040</t>
  </si>
  <si>
    <t>جاك J7 2022</t>
  </si>
  <si>
    <t>205751-</t>
  </si>
  <si>
    <t>فرح منتصر حسن احمد القصاص-</t>
  </si>
  <si>
    <t>00901883690</t>
  </si>
  <si>
    <t>تامر محمد احمد ابراهيم</t>
  </si>
  <si>
    <t>01113241001</t>
  </si>
  <si>
    <t>00901704938</t>
  </si>
  <si>
    <t>زينة اشرف يحيى محمد عبد الخالق</t>
  </si>
  <si>
    <t>01223252053</t>
  </si>
  <si>
    <t>00901706529</t>
  </si>
  <si>
    <t>مروى السيد محمد الشافعى</t>
  </si>
  <si>
    <t>01148788800</t>
  </si>
  <si>
    <t>00901884076</t>
  </si>
  <si>
    <t>حسام محمد صفوت حسن موافى</t>
  </si>
  <si>
    <t>01222213000</t>
  </si>
  <si>
    <t>00901989469</t>
  </si>
  <si>
    <t>احمد محمد السيد حسين سليمان</t>
  </si>
  <si>
    <t>01557704866</t>
  </si>
  <si>
    <t>00901884003</t>
  </si>
  <si>
    <t>احمد عبد الرحمن سيد احمد</t>
  </si>
  <si>
    <t>01110689996</t>
  </si>
  <si>
    <t xml:space="preserve">00901788092 </t>
  </si>
  <si>
    <t>شيماء  كمال انور محمد</t>
  </si>
  <si>
    <t>01007277717</t>
  </si>
  <si>
    <t>00901884002</t>
  </si>
  <si>
    <t>خالد صبرى رزق سعيد</t>
  </si>
  <si>
    <t>01211966190</t>
  </si>
  <si>
    <t xml:space="preserve">00901705715 </t>
  </si>
  <si>
    <t>محمود محمد عبد الفتاح عنبر</t>
  </si>
  <si>
    <t>01015130234</t>
  </si>
  <si>
    <t>Y003380</t>
  </si>
  <si>
    <t>5-11 هيدفع نصف 11-8-10 هيروح التجمع من 1 الى 15-11</t>
  </si>
  <si>
    <t xml:space="preserve">00901883707 </t>
  </si>
  <si>
    <t>رانيا عصام الدين محمد النبراوى</t>
  </si>
  <si>
    <t>01009185240</t>
  </si>
  <si>
    <t>U5YPG814BNL107416</t>
  </si>
  <si>
    <t>21-1 طباعة المنصورة</t>
  </si>
  <si>
    <t>00901705720</t>
  </si>
  <si>
    <t>هنا عبد الفتاح الجوهري محمد عبد الفتاح</t>
  </si>
  <si>
    <t>01125899579</t>
  </si>
  <si>
    <t>205862</t>
  </si>
  <si>
    <t>باسم سامى بولس بباوى</t>
  </si>
  <si>
    <t>01286216474</t>
  </si>
  <si>
    <t>بيجو 3008 2022</t>
  </si>
  <si>
    <t>205864</t>
  </si>
  <si>
    <t>امانى رمسيس اسحق الفيشاوى</t>
  </si>
  <si>
    <t>01002395381</t>
  </si>
  <si>
    <t>نيسان Juke 2023</t>
  </si>
  <si>
    <t>00901705669</t>
  </si>
  <si>
    <t>حسام فؤاد صبحى كامل</t>
  </si>
  <si>
    <t>01005002000</t>
  </si>
  <si>
    <t>L003155</t>
  </si>
  <si>
    <t>205872</t>
  </si>
  <si>
    <t>حنان رمسيس اسحاق الفيشاوى</t>
  </si>
  <si>
    <t>00902055609</t>
  </si>
  <si>
    <t>ساره فؤاد عوض مصطفى</t>
  </si>
  <si>
    <t>00901705699</t>
  </si>
  <si>
    <t>عمرو عبد العزيز عبداللطيف محمد الوكيل</t>
  </si>
  <si>
    <t>01090188894</t>
  </si>
  <si>
    <t>Y003530</t>
  </si>
  <si>
    <t>1580</t>
  </si>
  <si>
    <t>مريم هانى مجدى توفيق-</t>
  </si>
  <si>
    <t>1575</t>
  </si>
  <si>
    <t>خالد محمد الشافعى عبدالدايم على عيد</t>
  </si>
  <si>
    <t>01501166310</t>
  </si>
  <si>
    <t>شنجان CS 55 2022</t>
  </si>
  <si>
    <t>016912</t>
  </si>
  <si>
    <t>احمد خيرى حمزه محمد طه</t>
  </si>
  <si>
    <t xml:space="preserve">01097779205 </t>
  </si>
  <si>
    <t>13/11/2023</t>
  </si>
  <si>
    <t>لصالح البنك- تجديد</t>
  </si>
  <si>
    <t>1571-</t>
  </si>
  <si>
    <t>محمود ابوالفتوح عبدالمقصود سيد احمد-</t>
  </si>
  <si>
    <t>747780-------</t>
  </si>
  <si>
    <t>00702051550</t>
  </si>
  <si>
    <t>00701874863</t>
  </si>
  <si>
    <t>00701790745</t>
  </si>
  <si>
    <t>00801790337</t>
  </si>
  <si>
    <t>00701790265   </t>
  </si>
  <si>
    <t>00901884293</t>
  </si>
  <si>
    <t>حبيبه احمد محمد مدحت سليمان الروبى-</t>
  </si>
  <si>
    <t>01004694455</t>
  </si>
  <si>
    <t>00901706629</t>
  </si>
  <si>
    <t>منى جميل حسن محمد</t>
  </si>
  <si>
    <t>01005237417</t>
  </si>
  <si>
    <t>Y002821</t>
  </si>
  <si>
    <t>00901378898</t>
  </si>
  <si>
    <t>كاريمان محمود كامل احمد-</t>
  </si>
  <si>
    <t xml:space="preserve">00901884295 </t>
  </si>
  <si>
    <t>شريف محمد محمود عبدالنبى</t>
  </si>
  <si>
    <t>01223762543</t>
  </si>
  <si>
    <t xml:space="preserve">00901706666 </t>
  </si>
  <si>
    <t>محمد جمال الدين طه مرزوق</t>
  </si>
  <si>
    <t>01000059785</t>
  </si>
  <si>
    <t>7-11 مردش-5-11 بعت رسالة مردش-29-10 فكرته-12-10 مردش بعت رسالة-22-10 مردش بعت رسالة</t>
  </si>
  <si>
    <t>90401990132</t>
  </si>
  <si>
    <t>ايمان خالد فوزى حواس</t>
  </si>
  <si>
    <t>01121362999</t>
  </si>
  <si>
    <t>1592</t>
  </si>
  <si>
    <t>خالد محمد الشافعى عبدالدايم على عيد-</t>
  </si>
  <si>
    <t>قسط 3</t>
  </si>
  <si>
    <t>00902056204</t>
  </si>
  <si>
    <t>سميحه كريم محمد</t>
  </si>
  <si>
    <t>01222400080</t>
  </si>
  <si>
    <t>نيسان جوك</t>
  </si>
  <si>
    <t>1594</t>
  </si>
  <si>
    <t>خالد محمدالشافعى عبدالدايم على عيد</t>
  </si>
  <si>
    <t xml:space="preserve">00901884770 </t>
  </si>
  <si>
    <t>محمد فاروق محمد حجازى</t>
  </si>
  <si>
    <t>01004101149</t>
  </si>
  <si>
    <t xml:space="preserve">00901788091 </t>
  </si>
  <si>
    <t>مصطفى محمد سيف الدين عبد الصمد عبد المقصود</t>
  </si>
  <si>
    <t>01022663765</t>
  </si>
  <si>
    <t>S002967</t>
  </si>
  <si>
    <t>1586</t>
  </si>
  <si>
    <t>احمد صفوت ابوالنور حلمى الرفاعى-</t>
  </si>
  <si>
    <t>00901809091-</t>
  </si>
  <si>
    <t>دينا ناهض جورج ظريفه</t>
  </si>
  <si>
    <t>01222148238</t>
  </si>
  <si>
    <t>BMW 730LI</t>
  </si>
  <si>
    <t>26-10 في ميتنج هكلمه الساعة 5</t>
  </si>
  <si>
    <t>00901948326-</t>
  </si>
  <si>
    <t>خالد حسين حسين احمد المسير-</t>
  </si>
  <si>
    <t>27/10/2023</t>
  </si>
  <si>
    <t>جيب رينيجيد</t>
  </si>
  <si>
    <t>00901815145--</t>
  </si>
  <si>
    <t>عمرو محمد شوقى حسن حسين--</t>
  </si>
  <si>
    <t>01001500940</t>
  </si>
  <si>
    <t>MS007266</t>
  </si>
  <si>
    <t>26-10 ممكن يدفع الاحد اون لاين</t>
  </si>
  <si>
    <t>206091</t>
  </si>
  <si>
    <t>نوران اشرف حسين فهمى راشد</t>
  </si>
  <si>
    <t>مرسيدس SL43 2023</t>
  </si>
  <si>
    <t>لصالح الشركة</t>
  </si>
  <si>
    <t>00901990319</t>
  </si>
  <si>
    <t>سارة على محمد احمد</t>
  </si>
  <si>
    <t>01123261836</t>
  </si>
  <si>
    <t>S004353</t>
  </si>
  <si>
    <t>1585</t>
  </si>
  <si>
    <t>احمد لطفي عبد الحكيم احمد</t>
  </si>
  <si>
    <t>01222193172</t>
  </si>
  <si>
    <t>شيرى تيجو 2024</t>
  </si>
  <si>
    <t>00901884988</t>
  </si>
  <si>
    <t>مينا النقراشى انور عبدالملك</t>
  </si>
  <si>
    <t>01227798081</t>
  </si>
  <si>
    <t>747959-</t>
  </si>
  <si>
    <t>GESCO Free Zone-----------</t>
  </si>
  <si>
    <t xml:space="preserve">00901885766 </t>
  </si>
  <si>
    <t>رضا عوض الله جرجس خله</t>
  </si>
  <si>
    <t>01121828555</t>
  </si>
  <si>
    <t>22-10 بعت رسالة-16-10 هيدفع و يستلم من موتور سيتي-UW - 12-10</t>
  </si>
  <si>
    <t>00901557089</t>
  </si>
  <si>
    <t>خالد صبرى حافظ عبد الدايم</t>
  </si>
  <si>
    <t>01001005249</t>
  </si>
  <si>
    <t>فولفو</t>
  </si>
  <si>
    <t>فولفو S80</t>
  </si>
  <si>
    <t>00901887981</t>
  </si>
  <si>
    <t>ايمان محمد بهاء حسن وهبه-</t>
  </si>
  <si>
    <t>مش تبع ماستر</t>
  </si>
  <si>
    <t>خصم 10 %</t>
  </si>
  <si>
    <t>00901705725</t>
  </si>
  <si>
    <t>سلمى مدحت الدسوقى الدسوقى الطبجى</t>
  </si>
  <si>
    <t>01016645466</t>
  </si>
  <si>
    <t>Y003423</t>
  </si>
  <si>
    <t>00901761449-</t>
  </si>
  <si>
    <t>محمد سالم مصطفى على-</t>
  </si>
  <si>
    <t>00901707596</t>
  </si>
  <si>
    <t>دنيا يحيى كمال عيد المنياوى</t>
  </si>
  <si>
    <t>01007504072</t>
  </si>
  <si>
    <t xml:space="preserve">00901887967 </t>
  </si>
  <si>
    <t>كريستينا عادل عطيه واصف</t>
  </si>
  <si>
    <t>01206294774</t>
  </si>
  <si>
    <t>1589</t>
  </si>
  <si>
    <t>شريف هانيبال موسى احمد ابو المجد</t>
  </si>
  <si>
    <t>14/11/2023</t>
  </si>
  <si>
    <t>1584</t>
  </si>
  <si>
    <t>سحر ابراهيم ابراهيم فضل-</t>
  </si>
  <si>
    <t>سوزوكى سويفت 2023</t>
  </si>
  <si>
    <t>1330--</t>
  </si>
  <si>
    <t>ايهاب طلعت حسن البنان-</t>
  </si>
  <si>
    <t>31/10/2023</t>
  </si>
  <si>
    <t>00902056319</t>
  </si>
  <si>
    <t>منة الله محمد علي</t>
  </si>
  <si>
    <t>01283822218</t>
  </si>
  <si>
    <t>W1KAF4BBXPF073916</t>
  </si>
  <si>
    <t>747780-----</t>
  </si>
  <si>
    <t>GESCO Free Zone--------------</t>
  </si>
  <si>
    <t>00901885936</t>
  </si>
  <si>
    <t>صبرى عيسى بيومى  عموشه</t>
  </si>
  <si>
    <t>01159555585</t>
  </si>
  <si>
    <t>1,450,000
1,450,000</t>
  </si>
  <si>
    <t>00901888616</t>
  </si>
  <si>
    <t>نهي اسماعيل محمد اسماعيل</t>
  </si>
  <si>
    <t>01222311288</t>
  </si>
  <si>
    <t>00901705422</t>
  </si>
  <si>
    <t>Noha Mahmoud Hassan Mohamed</t>
  </si>
  <si>
    <t xml:space="preserve">00901707853 </t>
  </si>
  <si>
    <t>امنيه مصطفى عبد العظيم محمد</t>
  </si>
  <si>
    <t>01061790704</t>
  </si>
  <si>
    <t>00901558323</t>
  </si>
  <si>
    <t>ريمون ايوب عزمى خير الذهبى-</t>
  </si>
  <si>
    <t>01149696399</t>
  </si>
  <si>
    <t>1590</t>
  </si>
  <si>
    <t>شريف عبدالرحمن زيان عبدالله-</t>
  </si>
  <si>
    <t>01002256241</t>
  </si>
  <si>
    <t>1-11 مردش بعت رسالة</t>
  </si>
  <si>
    <t>00401559257</t>
  </si>
  <si>
    <t>احمد توفيق محمد</t>
  </si>
  <si>
    <t>747959--</t>
  </si>
  <si>
    <t>GESCO Free Zone-------------</t>
  </si>
  <si>
    <t>00901887976</t>
  </si>
  <si>
    <t>القص بيشوى بالميلاد هانى بولس حليم يسي</t>
  </si>
  <si>
    <t>01227475663</t>
  </si>
  <si>
    <t>1598</t>
  </si>
  <si>
    <t>دنيس جرجس ميخائيل جرجس الصايغ</t>
  </si>
  <si>
    <t>Angel</t>
  </si>
  <si>
    <t>MG RX5 2024</t>
  </si>
  <si>
    <t>31-10 هتعمل تحويل</t>
  </si>
  <si>
    <t>00902015449-</t>
  </si>
  <si>
    <t>ياسمين محمد رشدى سامى-</t>
  </si>
  <si>
    <t>31-10 بعتلها</t>
  </si>
  <si>
    <t>1587</t>
  </si>
  <si>
    <t>محمد احمد ذكى حسين</t>
  </si>
  <si>
    <t>مرسيدس GLC 2024</t>
  </si>
  <si>
    <t>1008</t>
  </si>
  <si>
    <t>1294/2023</t>
  </si>
  <si>
    <t>1560-</t>
  </si>
  <si>
    <t>1560/2023</t>
  </si>
  <si>
    <t>اذن صرف العمولة مجموع مع وثيقة 1254</t>
  </si>
  <si>
    <t xml:space="preserve">00901888792 </t>
  </si>
  <si>
    <t>عماد احمد عبد العزيز حسن فؤاد</t>
  </si>
  <si>
    <t>01227156767</t>
  </si>
  <si>
    <t xml:space="preserve">00901791788 </t>
  </si>
  <si>
    <t>رامى محمد على بدر الدين</t>
  </si>
  <si>
    <t>01065234567</t>
  </si>
  <si>
    <t xml:space="preserve">00901888774 </t>
  </si>
  <si>
    <t>مايكل مجدى مهنى اسرائيل</t>
  </si>
  <si>
    <t>01274432299</t>
  </si>
  <si>
    <t>1195-</t>
  </si>
  <si>
    <t>محمد عزت ابراهيم مرسي-</t>
  </si>
  <si>
    <t>6528705</t>
  </si>
  <si>
    <t>Atika</t>
  </si>
  <si>
    <t>206544</t>
  </si>
  <si>
    <t>فاطمة محمد طلعت حسن على</t>
  </si>
  <si>
    <t>01013775760</t>
  </si>
  <si>
    <t>ميتسوبيشى اكسبندر 2022</t>
  </si>
  <si>
    <t>00901888770</t>
  </si>
  <si>
    <t>عبدالفتاح السيد محمد يوسف</t>
  </si>
  <si>
    <t>01000238902</t>
  </si>
  <si>
    <t>90402030226-</t>
  </si>
  <si>
    <t>November</t>
  </si>
  <si>
    <t>00901815213</t>
  </si>
  <si>
    <t>John Raafat Wadie Gad</t>
  </si>
  <si>
    <t>in motor city</t>
  </si>
  <si>
    <t>00901815145</t>
  </si>
  <si>
    <t>Amr Mohamed Shawky Hassan Hussein</t>
  </si>
  <si>
    <t>online-Pdf</t>
  </si>
  <si>
    <t>00901815267</t>
  </si>
  <si>
    <t>Sylvana Albert Joseph Tadros</t>
  </si>
  <si>
    <t>branches</t>
  </si>
  <si>
    <t>1128-</t>
  </si>
  <si>
    <t>نوران حسين عبد العزيز محمود الشاذلى-</t>
  </si>
  <si>
    <t>93969</t>
  </si>
  <si>
    <t>00901822809-</t>
  </si>
  <si>
    <t>محمد كمال الدين عبد الحميد سيد احمد عفيفى</t>
  </si>
  <si>
    <t>00902058232</t>
  </si>
  <si>
    <t>عادل سمير عوض وهبه</t>
  </si>
  <si>
    <t>01223221799</t>
  </si>
  <si>
    <t>W000275</t>
  </si>
  <si>
    <t>سيات Tarraco</t>
  </si>
  <si>
    <t>00902058245</t>
  </si>
  <si>
    <t>سامى سمير عوض وهبه</t>
  </si>
  <si>
    <t>01273759944</t>
  </si>
  <si>
    <t>W000491</t>
  </si>
  <si>
    <t>00901791789</t>
  </si>
  <si>
    <t>انجى محمد عبد الحميد بدير</t>
  </si>
  <si>
    <t>01001995095</t>
  </si>
  <si>
    <t>00901791702</t>
  </si>
  <si>
    <t>ايهاب عصمت حسين محمد حسن</t>
  </si>
  <si>
    <t>01007022146</t>
  </si>
  <si>
    <t>00901930109</t>
  </si>
  <si>
    <t>Ashraf Mahmoud Mohamed Mahmoud</t>
  </si>
  <si>
    <t>00901751593</t>
  </si>
  <si>
    <t>Ahmed Mohamed Abdel Hamed Mohamed</t>
  </si>
  <si>
    <t>01001463054</t>
  </si>
  <si>
    <t xml:space="preserve">00901889515 </t>
  </si>
  <si>
    <t>كريم عماد عبدالملك بشاره</t>
  </si>
  <si>
    <t>01000022575</t>
  </si>
  <si>
    <t>S005071</t>
  </si>
  <si>
    <t>00901709136</t>
  </si>
  <si>
    <t>لمياء محمد بهائي عبد المجيد سليمان-</t>
  </si>
  <si>
    <t>FCAHL423</t>
  </si>
  <si>
    <t>00901791955</t>
  </si>
  <si>
    <t>مينا  صليب عوض صليب</t>
  </si>
  <si>
    <t>01288558198</t>
  </si>
  <si>
    <t>سيات اتكا</t>
  </si>
  <si>
    <t>00901792915</t>
  </si>
  <si>
    <t>محمود ربيع ابو سريع محمد</t>
  </si>
  <si>
    <t>01207771717</t>
  </si>
  <si>
    <t>S003428</t>
  </si>
  <si>
    <t>احمد بدوى عبدالله محمد الشناوى--</t>
  </si>
  <si>
    <t>Logan</t>
  </si>
  <si>
    <t>00901939937</t>
  </si>
  <si>
    <t>Mai Mostafa Hassan Abu sraya</t>
  </si>
  <si>
    <t>00901826956</t>
  </si>
  <si>
    <t>مايكل عزت واسيلى عزيز</t>
  </si>
  <si>
    <t>00901939356</t>
  </si>
  <si>
    <t>Abdal Moaty Mohammed Abdal gawad Ismail</t>
  </si>
  <si>
    <t>دفع بوش الكارت</t>
  </si>
  <si>
    <t>00901827285</t>
  </si>
  <si>
    <t>اسامه مختار السيد حسين</t>
  </si>
  <si>
    <t>00901939324</t>
  </si>
  <si>
    <t>محمد احمد عبد الحميد احمد</t>
  </si>
  <si>
    <t>00901890076-</t>
  </si>
  <si>
    <t>سامح روؤف زكى معوض-</t>
  </si>
  <si>
    <t xml:space="preserve">00901792554 </t>
  </si>
  <si>
    <t>مينا ايهاب مينا تادرس</t>
  </si>
  <si>
    <t>01114513347</t>
  </si>
  <si>
    <t>90401889499</t>
  </si>
  <si>
    <t>سماح احمد حسن الوشاحى</t>
  </si>
  <si>
    <t>18-10 هتحاول تدفع اون لاين-19-10 لو معرفتش تدفع اون لاين هتروح مدينة نصر</t>
  </si>
  <si>
    <t>00901561106</t>
  </si>
  <si>
    <t>رانيا محى الدين محمد محمد</t>
  </si>
  <si>
    <t>01001111747</t>
  </si>
  <si>
    <t>ميتسوبيشى لانسر</t>
  </si>
  <si>
    <t>00901792546</t>
  </si>
  <si>
    <t>غادة ضاحى سعد خليل</t>
  </si>
  <si>
    <t>01119024555</t>
  </si>
  <si>
    <t>U2534606</t>
  </si>
  <si>
    <t>00901890088</t>
  </si>
  <si>
    <t>كيرلس ابراهيم عوض ابراهيم</t>
  </si>
  <si>
    <t>01012160005</t>
  </si>
  <si>
    <t>00901890076</t>
  </si>
  <si>
    <t>00901890065</t>
  </si>
  <si>
    <t>محمود محمد طاهر شبانه</t>
  </si>
  <si>
    <t>01019370077</t>
  </si>
  <si>
    <t>00901950072</t>
  </si>
  <si>
    <t>احمد هشام مصطفى عبد المجيد</t>
  </si>
  <si>
    <t>1343</t>
  </si>
  <si>
    <t>صبرى عوض محمد عثمان</t>
  </si>
  <si>
    <t>احمد رافت</t>
  </si>
  <si>
    <t>17/5/2023</t>
  </si>
  <si>
    <t>معرض ستاليون- بعت رسالة من رقم ماري</t>
  </si>
  <si>
    <t>196796</t>
  </si>
  <si>
    <t>كيا سبورتاج 2021</t>
  </si>
  <si>
    <t>013171</t>
  </si>
  <si>
    <t>ساندى ايهاب سعد يوسف</t>
  </si>
  <si>
    <t>01270436220</t>
  </si>
  <si>
    <t>شيماء هتشوف مع مريم 28-5- هنراجع المعاينة 21-5</t>
  </si>
  <si>
    <t>00901904126-</t>
  </si>
  <si>
    <t>مصطفى صالح نصر عبد السلام</t>
  </si>
  <si>
    <t>01015548480</t>
  </si>
  <si>
    <t>747780---------</t>
  </si>
  <si>
    <t>3-12 هاني دفعهم كاش عدد 2 ملحق التاني ب 154 ج</t>
  </si>
  <si>
    <t>00901709507</t>
  </si>
  <si>
    <t>داليا صفوت فؤاد بسطا</t>
  </si>
  <si>
    <t>01005686731</t>
  </si>
  <si>
    <t>1602</t>
  </si>
  <si>
    <t>اسلام احمد حافظ حسن</t>
  </si>
  <si>
    <t>01005531307</t>
  </si>
  <si>
    <t>مرسيدس A200 2022</t>
  </si>
  <si>
    <t>قسط 2</t>
  </si>
  <si>
    <t>206852</t>
  </si>
  <si>
    <t>مارى وسيم وهبى شكر</t>
  </si>
  <si>
    <t>01224007808</t>
  </si>
  <si>
    <t>كروس لاند 2022</t>
  </si>
  <si>
    <t>206859</t>
  </si>
  <si>
    <t>مصطفى عادل عبدالحميد احمد سراج الدين</t>
  </si>
  <si>
    <t>01090492526</t>
  </si>
  <si>
    <t>226-</t>
  </si>
  <si>
    <t>GESCO Free Zone-----------------</t>
  </si>
  <si>
    <t>7-11ملحق التعديل بدون مبلغ ؟</t>
  </si>
  <si>
    <t>747959---</t>
  </si>
  <si>
    <t>00901709504</t>
  </si>
  <si>
    <t>صابره على  حموده</t>
  </si>
  <si>
    <t>01112045049</t>
  </si>
  <si>
    <t>00901890327</t>
  </si>
  <si>
    <t>حسام الدين محمد فوزي عبد السميع عزب</t>
  </si>
  <si>
    <t>01006019028</t>
  </si>
  <si>
    <t>00901764530</t>
  </si>
  <si>
    <t>عبد الغفار ابراهيم عبد الغفار محمد الناحل</t>
  </si>
  <si>
    <t>00901763323</t>
  </si>
  <si>
    <t>اشرف ابراهيم طنيوس ابراهيم</t>
  </si>
  <si>
    <t>00901623901-</t>
  </si>
  <si>
    <t>محمد حسام الدين ابراهيم محمود عماره</t>
  </si>
  <si>
    <t>01001049102</t>
  </si>
  <si>
    <t>1395</t>
  </si>
  <si>
    <t>مصطفى كامل محمد مصيلحى مسلم</t>
  </si>
  <si>
    <t>01001652059</t>
  </si>
  <si>
    <t>مرسيدسC180-2023</t>
  </si>
  <si>
    <t>مصطفى عدنان حولهم لحساب ا.ريمون 13-6</t>
  </si>
  <si>
    <t>00901902735-</t>
  </si>
  <si>
    <t>مهرى عصام الدين الانصارى</t>
  </si>
  <si>
    <t>01222184640</t>
  </si>
  <si>
    <t>00901902735</t>
  </si>
  <si>
    <t>11-6 مردتش بعت رسالة</t>
  </si>
  <si>
    <t>00901768487--</t>
  </si>
  <si>
    <t>محمد سامى حلمى مرسى</t>
  </si>
  <si>
    <t>00901768487</t>
  </si>
  <si>
    <t>00901999526-</t>
  </si>
  <si>
    <t>عمرو طارق ابراهيم الرخاوى</t>
  </si>
  <si>
    <t>01006232599</t>
  </si>
  <si>
    <t>00901999526</t>
  </si>
  <si>
    <t>12-6 مردش بعت رسالة</t>
  </si>
  <si>
    <t>00901487386</t>
  </si>
  <si>
    <t>إيناس مصطفى محمد مصطفى</t>
  </si>
  <si>
    <t>00901718029-</t>
  </si>
  <si>
    <t>ريمون حنا بطرس صالح--</t>
  </si>
  <si>
    <t>00902038067</t>
  </si>
  <si>
    <t>ايهاب احمد احمد محمد حمزة</t>
  </si>
  <si>
    <t xml:space="preserve">01099338100-01006612506 </t>
  </si>
  <si>
    <t>1364--</t>
  </si>
  <si>
    <t>نجوان جعفر زكى محمد-</t>
  </si>
  <si>
    <t>1601</t>
  </si>
  <si>
    <t>حلا احمد محسن رحمى</t>
  </si>
  <si>
    <t>01003800708</t>
  </si>
  <si>
    <t>اودى A4 2023</t>
  </si>
  <si>
    <t>00901990979</t>
  </si>
  <si>
    <t>احمد مجدى حماده محمد كربونه</t>
  </si>
  <si>
    <t>01006055289</t>
  </si>
  <si>
    <t>C200 مرسيدس</t>
  </si>
  <si>
    <t xml:space="preserve">01002058646 </t>
  </si>
  <si>
    <t>محمد علي عبد الحميد محمد-</t>
  </si>
  <si>
    <t>01154635478</t>
  </si>
  <si>
    <t>WBA51BH03PWY22346</t>
  </si>
  <si>
    <t>BMW 530 i</t>
  </si>
  <si>
    <t xml:space="preserve">00901504022 </t>
  </si>
  <si>
    <t>احمد محمد عبد الحميد منصور</t>
  </si>
  <si>
    <t xml:space="preserve">00901673269 </t>
  </si>
  <si>
    <t>منار محمد عبدالحميد عابد</t>
  </si>
  <si>
    <t xml:space="preserve">00901673624 </t>
  </si>
  <si>
    <t>هانيه محمد علاء احمد خليفه</t>
  </si>
  <si>
    <t>747783-</t>
  </si>
  <si>
    <t>GESCO Free Zone-</t>
  </si>
  <si>
    <t>747848-</t>
  </si>
  <si>
    <t>Itd-free zone-</t>
  </si>
  <si>
    <t>747829-</t>
  </si>
  <si>
    <t>GESCO Free Zone--</t>
  </si>
  <si>
    <t xml:space="preserve">00901710321 </t>
  </si>
  <si>
    <t>جيهان محمد وحيد محمد كامل السنان</t>
  </si>
  <si>
    <t>01223443562</t>
  </si>
  <si>
    <t>18-10 عايزها موتور سيتي</t>
  </si>
  <si>
    <t>00901710877</t>
  </si>
  <si>
    <t>هيثم ابو بكر حسن محمد الرشيدى-</t>
  </si>
  <si>
    <t>جيب رانجلر</t>
  </si>
  <si>
    <t>00901562594</t>
  </si>
  <si>
    <t>سماح محمد مصطفى حسين</t>
  </si>
  <si>
    <t>01005256596</t>
  </si>
  <si>
    <t>00901710327</t>
  </si>
  <si>
    <t>احمد  عبدالحميد محمود محمد</t>
  </si>
  <si>
    <t>01157592222</t>
  </si>
  <si>
    <t>00901890470</t>
  </si>
  <si>
    <t>صفيه محمد محمود فراويله</t>
  </si>
  <si>
    <t>01000173300</t>
  </si>
  <si>
    <t>00901520049</t>
  </si>
  <si>
    <t>غاده أنور رياض حنا</t>
  </si>
  <si>
    <t>00901520529</t>
  </si>
  <si>
    <t>عاطف زكى إسكندر</t>
  </si>
  <si>
    <t>00901861772</t>
  </si>
  <si>
    <t>محمد السيد حجازى غنيم</t>
  </si>
  <si>
    <t xml:space="preserve">00901774903 </t>
  </si>
  <si>
    <t>ياسر عبدالحليم حداد شاهين-</t>
  </si>
  <si>
    <t xml:space="preserve">00901792940 </t>
  </si>
  <si>
    <t>روان ماهر عبد السلام عبد المجيد ابراهيم</t>
  </si>
  <si>
    <t>01003417776</t>
  </si>
  <si>
    <t>Y001296</t>
  </si>
  <si>
    <t>1593</t>
  </si>
  <si>
    <t>سيد محمد كامل صابر</t>
  </si>
  <si>
    <t>01118699880</t>
  </si>
  <si>
    <t>MG 5 2024</t>
  </si>
  <si>
    <t>1562</t>
  </si>
  <si>
    <t>هانى محمد عباس حسن</t>
  </si>
  <si>
    <t>01069086683</t>
  </si>
  <si>
    <t>00902058511</t>
  </si>
  <si>
    <t>احمد محمد المهدي صابر</t>
  </si>
  <si>
    <t>01155551604</t>
  </si>
  <si>
    <t>U5YH5fF15GRL163232</t>
  </si>
  <si>
    <t>كيا Xceed</t>
  </si>
  <si>
    <t>00901889190</t>
  </si>
  <si>
    <t>مجدى سمير عوض وهبه</t>
  </si>
  <si>
    <t>00901884860</t>
  </si>
  <si>
    <t>عماد صموئيل غبريال ميخائيل</t>
  </si>
  <si>
    <t>01227433802</t>
  </si>
  <si>
    <t>S006097</t>
  </si>
  <si>
    <t>1604</t>
  </si>
  <si>
    <t>عبدالله ابراهيم عبدالمنعم الشربينى</t>
  </si>
  <si>
    <t>سكودا كودياك 2024</t>
  </si>
  <si>
    <t>495861</t>
  </si>
  <si>
    <t>ايه محمود على عبده الخولى</t>
  </si>
  <si>
    <t>00901891404</t>
  </si>
  <si>
    <t>بيريهان عمرو سعد الحناوى</t>
  </si>
  <si>
    <t>01208050353</t>
  </si>
  <si>
    <t>سكودا كودياك</t>
  </si>
  <si>
    <t>19441</t>
  </si>
  <si>
    <t>20/11/2023</t>
  </si>
  <si>
    <t>رقم الشيك : 61342365 QNB</t>
  </si>
  <si>
    <t>460544</t>
  </si>
  <si>
    <t>International Engineering Enterprice</t>
  </si>
  <si>
    <t>01144889292</t>
  </si>
  <si>
    <t>90401987928</t>
  </si>
  <si>
    <t>460546</t>
  </si>
  <si>
    <t>المؤسسة الهندسية الدولية</t>
  </si>
  <si>
    <t>90401987929</t>
  </si>
  <si>
    <t>00901891799</t>
  </si>
  <si>
    <t>احمد محسن مصطفى عبداللطيف</t>
  </si>
  <si>
    <t>01110237722</t>
  </si>
  <si>
    <t>00901793589</t>
  </si>
  <si>
    <t>احمد عزالدين كامل محمد</t>
  </si>
  <si>
    <t>01001399929</t>
  </si>
  <si>
    <t>207216</t>
  </si>
  <si>
    <t>اندرو اشرف اسحق صموئيل</t>
  </si>
  <si>
    <t>01204621964</t>
  </si>
  <si>
    <t>نيسان صنى 2018</t>
  </si>
  <si>
    <t>550 ج انتقالات معاينة + 80 ج مصاريف شحن</t>
  </si>
  <si>
    <t>00901892089</t>
  </si>
  <si>
    <t>نهى خالد محمد سعيد الحبشى</t>
  </si>
  <si>
    <t>01222170738</t>
  </si>
  <si>
    <t>1563</t>
  </si>
  <si>
    <t>امينه محمد هشام سليمان عبدالله</t>
  </si>
  <si>
    <t>011004676320 - 01004757903</t>
  </si>
  <si>
    <t>22/11/2023</t>
  </si>
  <si>
    <t>10-12 خصم 320 ج</t>
  </si>
  <si>
    <t>1603</t>
  </si>
  <si>
    <t>ساره حمدى امام شحاته</t>
  </si>
  <si>
    <t>01067895058</t>
  </si>
  <si>
    <t>سيات اتيكا 2021</t>
  </si>
  <si>
    <t>00902058647</t>
  </si>
  <si>
    <t>يوسف فتحى عبد العزيز عبده</t>
  </si>
  <si>
    <t>010192000640</t>
  </si>
  <si>
    <t>00901892491</t>
  </si>
  <si>
    <t>نهال محمود احمد يوسف</t>
  </si>
  <si>
    <t>01221359076</t>
  </si>
  <si>
    <t>00901711003</t>
  </si>
  <si>
    <t>محمد يسرى  على صادق دياب</t>
  </si>
  <si>
    <t>01111166711</t>
  </si>
  <si>
    <t>00901710945</t>
  </si>
  <si>
    <t>ميريت رفيق حلمى ثابت</t>
  </si>
  <si>
    <t>01222641520</t>
  </si>
  <si>
    <t>بي إم دبليو 320</t>
  </si>
  <si>
    <t>00901794012</t>
  </si>
  <si>
    <t>يمنى محمود علاء الدين مصطفى كامل</t>
  </si>
  <si>
    <t>01277702097</t>
  </si>
  <si>
    <t>207218</t>
  </si>
  <si>
    <t>اسلام محمد عباس ابراهيم العويلى</t>
  </si>
  <si>
    <t>01033655064</t>
  </si>
  <si>
    <t>ميتسوبيشى ECLIPSE 2020</t>
  </si>
  <si>
    <t>00901793052</t>
  </si>
  <si>
    <t>محمد جمال الدين محمود سيد</t>
  </si>
  <si>
    <t>01066865366</t>
  </si>
  <si>
    <t>1608</t>
  </si>
  <si>
    <t>ميرنا محمد محمود محمد الدليل</t>
  </si>
  <si>
    <t>01014997046</t>
  </si>
  <si>
    <t>ميتسوبيشي اكلبس2022</t>
  </si>
  <si>
    <t>207213</t>
  </si>
  <si>
    <t>سامح جمعه حسانين عبدالمجيد</t>
  </si>
  <si>
    <t>01275712444</t>
  </si>
  <si>
    <t>مرسيدس Glc300 2023</t>
  </si>
  <si>
    <t>1607</t>
  </si>
  <si>
    <t>وليد سعد ابراهيم محمد المغنى</t>
  </si>
  <si>
    <t>01012765809</t>
  </si>
  <si>
    <t>00901711207</t>
  </si>
  <si>
    <t>سوسن  رمزى صديق رفله</t>
  </si>
  <si>
    <t>01001621141</t>
  </si>
  <si>
    <t>00901798971</t>
  </si>
  <si>
    <t>ياسر عبد المنعم عدلى سليم</t>
  </si>
  <si>
    <t>01019665528</t>
  </si>
  <si>
    <t>J5973034</t>
  </si>
  <si>
    <t>1600</t>
  </si>
  <si>
    <t>محمد تامر الهامى شكرى محمد شكرى</t>
  </si>
  <si>
    <t>01226632770</t>
  </si>
  <si>
    <t>سيات ليون 2022</t>
  </si>
  <si>
    <t>00901715693</t>
  </si>
  <si>
    <t>احمد محمد عبد العظيم على العالم</t>
  </si>
  <si>
    <t>01222270001</t>
  </si>
  <si>
    <t>00902060387</t>
  </si>
  <si>
    <t>ماجى حلمى على حلمى شلتوت</t>
  </si>
  <si>
    <t>01227443440</t>
  </si>
  <si>
    <t>01001188828</t>
  </si>
  <si>
    <t>21-11 اماني شنودة</t>
  </si>
  <si>
    <t>1606-</t>
  </si>
  <si>
    <t>هانى عاشور ابراهيم على</t>
  </si>
  <si>
    <t>01110111003</t>
  </si>
  <si>
    <t>MG 6 2019</t>
  </si>
  <si>
    <t>207489</t>
  </si>
  <si>
    <t>محمد شريف حسن عبدالمعطى الشيمى</t>
  </si>
  <si>
    <t>01555656951</t>
  </si>
  <si>
    <t>مرسيدس GLC 300 2024</t>
  </si>
  <si>
    <t>00901794113</t>
  </si>
  <si>
    <t>ياسمين فاروق عبد الحميد عمارة</t>
  </si>
  <si>
    <t>01004684151</t>
  </si>
  <si>
    <t>00901794384</t>
  </si>
  <si>
    <t>عمرو  حمزة كامل عبدالوهاب</t>
  </si>
  <si>
    <t>01222193378</t>
  </si>
  <si>
    <t>00901891799-</t>
  </si>
  <si>
    <t>احمد محسن مصطفى عبداللطيف-</t>
  </si>
  <si>
    <t>Dec</t>
  </si>
  <si>
    <t>207530</t>
  </si>
  <si>
    <t>حازم السيد حسن محمد عيسى</t>
  </si>
  <si>
    <t>01006160366</t>
  </si>
  <si>
    <t>هيونداى توسان 2019</t>
  </si>
  <si>
    <t>ميرفت سليم عبد المسيح الضبع</t>
  </si>
  <si>
    <t>01006460076</t>
  </si>
  <si>
    <t>00901894026</t>
  </si>
  <si>
    <t>اكرام حسين حمدى شهاب الدين--</t>
  </si>
  <si>
    <t>01001122050</t>
  </si>
  <si>
    <t>90400008124</t>
  </si>
  <si>
    <t xml:space="preserve">Sherif Mohamed Adel Sami Mohamed </t>
  </si>
  <si>
    <t>01001479952</t>
  </si>
  <si>
    <t>19-10 كلمته و هيروح التجمع و يبعتلي</t>
  </si>
  <si>
    <t>00901794879</t>
  </si>
  <si>
    <t>على حسام الدين مصطفى عبداللة ربيع-</t>
  </si>
  <si>
    <t>01005040080</t>
  </si>
  <si>
    <t>10R068418</t>
  </si>
  <si>
    <t>00901714383</t>
  </si>
  <si>
    <t>مروى عبد الستار ابراهيم رزق-</t>
  </si>
  <si>
    <t>S026635</t>
  </si>
  <si>
    <t>1611</t>
  </si>
  <si>
    <t>محمد رائد محمد محمد النفيلى</t>
  </si>
  <si>
    <t>01005000620</t>
  </si>
  <si>
    <t>1612</t>
  </si>
  <si>
    <t>لميس محمود حسين حسن محمد</t>
  </si>
  <si>
    <t>01069629956</t>
  </si>
  <si>
    <t>سوزوكى سويفت 2024</t>
  </si>
  <si>
    <t>00902060499</t>
  </si>
  <si>
    <t>مروى عبد الستار ابراهيم رزق--</t>
  </si>
  <si>
    <t> 01226707222</t>
  </si>
  <si>
    <t>RKLBB0BE5L0013295</t>
  </si>
  <si>
    <t>90500012242-</t>
  </si>
  <si>
    <t>Q2-442381-</t>
  </si>
  <si>
    <t>00901894157</t>
  </si>
  <si>
    <t>محمد محمد عباس محمد حسن القلا</t>
  </si>
  <si>
    <t>01000476000</t>
  </si>
  <si>
    <t>00901853467-</t>
  </si>
  <si>
    <t>00902060598</t>
  </si>
  <si>
    <t>01007944445 </t>
  </si>
  <si>
    <t>00902060812</t>
  </si>
  <si>
    <t>بيشوى ايليا ذكى عويضه</t>
  </si>
  <si>
    <t>مرسيدس E300</t>
  </si>
  <si>
    <t>00901715682</t>
  </si>
  <si>
    <t>اشرف كمال عبد المجيد بهجت</t>
  </si>
  <si>
    <t>01223122474</t>
  </si>
  <si>
    <t>00901822389-</t>
  </si>
  <si>
    <t>ريم ماجد محمد محرم المصرى-</t>
  </si>
  <si>
    <t>00401392538</t>
  </si>
  <si>
    <t>مينا منير رياض</t>
  </si>
  <si>
    <t>004013925381-</t>
  </si>
  <si>
    <t>مينا منير رياض-</t>
  </si>
  <si>
    <t>01221648882</t>
  </si>
  <si>
    <t>00901796449</t>
  </si>
  <si>
    <t>رفيق سعد نصيف يعقوب</t>
  </si>
  <si>
    <t>01223766155</t>
  </si>
  <si>
    <t>01001763804-</t>
  </si>
  <si>
    <t>اسامة احمد عوض العايدى-</t>
  </si>
  <si>
    <t>01002109718</t>
  </si>
  <si>
    <t>23-11 كلمته و بلغته-3-12 بعتله و كلمته</t>
  </si>
  <si>
    <t>00901998678</t>
  </si>
  <si>
    <t>01001767480</t>
  </si>
  <si>
    <t>00901897042</t>
  </si>
  <si>
    <t>ملك محمد شريف احمد رزق</t>
  </si>
  <si>
    <t>01003707708</t>
  </si>
  <si>
    <t>فيات 500 اكس</t>
  </si>
  <si>
    <t>00901897794</t>
  </si>
  <si>
    <t>عمر محمد عبداللطيف احمد الخازندار</t>
  </si>
  <si>
    <t>01227771116</t>
  </si>
  <si>
    <t>00901796711</t>
  </si>
  <si>
    <t>احمد سامى على شاهين</t>
  </si>
  <si>
    <t>01285027668</t>
  </si>
  <si>
    <t>00902019804-</t>
  </si>
  <si>
    <t>حنان امين بركات محمد زكى-</t>
  </si>
  <si>
    <t>3-12 بعته للعميلة</t>
  </si>
  <si>
    <t>747959</t>
  </si>
  <si>
    <t>00901897663</t>
  </si>
  <si>
    <t>عماد الدين محمد رزق خليل البستانى</t>
  </si>
  <si>
    <t>01000400888</t>
  </si>
  <si>
    <t>00901897659</t>
  </si>
  <si>
    <t>نيافه الانبا رافائيل بالميلاد ميشيل  عريان حكيم عبد ربه</t>
  </si>
  <si>
    <t>00901996572</t>
  </si>
  <si>
    <t>سميره السيد الحفناوي عيد</t>
  </si>
  <si>
    <t>01006264634</t>
  </si>
  <si>
    <t>00901894166</t>
  </si>
  <si>
    <t>هويدا حسام الدين حامد قنديل</t>
  </si>
  <si>
    <t>01117272755</t>
  </si>
  <si>
    <t>00901898827</t>
  </si>
  <si>
    <t>ميريت رفعت كمال جرجس</t>
  </si>
  <si>
    <t>01222187867</t>
  </si>
  <si>
    <t>00901898488</t>
  </si>
  <si>
    <t>علياء جمال مهدى ابو الهدى</t>
  </si>
  <si>
    <t>01111666694</t>
  </si>
  <si>
    <t>00901898019</t>
  </si>
  <si>
    <t>خالد حسان خليل أبو سرارى-</t>
  </si>
  <si>
    <t>01001557348</t>
  </si>
  <si>
    <t>00901898547</t>
  </si>
  <si>
    <t>سليم يوسف عبيد---</t>
  </si>
  <si>
    <t>00901798952</t>
  </si>
  <si>
    <t>شيماء رجاء عبدالفتاح عبد الرحيم</t>
  </si>
  <si>
    <t>01111165080</t>
  </si>
  <si>
    <t>00901898823</t>
  </si>
  <si>
    <t>مارينا مجدى مينا عبد النور</t>
  </si>
  <si>
    <t>01222370669</t>
  </si>
  <si>
    <t>00901809091</t>
  </si>
  <si>
    <t>Dina Nahaid George Zarifa</t>
  </si>
  <si>
    <t>00901730686</t>
  </si>
  <si>
    <t>Ahmed Abdal Al Ibrahim Abdal Al</t>
  </si>
  <si>
    <t>30/01/2023</t>
  </si>
  <si>
    <t>00901808056</t>
  </si>
  <si>
    <t>Ahmed Mohammed Anwar Moawwad Mohammed Jafar</t>
  </si>
  <si>
    <t>00901900172</t>
  </si>
  <si>
    <t>اشرف محمد يوسف عبد ربه</t>
  </si>
  <si>
    <t>01221753318</t>
  </si>
  <si>
    <t>00901814138</t>
  </si>
  <si>
    <t>Ahmed Farouk Abdal hameed Syam</t>
  </si>
  <si>
    <t>دفع و استلامها في معرض سلطان</t>
  </si>
  <si>
    <t>00901611309</t>
  </si>
  <si>
    <t>Nehad Nabil Fares Iskander</t>
  </si>
  <si>
    <t>00901625348</t>
  </si>
  <si>
    <t>Ehab Mohammed Abdal-gelil Al ashram</t>
  </si>
  <si>
    <t>01000166666</t>
  </si>
  <si>
    <t>00401626672</t>
  </si>
  <si>
    <t>Samer Shaaban Ali Shaaban</t>
  </si>
  <si>
    <t>1268-</t>
  </si>
  <si>
    <t>عبير عاصم مختار حسن على</t>
  </si>
  <si>
    <t>01143355001</t>
  </si>
  <si>
    <t>150075</t>
  </si>
  <si>
    <t>SEAT</t>
  </si>
  <si>
    <t>ابيزا FR</t>
  </si>
  <si>
    <t>1268</t>
  </si>
  <si>
    <t>بعت رسالة هيروح الفرع 13-3- هيروح دلوقتي 14-3</t>
  </si>
  <si>
    <t>وثيقتها 12-3 و دفعت 14-3</t>
  </si>
  <si>
    <t>1211</t>
  </si>
  <si>
    <t>محمد حسين عبدالعزيز شميش</t>
  </si>
  <si>
    <t>01001372033</t>
  </si>
  <si>
    <t>Megan</t>
  </si>
  <si>
    <t>RENAULT</t>
  </si>
  <si>
    <t>00901930112</t>
  </si>
  <si>
    <t>هبه السعيد المهدى قوره</t>
  </si>
  <si>
    <t>1207</t>
  </si>
  <si>
    <t>احمد محمد السيد محمد</t>
  </si>
  <si>
    <t>01204044448</t>
  </si>
  <si>
    <t>تويوتا فورتشنر 2023</t>
  </si>
  <si>
    <t>لصالح البنك 2500000</t>
  </si>
  <si>
    <t>00901720554</t>
  </si>
  <si>
    <t>نيفين انور شاكر رومانى</t>
  </si>
  <si>
    <t>01002165786</t>
  </si>
  <si>
    <t>00901575273</t>
  </si>
  <si>
    <t>رضا فتحى سيد مرشد</t>
  </si>
  <si>
    <t>01005712983</t>
  </si>
  <si>
    <t>00901755977</t>
  </si>
  <si>
    <t>Sobhy Mohamed Sobhy Rashad</t>
  </si>
  <si>
    <t>00901939936</t>
  </si>
  <si>
    <t>هبه محمد محمد يوسف حكيم</t>
  </si>
  <si>
    <t>00901939932</t>
  </si>
  <si>
    <t>احمد رافت محمد عبد الغفار</t>
  </si>
  <si>
    <t>1303</t>
  </si>
  <si>
    <t>شيماء طلعت عبدالرحمن عبدالكريم</t>
  </si>
  <si>
    <t>01006222281</t>
  </si>
  <si>
    <t>26/4/2023</t>
  </si>
  <si>
    <t>1305</t>
  </si>
  <si>
    <t>فادى فواد فهيم</t>
  </si>
  <si>
    <t>01222177563</t>
  </si>
  <si>
    <t>اوبل كروس لاند 2021</t>
  </si>
  <si>
    <t>00901950971-</t>
  </si>
  <si>
    <t>مجدى عبد المقصود محمد نوح-</t>
  </si>
  <si>
    <t>00901646615</t>
  </si>
  <si>
    <t>كارولين امازيس ماهر يسرى</t>
  </si>
  <si>
    <t>00902026466-</t>
  </si>
  <si>
    <t>عماد ابراهيم على عفانه-</t>
  </si>
  <si>
    <t>1391-</t>
  </si>
  <si>
    <t>سامح واصف صليب مرقص</t>
  </si>
  <si>
    <t>0120366601</t>
  </si>
  <si>
    <t>هيونداى النترا 2018</t>
  </si>
  <si>
    <t>00901801187</t>
  </si>
  <si>
    <t>00901900453</t>
  </si>
  <si>
    <t>محمد طه حسن ابو العلا</t>
  </si>
  <si>
    <t>01020136000</t>
  </si>
  <si>
    <t>00901800349</t>
  </si>
  <si>
    <t>عماد محمد مختار حسين</t>
  </si>
  <si>
    <t>01111442140</t>
  </si>
  <si>
    <t xml:space="preserve">00901673757 </t>
  </si>
  <si>
    <t>شاديه على شحاته عيسى</t>
  </si>
  <si>
    <t>01001853975</t>
  </si>
  <si>
    <t>ياسر عبدالحليم حداد شاهين</t>
  </si>
  <si>
    <t>00901701112-</t>
  </si>
  <si>
    <t>احمد محمد محمود عبد العزيز الحفناوى-</t>
  </si>
  <si>
    <t>00901800612</t>
  </si>
  <si>
    <t>مريم محمد احمد سالم البدن-</t>
  </si>
  <si>
    <t>01115777882</t>
  </si>
  <si>
    <t>00901900577</t>
  </si>
  <si>
    <t>مى محمد مصطفى الطير</t>
  </si>
  <si>
    <t>01009222003</t>
  </si>
  <si>
    <t>S008408</t>
  </si>
  <si>
    <t xml:space="preserve">00901774492 </t>
  </si>
  <si>
    <t>بسنت اسامة احمد عوض العايدى</t>
  </si>
  <si>
    <t>00401533345</t>
  </si>
  <si>
    <t>رايده كامل حجار انطون</t>
  </si>
  <si>
    <t>445290</t>
  </si>
  <si>
    <t>على السيد محمود بركات</t>
  </si>
  <si>
    <t>01067508000</t>
  </si>
  <si>
    <t>90401867864</t>
  </si>
  <si>
    <t>19441-</t>
  </si>
  <si>
    <t>14/12/2023</t>
  </si>
  <si>
    <t>رقم الشيك : 61342366 QNB</t>
  </si>
  <si>
    <t>00902001878</t>
  </si>
  <si>
    <t>زينب على ثابت عواد-</t>
  </si>
  <si>
    <t>00901801739</t>
  </si>
  <si>
    <t>رانيا وجدى عبده على بيومى</t>
  </si>
  <si>
    <t>00901580462</t>
  </si>
  <si>
    <t>مصطفى خليل محمد حامد بدر</t>
  </si>
  <si>
    <t>01001245624</t>
  </si>
  <si>
    <t>00902015484-</t>
  </si>
  <si>
    <t>00901838663-</t>
  </si>
  <si>
    <t>حسام الدين وجيه حماد العيسوى-</t>
  </si>
  <si>
    <t>00901825618-</t>
  </si>
  <si>
    <t>نادر فاروق جرجس سعد-</t>
  </si>
  <si>
    <t>00902047063-</t>
  </si>
  <si>
    <t>January</t>
  </si>
  <si>
    <t>00901501804--</t>
  </si>
  <si>
    <t>ايهاب عبدالحليم عبد السلام على</t>
  </si>
  <si>
    <t>22-1 كلمت العميل و دفعته</t>
  </si>
  <si>
    <t>90502012927-</t>
  </si>
  <si>
    <t>Details Contractors - SME</t>
  </si>
  <si>
    <t>February</t>
  </si>
  <si>
    <t>4-2 تم السداد</t>
  </si>
  <si>
    <t>90500012242--</t>
  </si>
  <si>
    <t>20/02/2024</t>
  </si>
  <si>
    <t>Q3-442381-</t>
  </si>
  <si>
    <t>523883-</t>
  </si>
  <si>
    <t>479623-</t>
  </si>
  <si>
    <t>Your request has been logged with request id ##RE-100007673##</t>
  </si>
  <si>
    <t>90500012242---</t>
  </si>
  <si>
    <t>20/05/2024</t>
  </si>
  <si>
    <t>Q4-442381-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</si>
</sst>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[$-409]d\-mmm\-yy"/>
    <numFmt numFmtId="165" formatCode="_(* #,##0.00_);_(* \(#,##0.00\);_(* &quot;-&quot;??_);_(@_)"/>
    <numFmt numFmtId="166" formatCode="0.0"/>
    <numFmt numFmtId="167" formatCode="_(* #,##0_);_(* \(#,##0\);_(* &quot;-&quot;??_);_(@_)"/>
    <numFmt numFmtId="168" formatCode="d\-mm"/>
    <numFmt numFmtId="169" formatCode="0.000%"/>
    <numFmt numFmtId="170" formatCode="[$-409]d\-mmm"/>
    <numFmt numFmtId="171" formatCode="00000000000"/>
    <numFmt numFmtId="172" formatCode="0.0%"/>
  </numFmts>
  <fonts count="14">
    <font>
      <sz val="11.0"/>
      <color theme="1"/>
      <name val="Calibri"/>
      <scheme val="minor"/>
    </font>
    <font>
      <b/>
      <sz val="14.0"/>
      <color rgb="FFFF0066"/>
      <name val="Caladea"/>
    </font>
    <font>
      <b/>
      <sz val="14.0"/>
      <color rgb="FFFF0000"/>
      <name val="Caladea"/>
    </font>
    <font>
      <sz val="14.0"/>
      <color rgb="FFFF0066"/>
      <name val="Calibri"/>
    </font>
    <font>
      <b/>
      <sz val="14.0"/>
      <color theme="1"/>
      <name val="Calibri"/>
    </font>
    <font>
      <b/>
      <sz val="14.0"/>
      <color rgb="FFFF0000"/>
      <name val="Calibri"/>
    </font>
    <font>
      <b/>
      <sz val="14.0"/>
      <color rgb="FF8496B0"/>
      <name val="Calibri"/>
    </font>
    <font>
      <sz val="14.0"/>
      <color theme="1"/>
      <name val="Calibri"/>
    </font>
    <font>
      <b/>
      <sz val="14.0"/>
      <color rgb="FFBF9000"/>
      <name val="Calibri"/>
    </font>
    <font>
      <b/>
      <sz val="14.0"/>
      <color rgb="FF252525"/>
      <name val="Cairo"/>
    </font>
    <font>
      <b/>
      <sz val="14.0"/>
      <color rgb="FF44546A"/>
      <name val="Calibri"/>
    </font>
    <font>
      <b/>
      <sz val="14.0"/>
      <color rgb="FF0070C0"/>
      <name val="Calibri"/>
    </font>
    <font>
      <sz val="14.0"/>
      <color rgb="FF000000"/>
      <name val="Calibri"/>
    </font>
    <font>
      <b/>
      <sz val="14.0"/>
      <color theme="1"/>
      <name val="Caladea"/>
    </font>
  </fonts>
  <fills count="22">
    <fill>
      <patternFill patternType="none"/>
    </fill>
    <fill>
      <patternFill patternType="lightGray"/>
    </fill>
    <fill>
      <patternFill patternType="solid">
        <fgColor rgb="FF351C86"/>
        <bgColor rgb="FF351C86"/>
      </patternFill>
    </fill>
    <fill>
      <patternFill patternType="solid">
        <fgColor rgb="FFEF1185"/>
        <bgColor rgb="FFEF1185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rgb="FFD6DCE4"/>
        <bgColor rgb="FFD6DCE4"/>
      </patternFill>
    </fill>
    <fill>
      <patternFill patternType="solid">
        <fgColor rgb="FFC55A11"/>
        <bgColor rgb="FFC55A11"/>
      </patternFill>
    </fill>
    <fill>
      <patternFill patternType="solid">
        <fgColor rgb="FFD0CECE"/>
        <bgColor rgb="FFD0CECE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ADB9CA"/>
        <bgColor rgb="FFADB9CA"/>
      </patternFill>
    </fill>
    <fill>
      <patternFill patternType="solid">
        <fgColor theme="9"/>
        <bgColor theme="9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8496B0"/>
        <bgColor rgb="FF8496B0"/>
      </patternFill>
    </fill>
    <fill>
      <patternFill patternType="solid">
        <fgColor rgb="FFBDD6EE"/>
        <bgColor rgb="FFBDD6EE"/>
      </patternFill>
    </fill>
  </fills>
  <borders count="34">
    <border/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/>
      <right style="thin">
        <color theme="0"/>
      </right>
      <top style="thin">
        <color rgb="FF000000"/>
      </top>
      <bottom style="thin">
        <color rgb="FF000000"/>
      </bottom>
    </border>
    <border>
      <left/>
      <right style="thin">
        <color theme="0"/>
      </right>
      <top/>
      <bottom/>
    </border>
    <border>
      <left style="thin">
        <color theme="0"/>
      </left>
      <right style="thin">
        <color theme="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theme="0"/>
      </bottom>
    </border>
    <border>
      <left/>
      <right style="thin">
        <color theme="0"/>
      </right>
      <top style="double">
        <color rgb="FF000000"/>
      </top>
      <bottom style="double">
        <color rgb="FF000000"/>
      </bottom>
    </border>
    <border>
      <left style="thin">
        <color theme="0"/>
      </left>
      <right style="thin">
        <color theme="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/>
      <right/>
      <top/>
      <bottom/>
    </border>
    <border>
      <left style="thin">
        <color rgb="FF548135"/>
      </left>
      <right/>
      <top style="thin">
        <color rgb="FF548135"/>
      </top>
      <bottom/>
    </border>
    <border>
      <left/>
      <right style="thin">
        <color rgb="FF548135"/>
      </right>
      <top style="thin">
        <color rgb="FF548135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0" fillId="2" fontId="2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2" fontId="2" numFmtId="9" xfId="0" applyAlignment="1" applyBorder="1" applyFont="1" applyNumberFormat="1">
      <alignment horizontal="center" shrinkToFit="0" vertical="center" wrapText="1"/>
    </xf>
    <xf borderId="3" fillId="2" fontId="2" numFmtId="10" xfId="0" applyAlignment="1" applyBorder="1" applyFont="1" applyNumberFormat="1">
      <alignment horizontal="center" shrinkToFit="0" vertical="center" wrapText="1"/>
    </xf>
    <xf borderId="3" fillId="2" fontId="2" numFmtId="10" xfId="0" applyAlignment="1" applyBorder="1" applyFont="1" applyNumberFormat="1">
      <alignment horizontal="center" readingOrder="0" shrinkToFit="0" vertical="center" wrapText="1"/>
    </xf>
    <xf borderId="12" fillId="2" fontId="1" numFmtId="4" xfId="0" applyAlignment="1" applyBorder="1" applyFont="1" applyNumberFormat="1">
      <alignment horizontal="center" shrinkToFit="0" vertical="center" wrapText="1"/>
    </xf>
    <xf borderId="3" fillId="2" fontId="2" numFmtId="4" xfId="0" applyAlignment="1" applyBorder="1" applyFont="1" applyNumberFormat="1">
      <alignment horizontal="center" shrinkToFit="0" vertical="center" wrapText="1"/>
    </xf>
    <xf borderId="13" fillId="2" fontId="1" numFmtId="0" xfId="0" applyAlignment="1" applyBorder="1" applyFont="1">
      <alignment horizontal="center" readingOrder="0" shrinkToFit="0" vertical="center" wrapText="1"/>
    </xf>
    <xf borderId="14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vertical="center"/>
    </xf>
    <xf borderId="8" fillId="2" fontId="3" numFmtId="49" xfId="0" applyBorder="1" applyFont="1" applyNumberFormat="1"/>
    <xf borderId="9" fillId="0" fontId="4" numFmtId="0" xfId="0" applyAlignment="1" applyBorder="1" applyFont="1">
      <alignment horizontal="left" vertical="center"/>
    </xf>
    <xf borderId="9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left" readingOrder="0" vertical="center"/>
    </xf>
    <xf borderId="9" fillId="0" fontId="4" numFmtId="14" xfId="0" applyAlignment="1" applyBorder="1" applyFont="1" applyNumberFormat="1">
      <alignment horizontal="center" vertical="center"/>
    </xf>
    <xf borderId="9" fillId="0" fontId="4" numFmtId="164" xfId="0" applyAlignment="1" applyBorder="1" applyFont="1" applyNumberFormat="1">
      <alignment horizontal="center" vertical="center"/>
    </xf>
    <xf borderId="9" fillId="0" fontId="4" numFmtId="49" xfId="0" applyBorder="1" applyFont="1" applyNumberFormat="1"/>
    <xf borderId="15" fillId="0" fontId="4" numFmtId="0" xfId="0" applyAlignment="1" applyBorder="1" applyFont="1">
      <alignment horizontal="left" vertical="center"/>
    </xf>
    <xf borderId="16" fillId="0" fontId="4" numFmtId="165" xfId="0" applyAlignment="1" applyBorder="1" applyFont="1" applyNumberFormat="1">
      <alignment horizontal="center" vertical="center"/>
    </xf>
    <xf borderId="9" fillId="0" fontId="4" numFmtId="165" xfId="0" applyAlignment="1" applyBorder="1" applyFont="1" applyNumberFormat="1">
      <alignment horizontal="center" vertical="center"/>
    </xf>
    <xf borderId="17" fillId="0" fontId="4" numFmtId="0" xfId="0" applyAlignment="1" applyBorder="1" applyFont="1">
      <alignment horizontal="left" vertical="center"/>
    </xf>
    <xf borderId="17" fillId="0" fontId="4" numFmtId="164" xfId="0" applyAlignment="1" applyBorder="1" applyFont="1" applyNumberFormat="1">
      <alignment horizontal="center" vertical="center"/>
    </xf>
    <xf borderId="17" fillId="0" fontId="4" numFmtId="49" xfId="0" applyAlignment="1" applyBorder="1" applyFont="1" applyNumberFormat="1">
      <alignment horizontal="center" vertical="center"/>
    </xf>
    <xf borderId="18" fillId="0" fontId="4" numFmtId="3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horizontal="right" vertical="center"/>
    </xf>
    <xf borderId="9" fillId="0" fontId="4" numFmtId="10" xfId="0" applyAlignment="1" applyBorder="1" applyFont="1" applyNumberFormat="1">
      <alignment horizontal="center" vertical="center"/>
    </xf>
    <xf borderId="19" fillId="3" fontId="4" numFmtId="0" xfId="0" applyAlignment="1" applyBorder="1" applyFill="1" applyFont="1">
      <alignment horizontal="center" vertical="center"/>
    </xf>
    <xf borderId="9" fillId="3" fontId="4" numFmtId="0" xfId="0" applyAlignment="1" applyBorder="1" applyFont="1">
      <alignment horizontal="center" vertical="center"/>
    </xf>
    <xf borderId="9" fillId="0" fontId="4" numFmtId="4" xfId="0" applyAlignment="1" applyBorder="1" applyFont="1" applyNumberFormat="1">
      <alignment horizontal="center" vertical="center"/>
    </xf>
    <xf borderId="17" fillId="0" fontId="4" numFmtId="0" xfId="0" applyAlignment="1" applyBorder="1" applyFont="1">
      <alignment horizontal="center" vertical="center"/>
    </xf>
    <xf borderId="17" fillId="0" fontId="4" numFmtId="49" xfId="0" applyAlignment="1" applyBorder="1" applyFont="1" applyNumberFormat="1">
      <alignment horizontal="left" vertical="center"/>
    </xf>
    <xf borderId="17" fillId="0" fontId="4" numFmtId="2" xfId="0" applyAlignment="1" applyBorder="1" applyFont="1" applyNumberFormat="1">
      <alignment horizontal="center" vertical="center"/>
    </xf>
    <xf borderId="9" fillId="0" fontId="4" numFmtId="0" xfId="0" applyBorder="1" applyFont="1"/>
    <xf borderId="17" fillId="0" fontId="4" numFmtId="4" xfId="0" applyAlignment="1" applyBorder="1" applyFont="1" applyNumberFormat="1">
      <alignment horizontal="center" vertical="center"/>
    </xf>
    <xf borderId="17" fillId="0" fontId="5" numFmtId="4" xfId="0" applyAlignment="1" applyBorder="1" applyFont="1" applyNumberFormat="1">
      <alignment horizontal="center" vertical="center"/>
    </xf>
    <xf borderId="9" fillId="0" fontId="6" numFmtId="4" xfId="0" applyAlignment="1" applyBorder="1" applyFont="1" applyNumberFormat="1">
      <alignment horizontal="center" vertical="center"/>
    </xf>
    <xf borderId="20" fillId="0" fontId="7" numFmtId="0" xfId="0" applyAlignment="1" applyBorder="1" applyFont="1">
      <alignment horizontal="center" vertical="center"/>
    </xf>
    <xf borderId="21" fillId="0" fontId="7" numFmtId="0" xfId="0" applyAlignment="1" applyBorder="1" applyFont="1">
      <alignment horizontal="center" vertical="center"/>
    </xf>
    <xf borderId="22" fillId="0" fontId="4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left" readingOrder="0" vertical="center"/>
    </xf>
    <xf borderId="9" fillId="0" fontId="4" numFmtId="9" xfId="0" applyAlignment="1" applyBorder="1" applyFont="1" applyNumberFormat="1">
      <alignment horizontal="center" vertical="center"/>
    </xf>
    <xf borderId="9" fillId="0" fontId="7" numFmtId="0" xfId="0" applyBorder="1" applyFont="1"/>
    <xf borderId="9" fillId="0" fontId="4" numFmtId="14" xfId="0" applyBorder="1" applyFont="1" applyNumberFormat="1"/>
    <xf borderId="22" fillId="0" fontId="4" numFmtId="0" xfId="0" applyAlignment="1" applyBorder="1" applyFont="1">
      <alignment horizontal="center" readingOrder="0" vertical="center"/>
    </xf>
    <xf borderId="9" fillId="4" fontId="4" numFmtId="0" xfId="0" applyAlignment="1" applyBorder="1" applyFill="1" applyFont="1">
      <alignment horizontal="center" vertical="center"/>
    </xf>
    <xf borderId="9" fillId="0" fontId="7" numFmtId="0" xfId="0" applyAlignment="1" applyBorder="1" applyFont="1">
      <alignment vertical="center"/>
    </xf>
    <xf borderId="9" fillId="0" fontId="8" numFmtId="14" xfId="0" applyAlignment="1" applyBorder="1" applyFont="1" applyNumberFormat="1">
      <alignment horizontal="center" vertical="center"/>
    </xf>
    <xf borderId="9" fillId="0" fontId="5" numFmtId="14" xfId="0" applyAlignment="1" applyBorder="1" applyFont="1" applyNumberFormat="1">
      <alignment horizontal="center" vertical="center"/>
    </xf>
    <xf borderId="9" fillId="0" fontId="4" numFmtId="49" xfId="0" applyAlignment="1" applyBorder="1" applyFont="1" applyNumberFormat="1">
      <alignment horizontal="left" vertical="center"/>
    </xf>
    <xf borderId="9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left" readingOrder="0" vertical="center"/>
    </xf>
    <xf borderId="0" fillId="0" fontId="4" numFmtId="165" xfId="0" applyAlignment="1" applyFont="1" applyNumberFormat="1">
      <alignment horizontal="center" vertical="center"/>
    </xf>
    <xf borderId="9" fillId="5" fontId="4" numFmtId="0" xfId="0" applyAlignment="1" applyBorder="1" applyFill="1" applyFont="1">
      <alignment horizontal="center" vertical="center"/>
    </xf>
    <xf borderId="17" fillId="0" fontId="4" numFmtId="0" xfId="0" applyBorder="1" applyFont="1"/>
    <xf borderId="15" fillId="0" fontId="4" numFmtId="14" xfId="0" applyAlignment="1" applyBorder="1" applyFont="1" applyNumberFormat="1">
      <alignment horizontal="left" vertical="center"/>
    </xf>
    <xf borderId="17" fillId="0" fontId="4" numFmtId="165" xfId="0" applyAlignment="1" applyBorder="1" applyFont="1" applyNumberFormat="1">
      <alignment horizontal="center" vertical="center"/>
    </xf>
    <xf borderId="9" fillId="0" fontId="4" numFmtId="16" xfId="0" applyBorder="1" applyFont="1" applyNumberFormat="1"/>
    <xf borderId="9" fillId="6" fontId="4" numFmtId="0" xfId="0" applyAlignment="1" applyBorder="1" applyFill="1" applyFont="1">
      <alignment horizontal="center" vertical="center"/>
    </xf>
    <xf borderId="23" fillId="0" fontId="4" numFmtId="0" xfId="0" applyAlignment="1" applyBorder="1" applyFont="1">
      <alignment horizontal="left" vertical="center"/>
    </xf>
    <xf borderId="18" fillId="0" fontId="4" numFmtId="49" xfId="0" applyAlignment="1" applyBorder="1" applyFont="1" applyNumberFormat="1">
      <alignment horizontal="center" vertical="center"/>
    </xf>
    <xf borderId="17" fillId="0" fontId="4" numFmtId="14" xfId="0" applyAlignment="1" applyBorder="1" applyFont="1" applyNumberFormat="1">
      <alignment horizontal="center" vertical="center"/>
    </xf>
    <xf borderId="9" fillId="0" fontId="4" numFmtId="2" xfId="0" applyAlignment="1" applyBorder="1" applyFont="1" applyNumberFormat="1">
      <alignment horizontal="center" vertical="center"/>
    </xf>
    <xf borderId="9" fillId="7" fontId="4" numFmtId="0" xfId="0" applyAlignment="1" applyBorder="1" applyFill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right" readingOrder="0" vertical="center"/>
    </xf>
    <xf borderId="9" fillId="0" fontId="4" numFmtId="49" xfId="0" applyAlignment="1" applyBorder="1" applyFont="1" applyNumberFormat="1">
      <alignment horizontal="center" vertical="center"/>
    </xf>
    <xf borderId="9" fillId="7" fontId="4" numFmtId="10" xfId="0" applyAlignment="1" applyBorder="1" applyFont="1" applyNumberFormat="1">
      <alignment horizontal="center" vertical="center"/>
    </xf>
    <xf borderId="9" fillId="0" fontId="5" numFmtId="165" xfId="0" applyAlignment="1" applyBorder="1" applyFont="1" applyNumberFormat="1">
      <alignment horizontal="center" vertical="center"/>
    </xf>
    <xf borderId="16" fillId="0" fontId="9" numFmtId="165" xfId="0" applyBorder="1" applyFont="1" applyNumberFormat="1"/>
    <xf borderId="9" fillId="7" fontId="4" numFmtId="4" xfId="0" applyAlignment="1" applyBorder="1" applyFont="1" applyNumberFormat="1">
      <alignment horizontal="center" vertical="center"/>
    </xf>
    <xf borderId="9" fillId="7" fontId="4" numFmtId="165" xfId="0" applyAlignment="1" applyBorder="1" applyFont="1" applyNumberFormat="1">
      <alignment horizontal="center" vertical="center"/>
    </xf>
    <xf borderId="9" fillId="0" fontId="4" numFmtId="3" xfId="0" applyAlignment="1" applyBorder="1" applyFont="1" applyNumberFormat="1">
      <alignment horizontal="center" vertical="center"/>
    </xf>
    <xf borderId="9" fillId="0" fontId="4" numFmtId="14" xfId="0" applyAlignment="1" applyBorder="1" applyFont="1" applyNumberFormat="1">
      <alignment vertical="center"/>
    </xf>
    <xf borderId="9" fillId="0" fontId="4" numFmtId="49" xfId="0" applyAlignment="1" applyBorder="1" applyFont="1" applyNumberFormat="1">
      <alignment readingOrder="0"/>
    </xf>
    <xf borderId="15" fillId="0" fontId="4" numFmtId="16" xfId="0" applyAlignment="1" applyBorder="1" applyFont="1" applyNumberFormat="1">
      <alignment horizontal="left" vertical="center"/>
    </xf>
    <xf borderId="9" fillId="0" fontId="5" numFmtId="0" xfId="0" applyAlignment="1" applyBorder="1" applyFont="1">
      <alignment horizontal="center" vertical="center"/>
    </xf>
    <xf borderId="17" fillId="0" fontId="4" numFmtId="49" xfId="0" applyAlignment="1" applyBorder="1" applyFont="1" applyNumberFormat="1">
      <alignment horizontal="center" readingOrder="0" vertical="center"/>
    </xf>
    <xf borderId="9" fillId="0" fontId="7" numFmtId="14" xfId="0" applyAlignment="1" applyBorder="1" applyFont="1" applyNumberFormat="1">
      <alignment horizontal="center"/>
    </xf>
    <xf borderId="9" fillId="8" fontId="4" numFmtId="49" xfId="0" applyAlignment="1" applyBorder="1" applyFill="1" applyFont="1" applyNumberFormat="1">
      <alignment horizontal="left" vertical="center"/>
    </xf>
    <xf borderId="9" fillId="0" fontId="7" numFmtId="14" xfId="0" applyAlignment="1" applyBorder="1" applyFont="1" applyNumberFormat="1">
      <alignment vertical="center"/>
    </xf>
    <xf borderId="17" fillId="0" fontId="4" numFmtId="2" xfId="0" applyBorder="1" applyFont="1" applyNumberFormat="1"/>
    <xf borderId="9" fillId="0" fontId="4" numFmtId="2" xfId="0" applyBorder="1" applyFont="1" applyNumberFormat="1"/>
    <xf borderId="9" fillId="0" fontId="5" numFmtId="9" xfId="0" applyAlignment="1" applyBorder="1" applyFont="1" applyNumberFormat="1">
      <alignment horizontal="center" vertical="center"/>
    </xf>
    <xf borderId="17" fillId="0" fontId="5" numFmtId="14" xfId="0" applyAlignment="1" applyBorder="1" applyFont="1" applyNumberFormat="1">
      <alignment horizontal="center" vertical="center"/>
    </xf>
    <xf borderId="9" fillId="9" fontId="4" numFmtId="0" xfId="0" applyAlignment="1" applyBorder="1" applyFill="1" applyFont="1">
      <alignment horizontal="center" vertical="center"/>
    </xf>
    <xf borderId="9" fillId="7" fontId="4" numFmtId="0" xfId="0" applyAlignment="1" applyBorder="1" applyFont="1">
      <alignment horizontal="center" readingOrder="0" vertical="center"/>
    </xf>
    <xf borderId="24" fillId="7" fontId="4" numFmtId="3" xfId="0" applyAlignment="1" applyBorder="1" applyFont="1" applyNumberFormat="1">
      <alignment horizontal="center" vertical="center"/>
    </xf>
    <xf borderId="23" fillId="0" fontId="4" numFmtId="14" xfId="0" applyAlignment="1" applyBorder="1" applyFont="1" applyNumberFormat="1">
      <alignment horizontal="left" vertical="center"/>
    </xf>
    <xf borderId="9" fillId="0" fontId="5" numFmtId="4" xfId="0" applyAlignment="1" applyBorder="1" applyFont="1" applyNumberFormat="1">
      <alignment horizontal="center" vertical="center"/>
    </xf>
    <xf borderId="17" fillId="0" fontId="7" numFmtId="0" xfId="0" applyBorder="1" applyFont="1"/>
    <xf borderId="9" fillId="0" fontId="8" numFmtId="0" xfId="0" applyAlignment="1" applyBorder="1" applyFont="1">
      <alignment horizontal="center" vertical="center"/>
    </xf>
    <xf borderId="19" fillId="8" fontId="4" numFmtId="4" xfId="0" applyAlignment="1" applyBorder="1" applyFont="1" applyNumberFormat="1">
      <alignment horizontal="center" vertical="center"/>
    </xf>
    <xf borderId="9" fillId="10" fontId="4" numFmtId="4" xfId="0" applyAlignment="1" applyBorder="1" applyFill="1" applyFont="1" applyNumberFormat="1">
      <alignment horizontal="center" vertical="center"/>
    </xf>
    <xf borderId="25" fillId="7" fontId="4" numFmtId="165" xfId="0" applyAlignment="1" applyBorder="1" applyFont="1" applyNumberFormat="1">
      <alignment horizontal="center" vertical="center"/>
    </xf>
    <xf borderId="19" fillId="3" fontId="4" numFmtId="165" xfId="0" applyAlignment="1" applyBorder="1" applyFont="1" applyNumberFormat="1">
      <alignment horizontal="center" vertical="center"/>
    </xf>
    <xf borderId="9" fillId="3" fontId="6" numFmtId="0" xfId="0" applyAlignment="1" applyBorder="1" applyFont="1">
      <alignment horizontal="center" readingOrder="0" vertical="center"/>
    </xf>
    <xf borderId="17" fillId="0" fontId="4" numFmtId="166" xfId="0" applyAlignment="1" applyBorder="1" applyFont="1" applyNumberFormat="1">
      <alignment horizontal="center" vertical="center"/>
    </xf>
    <xf borderId="0" fillId="0" fontId="7" numFmtId="0" xfId="0" applyFont="1"/>
    <xf borderId="9" fillId="7" fontId="6" numFmtId="4" xfId="0" applyAlignment="1" applyBorder="1" applyFont="1" applyNumberFormat="1">
      <alignment horizontal="center" vertical="center"/>
    </xf>
    <xf borderId="19" fillId="11" fontId="4" numFmtId="14" xfId="0" applyBorder="1" applyFill="1" applyFont="1" applyNumberFormat="1"/>
    <xf borderId="19" fillId="8" fontId="4" numFmtId="49" xfId="0" applyAlignment="1" applyBorder="1" applyFont="1" applyNumberFormat="1">
      <alignment horizontal="left" vertical="center"/>
    </xf>
    <xf borderId="9" fillId="5" fontId="4" numFmtId="165" xfId="0" applyAlignment="1" applyBorder="1" applyFont="1" applyNumberFormat="1">
      <alignment horizontal="center" vertical="center"/>
    </xf>
    <xf borderId="9" fillId="12" fontId="4" numFmtId="14" xfId="0" applyAlignment="1" applyBorder="1" applyFill="1" applyFont="1" applyNumberFormat="1">
      <alignment horizontal="center" vertical="center"/>
    </xf>
    <xf borderId="15" fillId="0" fontId="4" numFmtId="15" xfId="0" applyAlignment="1" applyBorder="1" applyFont="1" applyNumberFormat="1">
      <alignment horizontal="left" vertical="center"/>
    </xf>
    <xf borderId="19" fillId="8" fontId="4" numFmtId="166" xfId="0" applyAlignment="1" applyBorder="1" applyFont="1" applyNumberFormat="1">
      <alignment horizontal="center" vertical="center"/>
    </xf>
    <xf borderId="19" fillId="8" fontId="4" numFmtId="14" xfId="0" applyAlignment="1" applyBorder="1" applyFont="1" applyNumberFormat="1">
      <alignment horizontal="left" vertical="center"/>
    </xf>
    <xf borderId="9" fillId="8" fontId="4" numFmtId="0" xfId="0" applyAlignment="1" applyBorder="1" applyFont="1">
      <alignment horizontal="center" vertical="center"/>
    </xf>
    <xf borderId="9" fillId="8" fontId="4" numFmtId="14" xfId="0" applyAlignment="1" applyBorder="1" applyFont="1" applyNumberFormat="1">
      <alignment horizontal="left" vertical="center"/>
    </xf>
    <xf borderId="9" fillId="0" fontId="4" numFmtId="0" xfId="0" applyAlignment="1" applyBorder="1" applyFont="1">
      <alignment horizontal="left"/>
    </xf>
    <xf borderId="16" fillId="0" fontId="4" numFmtId="0" xfId="0" applyAlignment="1" applyBorder="1" applyFont="1">
      <alignment horizontal="center" vertical="center"/>
    </xf>
    <xf borderId="19" fillId="8" fontId="4" numFmtId="0" xfId="0" applyAlignment="1" applyBorder="1" applyFont="1">
      <alignment horizontal="left" vertical="center"/>
    </xf>
    <xf borderId="16" fillId="0" fontId="4" numFmtId="165" xfId="0" applyBorder="1" applyFont="1" applyNumberFormat="1"/>
    <xf borderId="9" fillId="0" fontId="4" numFmtId="165" xfId="0" applyBorder="1" applyFont="1" applyNumberFormat="1"/>
    <xf borderId="26" fillId="0" fontId="4" numFmtId="3" xfId="0" applyAlignment="1" applyBorder="1" applyFont="1" applyNumberFormat="1">
      <alignment horizontal="center" vertical="center"/>
    </xf>
    <xf borderId="17" fillId="0" fontId="4" numFmtId="0" xfId="0" applyAlignment="1" applyBorder="1" applyFont="1">
      <alignment horizontal="right" vertical="center"/>
    </xf>
    <xf borderId="17" fillId="0" fontId="4" numFmtId="16" xfId="0" applyBorder="1" applyFont="1" applyNumberFormat="1"/>
    <xf borderId="9" fillId="0" fontId="4" numFmtId="167" xfId="0" applyAlignment="1" applyBorder="1" applyFont="1" applyNumberFormat="1">
      <alignment vertical="center"/>
    </xf>
    <xf borderId="19" fillId="8" fontId="4" numFmtId="168" xfId="0" applyAlignment="1" applyBorder="1" applyFont="1" applyNumberFormat="1">
      <alignment horizontal="left" vertical="center"/>
    </xf>
    <xf borderId="19" fillId="7" fontId="4" numFmtId="4" xfId="0" applyAlignment="1" applyBorder="1" applyFont="1" applyNumberFormat="1">
      <alignment horizontal="center" vertical="center"/>
    </xf>
    <xf borderId="19" fillId="8" fontId="10" numFmtId="4" xfId="0" applyAlignment="1" applyBorder="1" applyFont="1" applyNumberFormat="1">
      <alignment horizontal="center" vertical="center"/>
    </xf>
    <xf borderId="19" fillId="13" fontId="4" numFmtId="2" xfId="0" applyAlignment="1" applyBorder="1" applyFill="1" applyFont="1" applyNumberFormat="1">
      <alignment horizontal="center" vertical="center"/>
    </xf>
    <xf borderId="9" fillId="0" fontId="4" numFmtId="14" xfId="0" applyAlignment="1" applyBorder="1" applyFont="1" applyNumberFormat="1">
      <alignment horizontal="left" vertical="center"/>
    </xf>
    <xf borderId="9" fillId="0" fontId="7" numFmtId="0" xfId="0" applyAlignment="1" applyBorder="1" applyFont="1">
      <alignment horizontal="center"/>
    </xf>
    <xf borderId="19" fillId="8" fontId="4" numFmtId="0" xfId="0" applyAlignment="1" applyBorder="1" applyFont="1">
      <alignment horizontal="center" vertical="center"/>
    </xf>
    <xf borderId="17" fillId="0" fontId="4" numFmtId="168" xfId="0" applyAlignment="1" applyBorder="1" applyFont="1" applyNumberFormat="1">
      <alignment horizontal="left" vertical="center"/>
    </xf>
    <xf borderId="19" fillId="12" fontId="4" numFmtId="2" xfId="0" applyAlignment="1" applyBorder="1" applyFont="1" applyNumberFormat="1">
      <alignment horizontal="center" vertical="center"/>
    </xf>
    <xf borderId="27" fillId="5" fontId="4" numFmtId="165" xfId="0" applyAlignment="1" applyBorder="1" applyFont="1" applyNumberFormat="1">
      <alignment horizontal="center" vertical="center"/>
    </xf>
    <xf borderId="19" fillId="7" fontId="4" numFmtId="0" xfId="0" applyBorder="1" applyFont="1"/>
    <xf borderId="9" fillId="0" fontId="5" numFmtId="0" xfId="0" applyAlignment="1" applyBorder="1" applyFont="1">
      <alignment horizontal="center" readingOrder="0" vertical="center"/>
    </xf>
    <xf borderId="9" fillId="14" fontId="5" numFmtId="0" xfId="0" applyAlignment="1" applyBorder="1" applyFill="1" applyFont="1">
      <alignment horizontal="center" vertical="center"/>
    </xf>
    <xf borderId="9" fillId="0" fontId="5" numFmtId="10" xfId="0" applyAlignment="1" applyBorder="1" applyFont="1" applyNumberFormat="1">
      <alignment horizontal="center" vertical="center"/>
    </xf>
    <xf borderId="17" fillId="0" fontId="4" numFmtId="14" xfId="0" applyAlignment="1" applyBorder="1" applyFont="1" applyNumberFormat="1">
      <alignment horizontal="left" vertical="center"/>
    </xf>
    <xf borderId="9" fillId="15" fontId="4" numFmtId="14" xfId="0" applyAlignment="1" applyBorder="1" applyFill="1" applyFont="1" applyNumberFormat="1">
      <alignment horizontal="center" vertical="center"/>
    </xf>
    <xf borderId="9" fillId="8" fontId="4" numFmtId="4" xfId="0" applyAlignment="1" applyBorder="1" applyFont="1" applyNumberFormat="1">
      <alignment horizontal="center" vertical="center"/>
    </xf>
    <xf borderId="19" fillId="10" fontId="4" numFmtId="2" xfId="0" applyAlignment="1" applyBorder="1" applyFont="1" applyNumberFormat="1">
      <alignment horizontal="center" vertical="center"/>
    </xf>
    <xf borderId="9" fillId="8" fontId="5" numFmtId="4" xfId="0" applyAlignment="1" applyBorder="1" applyFont="1" applyNumberFormat="1">
      <alignment horizontal="center" vertical="center"/>
    </xf>
    <xf borderId="9" fillId="0" fontId="4" numFmtId="169" xfId="0" applyAlignment="1" applyBorder="1" applyFont="1" applyNumberFormat="1">
      <alignment horizontal="center" vertical="center"/>
    </xf>
    <xf borderId="17" fillId="0" fontId="5" numFmtId="2" xfId="0" applyAlignment="1" applyBorder="1" applyFont="1" applyNumberFormat="1">
      <alignment horizontal="center" vertical="center"/>
    </xf>
    <xf borderId="25" fillId="13" fontId="4" numFmtId="165" xfId="0" applyAlignment="1" applyBorder="1" applyFont="1" applyNumberFormat="1">
      <alignment horizontal="center" vertical="center"/>
    </xf>
    <xf borderId="9" fillId="13" fontId="4" numFmtId="165" xfId="0" applyAlignment="1" applyBorder="1" applyFont="1" applyNumberFormat="1">
      <alignment horizontal="center" vertical="center"/>
    </xf>
    <xf borderId="9" fillId="11" fontId="4" numFmtId="14" xfId="0" applyAlignment="1" applyBorder="1" applyFont="1" applyNumberFormat="1">
      <alignment horizontal="center" vertical="center"/>
    </xf>
    <xf borderId="9" fillId="7" fontId="5" numFmtId="4" xfId="0" applyAlignment="1" applyBorder="1" applyFont="1" applyNumberFormat="1">
      <alignment horizontal="center" vertical="center"/>
    </xf>
    <xf borderId="9" fillId="3" fontId="6" numFmtId="0" xfId="0" applyAlignment="1" applyBorder="1" applyFont="1">
      <alignment horizontal="center" vertical="center"/>
    </xf>
    <xf borderId="28" fillId="0" fontId="4" numFmtId="0" xfId="0" applyAlignment="1" applyBorder="1" applyFont="1">
      <alignment horizontal="center" vertical="center"/>
    </xf>
    <xf borderId="9" fillId="0" fontId="11" numFmtId="4" xfId="0" applyAlignment="1" applyBorder="1" applyFont="1" applyNumberFormat="1">
      <alignment horizontal="center" vertical="center"/>
    </xf>
    <xf borderId="16" fillId="0" fontId="5" numFmtId="165" xfId="0" applyAlignment="1" applyBorder="1" applyFont="1" applyNumberFormat="1">
      <alignment horizontal="center" vertical="center"/>
    </xf>
    <xf borderId="9" fillId="5" fontId="4" numFmtId="4" xfId="0" applyAlignment="1" applyBorder="1" applyFont="1" applyNumberFormat="1">
      <alignment horizontal="center" vertical="center"/>
    </xf>
    <xf borderId="20" fillId="5" fontId="7" numFmtId="0" xfId="0" applyAlignment="1" applyBorder="1" applyFont="1">
      <alignment horizontal="center" vertical="center"/>
    </xf>
    <xf borderId="21" fillId="5" fontId="7" numFmtId="0" xfId="0" applyAlignment="1" applyBorder="1" applyFont="1">
      <alignment horizontal="center" vertical="center"/>
    </xf>
    <xf borderId="19" fillId="7" fontId="4" numFmtId="2" xfId="0" applyAlignment="1" applyBorder="1" applyFont="1" applyNumberFormat="1">
      <alignment horizontal="center" vertical="center"/>
    </xf>
    <xf borderId="9" fillId="11" fontId="4" numFmtId="0" xfId="0" applyAlignment="1" applyBorder="1" applyFont="1">
      <alignment horizontal="center" readingOrder="0" vertical="center"/>
    </xf>
    <xf borderId="9" fillId="7" fontId="4" numFmtId="9" xfId="0" applyAlignment="1" applyBorder="1" applyFont="1" applyNumberFormat="1">
      <alignment horizontal="center" vertical="center"/>
    </xf>
    <xf borderId="29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left" vertical="center"/>
    </xf>
    <xf borderId="18" fillId="0" fontId="4" numFmtId="14" xfId="0" applyAlignment="1" applyBorder="1" applyFont="1" applyNumberFormat="1">
      <alignment horizontal="left" vertical="center"/>
    </xf>
    <xf borderId="9" fillId="0" fontId="4" numFmtId="14" xfId="0" applyAlignment="1" applyBorder="1" applyFont="1" applyNumberFormat="1">
      <alignment horizontal="right" vertical="center"/>
    </xf>
    <xf borderId="9" fillId="0" fontId="4" numFmtId="14" xfId="0" applyAlignment="1" applyBorder="1" applyFont="1" applyNumberFormat="1">
      <alignment horizontal="right" readingOrder="0" vertical="center"/>
    </xf>
    <xf borderId="9" fillId="0" fontId="4" numFmtId="10" xfId="0" applyAlignment="1" applyBorder="1" applyFont="1" applyNumberFormat="1">
      <alignment horizontal="left" vertical="center"/>
    </xf>
    <xf borderId="20" fillId="8" fontId="4" numFmtId="14" xfId="0" applyAlignment="1" applyBorder="1" applyFont="1" applyNumberFormat="1">
      <alignment horizontal="center" vertical="center"/>
    </xf>
    <xf borderId="21" fillId="8" fontId="4" numFmtId="14" xfId="0" applyAlignment="1" applyBorder="1" applyFont="1" applyNumberFormat="1">
      <alignment horizontal="center" vertical="center"/>
    </xf>
    <xf borderId="9" fillId="8" fontId="4" numFmtId="14" xfId="0" applyAlignment="1" applyBorder="1" applyFont="1" applyNumberFormat="1">
      <alignment horizontal="left" readingOrder="0" vertical="center"/>
    </xf>
    <xf borderId="17" fillId="0" fontId="4" numFmtId="14" xfId="0" applyBorder="1" applyFont="1" applyNumberFormat="1"/>
    <xf borderId="9" fillId="0" fontId="8" numFmtId="4" xfId="0" applyAlignment="1" applyBorder="1" applyFont="1" applyNumberFormat="1">
      <alignment horizontal="center" vertical="center"/>
    </xf>
    <xf borderId="17" fillId="0" fontId="7" numFmtId="14" xfId="0" applyAlignment="1" applyBorder="1" applyFont="1" applyNumberFormat="1">
      <alignment horizontal="center"/>
    </xf>
    <xf borderId="9" fillId="11" fontId="4" numFmtId="14" xfId="0" applyBorder="1" applyFont="1" applyNumberFormat="1"/>
    <xf borderId="24" fillId="7" fontId="4" numFmtId="0" xfId="0" applyAlignment="1" applyBorder="1" applyFont="1">
      <alignment horizontal="center" vertical="center"/>
    </xf>
    <xf borderId="9" fillId="15" fontId="4" numFmtId="0" xfId="0" applyAlignment="1" applyBorder="1" applyFont="1">
      <alignment horizontal="center" readingOrder="0" vertical="center"/>
    </xf>
    <xf borderId="9" fillId="0" fontId="4" numFmtId="170" xfId="0" applyAlignment="1" applyBorder="1" applyFont="1" applyNumberFormat="1">
      <alignment horizontal="center" vertical="center"/>
    </xf>
    <xf borderId="15" fillId="7" fontId="5" numFmtId="0" xfId="0" applyAlignment="1" applyBorder="1" applyFont="1">
      <alignment horizontal="left" vertical="center"/>
    </xf>
    <xf borderId="9" fillId="8" fontId="4" numFmtId="168" xfId="0" applyAlignment="1" applyBorder="1" applyFont="1" applyNumberFormat="1">
      <alignment horizontal="left" vertical="center"/>
    </xf>
    <xf borderId="29" fillId="0" fontId="4" numFmtId="0" xfId="0" applyAlignment="1" applyBorder="1" applyFont="1">
      <alignment horizontal="center" readingOrder="0" vertical="center"/>
    </xf>
    <xf borderId="19" fillId="7" fontId="4" numFmtId="0" xfId="0" applyAlignment="1" applyBorder="1" applyFont="1">
      <alignment horizontal="center" vertical="center"/>
    </xf>
    <xf borderId="15" fillId="7" fontId="5" numFmtId="170" xfId="0" applyAlignment="1" applyBorder="1" applyFont="1" applyNumberFormat="1">
      <alignment horizontal="left" vertical="center"/>
    </xf>
    <xf borderId="9" fillId="0" fontId="4" numFmtId="16" xfId="0" applyAlignment="1" applyBorder="1" applyFont="1" applyNumberFormat="1">
      <alignment horizontal="center" vertical="center"/>
    </xf>
    <xf borderId="9" fillId="16" fontId="4" numFmtId="0" xfId="0" applyAlignment="1" applyBorder="1" applyFill="1" applyFont="1">
      <alignment horizontal="center" vertical="center"/>
    </xf>
    <xf borderId="9" fillId="16" fontId="4" numFmtId="4" xfId="0" applyAlignment="1" applyBorder="1" applyFont="1" applyNumberFormat="1">
      <alignment horizontal="center" vertical="center"/>
    </xf>
    <xf borderId="9" fillId="17" fontId="4" numFmtId="0" xfId="0" applyAlignment="1" applyBorder="1" applyFill="1" applyFont="1">
      <alignment horizontal="center" vertical="center"/>
    </xf>
    <xf borderId="15" fillId="7" fontId="5" numFmtId="16" xfId="0" applyAlignment="1" applyBorder="1" applyFont="1" applyNumberFormat="1">
      <alignment horizontal="left" vertical="center"/>
    </xf>
    <xf borderId="30" fillId="0" fontId="4" numFmtId="0" xfId="0" applyAlignment="1" applyBorder="1" applyFont="1">
      <alignment horizontal="center" vertical="center"/>
    </xf>
    <xf borderId="31" fillId="0" fontId="4" numFmtId="0" xfId="0" applyAlignment="1" applyBorder="1" applyFont="1">
      <alignment horizontal="center" readingOrder="0" vertical="center"/>
    </xf>
    <xf borderId="17" fillId="0" fontId="4" numFmtId="0" xfId="0" applyAlignment="1" applyBorder="1" applyFont="1">
      <alignment horizontal="center" readingOrder="0" vertical="center"/>
    </xf>
    <xf borderId="9" fillId="3" fontId="4" numFmtId="16" xfId="0" applyAlignment="1" applyBorder="1" applyFont="1" applyNumberFormat="1">
      <alignment horizontal="center" vertical="center"/>
    </xf>
    <xf borderId="9" fillId="3" fontId="4" numFmtId="0" xfId="0" applyAlignment="1" applyBorder="1" applyFont="1">
      <alignment horizontal="center" readingOrder="0" vertical="center"/>
    </xf>
    <xf borderId="9" fillId="12" fontId="4" numFmtId="0" xfId="0" applyAlignment="1" applyBorder="1" applyFont="1">
      <alignment horizontal="left" readingOrder="0" vertical="center"/>
    </xf>
    <xf borderId="9" fillId="0" fontId="12" numFmtId="14" xfId="0" applyAlignment="1" applyBorder="1" applyFont="1" applyNumberFormat="1">
      <alignment horizontal="center" vertical="center"/>
    </xf>
    <xf borderId="9" fillId="0" fontId="4" numFmtId="14" xfId="0" applyAlignment="1" applyBorder="1" applyFont="1" applyNumberFormat="1">
      <alignment horizontal="center" readingOrder="0" vertical="center"/>
    </xf>
    <xf borderId="9" fillId="18" fontId="4" numFmtId="14" xfId="0" applyAlignment="1" applyBorder="1" applyFill="1" applyFont="1" applyNumberFormat="1">
      <alignment horizontal="center" vertical="center"/>
    </xf>
    <xf borderId="9" fillId="19" fontId="4" numFmtId="2" xfId="0" applyAlignment="1" applyBorder="1" applyFill="1" applyFont="1" applyNumberFormat="1">
      <alignment horizontal="center" vertical="center"/>
    </xf>
    <xf borderId="9" fillId="7" fontId="4" numFmtId="171" xfId="0" applyAlignment="1" applyBorder="1" applyFont="1" applyNumberFormat="1">
      <alignment horizontal="left"/>
    </xf>
    <xf borderId="9" fillId="7" fontId="5" numFmtId="0" xfId="0" applyAlignment="1" applyBorder="1" applyFont="1">
      <alignment horizontal="center" vertical="center"/>
    </xf>
    <xf borderId="9" fillId="4" fontId="4" numFmtId="170" xfId="0" applyAlignment="1" applyBorder="1" applyFont="1" applyNumberFormat="1">
      <alignment horizontal="center" vertical="center"/>
    </xf>
    <xf borderId="22" fillId="0" fontId="4" numFmtId="49" xfId="0" applyAlignment="1" applyBorder="1" applyFont="1" applyNumberFormat="1">
      <alignment horizontal="center" vertical="center"/>
    </xf>
    <xf borderId="15" fillId="0" fontId="4" numFmtId="0" xfId="0" applyAlignment="1" applyBorder="1" applyFont="1">
      <alignment horizontal="left" readingOrder="0" vertical="center"/>
    </xf>
    <xf borderId="9" fillId="12" fontId="4" numFmtId="4" xfId="0" applyAlignment="1" applyBorder="1" applyFont="1" applyNumberFormat="1">
      <alignment horizontal="center" vertical="center"/>
    </xf>
    <xf borderId="9" fillId="12" fontId="4" numFmtId="14" xfId="0" applyAlignment="1" applyBorder="1" applyFont="1" applyNumberFormat="1">
      <alignment horizontal="center" readingOrder="0" vertical="center"/>
    </xf>
    <xf borderId="9" fillId="12" fontId="4" numFmtId="2" xfId="0" applyAlignment="1" applyBorder="1" applyFont="1" applyNumberFormat="1">
      <alignment horizontal="center" vertical="center"/>
    </xf>
    <xf borderId="18" fillId="0" fontId="4" numFmtId="0" xfId="0" applyAlignment="1" applyBorder="1" applyFont="1">
      <alignment horizontal="right" readingOrder="0" vertical="center"/>
    </xf>
    <xf borderId="28" fillId="0" fontId="4" numFmtId="14" xfId="0" applyAlignment="1" applyBorder="1" applyFont="1" applyNumberFormat="1">
      <alignment horizontal="center" vertical="center"/>
    </xf>
    <xf borderId="32" fillId="0" fontId="4" numFmtId="14" xfId="0" applyAlignment="1" applyBorder="1" applyFont="1" applyNumberFormat="1">
      <alignment horizontal="center" vertical="center"/>
    </xf>
    <xf borderId="16" fillId="0" fontId="4" numFmtId="14" xfId="0" applyAlignment="1" applyBorder="1" applyFont="1" applyNumberFormat="1">
      <alignment horizontal="center" vertical="center"/>
    </xf>
    <xf borderId="19" fillId="19" fontId="4" numFmtId="2" xfId="0" applyAlignment="1" applyBorder="1" applyFont="1" applyNumberFormat="1">
      <alignment horizontal="center" vertical="center"/>
    </xf>
    <xf borderId="9" fillId="7" fontId="4" numFmtId="16" xfId="0" applyAlignment="1" applyBorder="1" applyFont="1" applyNumberFormat="1">
      <alignment horizontal="center" vertical="center"/>
    </xf>
    <xf borderId="9" fillId="18" fontId="5" numFmtId="170" xfId="0" applyAlignment="1" applyBorder="1" applyFont="1" applyNumberFormat="1">
      <alignment horizontal="center" vertical="center"/>
    </xf>
    <xf borderId="9" fillId="20" fontId="4" numFmtId="0" xfId="0" applyBorder="1" applyFill="1" applyFont="1"/>
    <xf borderId="18" fillId="0" fontId="4" numFmtId="3" xfId="0" applyAlignment="1" applyBorder="1" applyFont="1" applyNumberFormat="1">
      <alignment horizontal="center" shrinkToFit="0" vertical="center" wrapText="1"/>
    </xf>
    <xf borderId="19" fillId="4" fontId="4" numFmtId="0" xfId="0" applyAlignment="1" applyBorder="1" applyFont="1">
      <alignment horizontal="center" vertical="center"/>
    </xf>
    <xf borderId="19" fillId="7" fontId="5" numFmtId="4" xfId="0" applyAlignment="1" applyBorder="1" applyFont="1" applyNumberFormat="1">
      <alignment horizontal="center" vertical="center"/>
    </xf>
    <xf borderId="9" fillId="0" fontId="13" numFmtId="0" xfId="0" applyAlignment="1" applyBorder="1" applyFont="1">
      <alignment horizontal="center" shrinkToFit="0" vertical="center" wrapText="1"/>
    </xf>
    <xf borderId="15" fillId="3" fontId="4" numFmtId="0" xfId="0" applyAlignment="1" applyBorder="1" applyFont="1">
      <alignment horizontal="left" vertical="center"/>
    </xf>
    <xf borderId="9" fillId="0" fontId="4" numFmtId="3" xfId="0" applyAlignment="1" applyBorder="1" applyFont="1" applyNumberFormat="1">
      <alignment horizontal="right" vertical="center"/>
    </xf>
    <xf borderId="26" fillId="0" fontId="4" numFmtId="0" xfId="0" applyAlignment="1" applyBorder="1" applyFont="1">
      <alignment horizontal="center" vertical="center"/>
    </xf>
    <xf borderId="33" fillId="0" fontId="4" numFmtId="0" xfId="0" applyAlignment="1" applyBorder="1" applyFont="1">
      <alignment horizontal="right" readingOrder="0" vertical="center"/>
    </xf>
    <xf borderId="33" fillId="0" fontId="4" numFmtId="0" xfId="0" applyAlignment="1" applyBorder="1" applyFont="1">
      <alignment horizontal="right" vertical="center"/>
    </xf>
    <xf borderId="19" fillId="7" fontId="4" numFmtId="2" xfId="0" applyBorder="1" applyFont="1" applyNumberFormat="1"/>
    <xf borderId="9" fillId="0" fontId="4" numFmtId="4" xfId="0" applyBorder="1" applyFont="1" applyNumberFormat="1"/>
    <xf borderId="9" fillId="18" fontId="4" numFmtId="170" xfId="0" applyAlignment="1" applyBorder="1" applyFont="1" applyNumberFormat="1">
      <alignment horizontal="center" vertical="center"/>
    </xf>
    <xf borderId="9" fillId="0" fontId="4" numFmtId="49" xfId="0" applyAlignment="1" applyBorder="1" applyFont="1" applyNumberFormat="1">
      <alignment horizontal="left"/>
    </xf>
    <xf borderId="18" fillId="0" fontId="4" numFmtId="0" xfId="0" applyAlignment="1" applyBorder="1" applyFont="1">
      <alignment horizontal="center" shrinkToFit="0" vertical="center" wrapText="1"/>
    </xf>
    <xf borderId="9" fillId="0" fontId="4" numFmtId="172" xfId="0" applyAlignment="1" applyBorder="1" applyFont="1" applyNumberFormat="1">
      <alignment horizontal="center" vertical="center"/>
    </xf>
    <xf borderId="9" fillId="7" fontId="4" numFmtId="49" xfId="0" applyAlignment="1" applyBorder="1" applyFont="1" applyNumberFormat="1">
      <alignment horizontal="center" vertical="center"/>
    </xf>
    <xf borderId="9" fillId="0" fontId="7" numFmtId="14" xfId="0" applyAlignment="1" applyBorder="1" applyFont="1" applyNumberFormat="1">
      <alignment horizontal="center" vertical="center"/>
    </xf>
    <xf borderId="0" fillId="0" fontId="4" numFmtId="0" xfId="0" applyAlignment="1" applyFont="1">
      <alignment horizontal="left" vertical="center"/>
    </xf>
    <xf borderId="9" fillId="0" fontId="4" numFmtId="165" xfId="0" applyAlignment="1" applyBorder="1" applyFont="1" applyNumberFormat="1">
      <alignment horizontal="right" vertical="center"/>
    </xf>
    <xf borderId="15" fillId="21" fontId="4" numFmtId="0" xfId="0" applyAlignment="1" applyBorder="1" applyFill="1" applyFont="1">
      <alignment horizontal="left" vertical="center"/>
    </xf>
    <xf borderId="9" fillId="0" fontId="4" numFmtId="0" xfId="0" applyAlignment="1" applyBorder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8.14"/>
    <col customWidth="1" min="2" max="2" width="15.86"/>
    <col customWidth="1" min="3" max="3" width="21.71"/>
    <col customWidth="1" min="4" max="4" width="22.71"/>
    <col customWidth="1" min="5" max="5" width="23.14"/>
    <col customWidth="1" min="6" max="6" width="70.71"/>
    <col customWidth="1" min="7" max="7" width="16.71"/>
    <col customWidth="1" min="8" max="8" width="19.29"/>
    <col customWidth="1" min="9" max="9" width="24.14"/>
    <col customWidth="1" min="10" max="10" width="27.43"/>
    <col customWidth="1" min="11" max="11" width="13.86"/>
    <col customWidth="1" min="12" max="12" width="18.57"/>
    <col customWidth="1" min="13" max="13" width="15.29"/>
    <col customWidth="1" min="14" max="14" width="16.0"/>
    <col customWidth="1" min="15" max="15" width="18.57"/>
    <col customWidth="1" min="16" max="16" width="26.43"/>
    <col customWidth="1" min="17" max="17" width="24.86"/>
    <col customWidth="1" min="18" max="18" width="17.86"/>
    <col customWidth="1" hidden="1" min="19" max="19" width="17.0"/>
    <col customWidth="1" hidden="1" min="20" max="20" width="16.0"/>
    <col customWidth="1" min="21" max="21" width="22.29"/>
    <col customWidth="1" min="22" max="22" width="19.0"/>
    <col customWidth="1" min="23" max="23" width="31.71"/>
    <col customWidth="1" min="24" max="24" width="20.29"/>
    <col customWidth="1" min="25" max="25" width="39.14"/>
    <col customWidth="1" min="26" max="26" width="26.57"/>
    <col customWidth="1" min="27" max="27" width="18.43"/>
    <col customWidth="1" min="28" max="28" width="18.0"/>
    <col customWidth="1" min="29" max="29" width="21.43"/>
    <col customWidth="1" min="30" max="30" width="16.29"/>
    <col customWidth="1" min="31" max="31" width="18.71"/>
    <col customWidth="1" min="32" max="32" width="22.14"/>
    <col customWidth="1" min="33" max="33" width="19.57"/>
    <col customWidth="1" min="34" max="34" width="23.14"/>
    <col customWidth="1" min="35" max="35" width="23.86"/>
    <col customWidth="1" min="36" max="36" width="17.86"/>
    <col customWidth="1" min="37" max="37" width="26.57"/>
    <col customWidth="1" min="38" max="38" width="16.86"/>
    <col customWidth="1" min="39" max="39" width="15.71"/>
    <col customWidth="1" min="40" max="40" width="18.86"/>
    <col customWidth="1" min="41" max="41" width="13.0"/>
    <col customWidth="1" min="42" max="42" width="13.57"/>
    <col customWidth="1" min="43" max="43" width="18.14"/>
    <col customWidth="1" min="44" max="44" width="16.29"/>
    <col customWidth="1" min="45" max="45" width="16.14"/>
    <col customWidth="1" min="46" max="46" width="22.86"/>
    <col customWidth="1" min="47" max="47" width="23.43"/>
    <col customWidth="1" min="48" max="48" width="19.29"/>
    <col customWidth="1" min="49" max="49" width="19.43"/>
    <col customWidth="1" min="50" max="50" width="21.71"/>
    <col customWidth="1" min="51" max="51" width="23.71"/>
    <col customWidth="1" min="52" max="52" width="17.86"/>
    <col customWidth="1" min="53" max="53" width="22.86"/>
    <col customWidth="1" min="54" max="54" width="22.14"/>
    <col customWidth="1" min="55" max="55" width="24.57"/>
    <col customWidth="1" min="56" max="56" width="17.86"/>
    <col customWidth="1" min="57" max="57" width="23.0"/>
    <col customWidth="1" min="58" max="58" width="18.86"/>
    <col customWidth="1" min="59" max="59" width="40.71"/>
    <col customWidth="1" min="60" max="60" width="18.0"/>
    <col customWidth="1" min="61" max="61" width="16.71"/>
    <col customWidth="1" min="62" max="62" width="19.43"/>
    <col customWidth="1" min="63" max="63" width="14.14"/>
    <col customWidth="1" min="64" max="64" width="53.4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5" t="s">
        <v>8</v>
      </c>
      <c r="K1" s="6" t="s">
        <v>9</v>
      </c>
      <c r="L1" s="7" t="s">
        <v>10</v>
      </c>
      <c r="M1" s="8" t="s">
        <v>11</v>
      </c>
      <c r="N1" s="9" t="s">
        <v>12</v>
      </c>
      <c r="O1" s="10" t="s">
        <v>13</v>
      </c>
      <c r="P1" s="9" t="s">
        <v>14</v>
      </c>
      <c r="Q1" s="11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5" t="s">
        <v>20</v>
      </c>
      <c r="W1" s="5" t="s">
        <v>21</v>
      </c>
      <c r="X1" s="9" t="s">
        <v>22</v>
      </c>
      <c r="Y1" s="5" t="s">
        <v>23</v>
      </c>
      <c r="Z1" s="5" t="s">
        <v>24</v>
      </c>
      <c r="AA1" s="5" t="s">
        <v>25</v>
      </c>
      <c r="AB1" s="9" t="s">
        <v>26</v>
      </c>
      <c r="AC1" s="9" t="s">
        <v>27</v>
      </c>
      <c r="AD1" s="9" t="s">
        <v>28</v>
      </c>
      <c r="AE1" s="12" t="s">
        <v>29</v>
      </c>
      <c r="AF1" s="9" t="s">
        <v>30</v>
      </c>
      <c r="AG1" s="13" t="s">
        <v>31</v>
      </c>
      <c r="AH1" s="14" t="s">
        <v>32</v>
      </c>
      <c r="AI1" s="15" t="s">
        <v>33</v>
      </c>
      <c r="AJ1" s="14" t="s">
        <v>34</v>
      </c>
      <c r="AK1" s="14" t="s">
        <v>35</v>
      </c>
      <c r="AL1" s="14" t="s">
        <v>36</v>
      </c>
      <c r="AM1" s="9" t="s">
        <v>37</v>
      </c>
      <c r="AN1" s="5" t="s">
        <v>38</v>
      </c>
      <c r="AO1" s="9" t="s">
        <v>39</v>
      </c>
      <c r="AP1" s="5" t="s">
        <v>40</v>
      </c>
      <c r="AQ1" s="16" t="s">
        <v>41</v>
      </c>
      <c r="AR1" s="17">
        <v>0.05</v>
      </c>
      <c r="AS1" s="18">
        <v>0.175</v>
      </c>
      <c r="AT1" s="18" t="s">
        <v>42</v>
      </c>
      <c r="AU1" s="18" t="s">
        <v>43</v>
      </c>
      <c r="AV1" s="16" t="s">
        <v>44</v>
      </c>
      <c r="AW1" s="9" t="s">
        <v>45</v>
      </c>
      <c r="AX1" s="19" t="s">
        <v>46</v>
      </c>
      <c r="AY1" s="16" t="s">
        <v>47</v>
      </c>
      <c r="AZ1" s="20">
        <f>SUBTOTAL(9,AZ223:AZ710)</f>
        <v>23674.9831</v>
      </c>
      <c r="BA1" s="21" t="s">
        <v>48</v>
      </c>
      <c r="BB1" s="9" t="s">
        <v>49</v>
      </c>
      <c r="BC1" s="9" t="s">
        <v>50</v>
      </c>
      <c r="BD1" s="22" t="s">
        <v>51</v>
      </c>
      <c r="BE1" s="23" t="s">
        <v>52</v>
      </c>
      <c r="BF1" s="24"/>
      <c r="BG1" s="9" t="s">
        <v>53</v>
      </c>
      <c r="BH1" s="9" t="str">
        <f>'[1]2023'!Q1</f>
        <v>#REF!</v>
      </c>
      <c r="BI1" s="9" t="s">
        <v>13</v>
      </c>
      <c r="BJ1" s="9" t="s">
        <v>54</v>
      </c>
      <c r="BK1" s="25"/>
      <c r="BL1" s="9" t="s">
        <v>53</v>
      </c>
    </row>
    <row r="2" ht="14.25" customHeight="1">
      <c r="A2" s="26" t="s">
        <v>55</v>
      </c>
      <c r="B2" s="26" t="s">
        <v>56</v>
      </c>
      <c r="C2" s="26" t="s">
        <v>57</v>
      </c>
      <c r="D2" s="26" t="s">
        <v>58</v>
      </c>
      <c r="E2" s="27" t="s">
        <v>59</v>
      </c>
      <c r="F2" s="28" t="s">
        <v>60</v>
      </c>
      <c r="G2" s="29">
        <v>44968.0</v>
      </c>
      <c r="H2" s="30">
        <v>44968.0</v>
      </c>
      <c r="I2" s="30">
        <v>45333.0</v>
      </c>
      <c r="J2" s="31" t="s">
        <v>61</v>
      </c>
      <c r="K2" s="26" t="s">
        <v>62</v>
      </c>
      <c r="L2" s="32" t="s">
        <v>63</v>
      </c>
      <c r="M2" s="33">
        <v>0.0</v>
      </c>
      <c r="N2" s="34">
        <v>0.0</v>
      </c>
      <c r="O2" s="27" t="s">
        <v>64</v>
      </c>
      <c r="P2" s="35">
        <v>0.0</v>
      </c>
      <c r="Q2" s="35" t="s">
        <v>65</v>
      </c>
      <c r="R2" s="36">
        <v>44968.0</v>
      </c>
      <c r="S2" s="35" t="s">
        <v>66</v>
      </c>
      <c r="T2" s="35">
        <v>0.0</v>
      </c>
      <c r="U2" s="37" t="s">
        <v>67</v>
      </c>
      <c r="V2" s="38"/>
      <c r="W2" s="38"/>
      <c r="X2" s="27"/>
      <c r="Y2" s="39"/>
      <c r="Z2" s="39"/>
      <c r="AA2" s="39"/>
      <c r="AB2" s="40"/>
      <c r="AC2" s="27">
        <f t="shared" ref="AC2:AC133" si="1">M2*AB2</f>
        <v>0</v>
      </c>
      <c r="AD2" s="41">
        <f>IF(AND(S2="0",O2="Paid"),(M2*15%)-AC2,0)</f>
        <v>0</v>
      </c>
      <c r="AE2" s="42"/>
      <c r="AF2" s="27"/>
      <c r="AG2" s="43">
        <f>IF(O2="Paid",IF(A2="Alwataniya",(M2*21%)-((M2*21%)*5%),IF((A2="GIG"),(M2*25%)-((M2*25%)*5%),IF((A2="Allianz"),(M2*27%)-((M2*27%)*5%),0))),0)</f>
        <v>0</v>
      </c>
      <c r="AH2" s="29"/>
      <c r="AI2" s="29"/>
      <c r="AJ2" s="29"/>
      <c r="AK2" s="29"/>
      <c r="AL2" s="27"/>
      <c r="AM2" s="44">
        <f>IF((BD2&lt;=2),AU2*10%,(IF((BD2&lt;=3),AU2*20%,IF((BD2&lt;=4),AU2*20%,IF((BD2&gt;=5),AU2*30%,0)))))</f>
        <v>0</v>
      </c>
      <c r="AN2" s="45"/>
      <c r="AO2" s="46"/>
      <c r="AP2" s="47"/>
      <c r="AQ2" s="43" t="b">
        <f>IF(O2="Paid",IF(U2="Motor Plus",(M2*27%),IF(U2="Motor One",(M2*22%),(IF(U2="Golden",(M2*25%),(IF(U2="Classic",(M2*15%),(IF(U2="Wethaq",(M2*28%),IF(U2="Alwataniya",(M2*21%))*0)))))))))</f>
        <v>0</v>
      </c>
      <c r="AR2" s="43">
        <f t="shared" ref="AR2:AR598" si="2">AQ2*5%</f>
        <v>0</v>
      </c>
      <c r="AS2" s="43">
        <f t="shared" ref="AS2:AS598" si="3">AQ2*17.5%</f>
        <v>0</v>
      </c>
      <c r="AT2" s="48">
        <f t="shared" ref="AT2:AT598" si="4">AQ2-AR2-AS2</f>
        <v>0</v>
      </c>
      <c r="AU2" s="49">
        <f>AQ2-AR2-AS2-AC2-AO2</f>
        <v>0</v>
      </c>
      <c r="AV2" s="48"/>
      <c r="AW2" s="34">
        <f t="shared" ref="AW2:AW385" si="5">N2-AD2-AE2-AC2</f>
        <v>0</v>
      </c>
      <c r="AX2" s="50">
        <f t="shared" ref="AX2:AX253" si="6">IF(O2="Paid",AG2-AS2-AM2-AO2-AD2-AE2-AV2-AL2,0)</f>
        <v>0</v>
      </c>
      <c r="AY2" s="43"/>
      <c r="AZ2" s="43"/>
      <c r="BA2" s="48">
        <f>IF(S2&lt;&gt;0,AU2-AO2-AM2,(AG2-AD2-AE2-AS2))</f>
        <v>0</v>
      </c>
      <c r="BB2" s="27"/>
      <c r="BC2" s="27"/>
      <c r="BD2" s="51"/>
      <c r="BE2" s="52"/>
      <c r="BF2" s="27" t="s">
        <v>59</v>
      </c>
      <c r="BG2" s="53">
        <v>0.0</v>
      </c>
      <c r="BH2" s="53" t="str">
        <f>'[1]2023'!Q628</f>
        <v>#REF!</v>
      </c>
      <c r="BI2" s="27"/>
      <c r="BJ2" s="27"/>
      <c r="BK2" s="27" t="s">
        <v>64</v>
      </c>
      <c r="BL2" s="27"/>
    </row>
    <row r="3" ht="14.25" customHeight="1">
      <c r="A3" s="26" t="s">
        <v>68</v>
      </c>
      <c r="B3" s="26" t="s">
        <v>69</v>
      </c>
      <c r="C3" s="26" t="s">
        <v>70</v>
      </c>
      <c r="D3" s="26" t="s">
        <v>71</v>
      </c>
      <c r="E3" s="27" t="s">
        <v>72</v>
      </c>
      <c r="F3" s="28" t="s">
        <v>73</v>
      </c>
      <c r="G3" s="29" t="s">
        <v>74</v>
      </c>
      <c r="H3" s="30">
        <v>44968.0</v>
      </c>
      <c r="I3" s="30">
        <v>45333.0</v>
      </c>
      <c r="J3" s="31">
        <v>0.0</v>
      </c>
      <c r="K3" s="26">
        <v>0.0</v>
      </c>
      <c r="L3" s="32" t="s">
        <v>75</v>
      </c>
      <c r="M3" s="33">
        <v>29000.0</v>
      </c>
      <c r="N3" s="34">
        <v>0.0</v>
      </c>
      <c r="O3" s="27" t="s">
        <v>76</v>
      </c>
      <c r="P3" s="35" t="s">
        <v>77</v>
      </c>
      <c r="Q3" s="35">
        <v>0.0</v>
      </c>
      <c r="R3" s="36" t="e">
        <v>#VALUE!</v>
      </c>
      <c r="S3" s="35" t="s">
        <v>78</v>
      </c>
      <c r="T3" s="54" t="s">
        <v>79</v>
      </c>
      <c r="U3" s="37" t="s">
        <v>68</v>
      </c>
      <c r="V3" s="38"/>
      <c r="W3" s="38"/>
      <c r="X3" s="27"/>
      <c r="Y3" s="39"/>
      <c r="Z3" s="39"/>
      <c r="AA3" s="39"/>
      <c r="AB3" s="40"/>
      <c r="AC3" s="27">
        <f t="shared" si="1"/>
        <v>0</v>
      </c>
      <c r="AD3" s="41"/>
      <c r="AE3" s="42"/>
      <c r="AF3" s="27"/>
      <c r="AG3" s="43">
        <f t="shared" ref="AG3:AG4" si="7">IF(O3="Paid",IF(A3="Wethaq",(M3*15%)-((M3*15%)*5%)))</f>
        <v>4132.5</v>
      </c>
      <c r="AH3" s="29">
        <v>45115.0</v>
      </c>
      <c r="AI3" s="29">
        <v>45266.0</v>
      </c>
      <c r="AJ3" s="55">
        <v>0.15</v>
      </c>
      <c r="AK3" s="29">
        <v>45052.0</v>
      </c>
      <c r="AL3" s="27"/>
      <c r="AM3" s="44"/>
      <c r="AN3" s="56"/>
      <c r="AO3" s="46">
        <f t="shared" ref="AO3:AO4" si="8">((M3*AJ3)-((M3*AJ3)*22.5%))*80%</f>
        <v>2697</v>
      </c>
      <c r="AP3" s="57">
        <v>45177.0</v>
      </c>
      <c r="AQ3" s="43">
        <f t="shared" ref="AQ3:AQ4" si="9">M3*AJ3</f>
        <v>4350</v>
      </c>
      <c r="AR3" s="43">
        <f t="shared" si="2"/>
        <v>217.5</v>
      </c>
      <c r="AS3" s="43">
        <f t="shared" si="3"/>
        <v>761.25</v>
      </c>
      <c r="AT3" s="48">
        <f t="shared" si="4"/>
        <v>3371.25</v>
      </c>
      <c r="AU3" s="49">
        <f t="shared" ref="AU3:AU13" si="10">AQ3-AR3-AS3-AC3</f>
        <v>3371.25</v>
      </c>
      <c r="AV3" s="48"/>
      <c r="AW3" s="34">
        <f t="shared" si="5"/>
        <v>0</v>
      </c>
      <c r="AX3" s="50">
        <f t="shared" si="6"/>
        <v>674.25</v>
      </c>
      <c r="AY3" s="43"/>
      <c r="AZ3" s="47"/>
      <c r="BA3" s="48" t="str">
        <f t="shared" ref="BA3:BA4" si="11">IF(S3&lt;&gt;0,AU3-#REF!-AM3,(AG3-AD3-AE3-AS3))</f>
        <v>#REF!</v>
      </c>
      <c r="BB3" s="27"/>
      <c r="BC3" s="27"/>
      <c r="BD3" s="51"/>
      <c r="BE3" s="52"/>
      <c r="BF3" s="27" t="s">
        <v>72</v>
      </c>
      <c r="BG3" s="53">
        <v>0.0</v>
      </c>
      <c r="BH3" s="53" t="str">
        <f t="shared" ref="BH3:BH4" si="12">'[1]2023'!Q963</f>
        <v>#REF!</v>
      </c>
      <c r="BI3" s="27"/>
      <c r="BJ3" s="27"/>
      <c r="BK3" s="27" t="s">
        <v>76</v>
      </c>
      <c r="BL3" s="27"/>
    </row>
    <row r="4" ht="14.25" customHeight="1">
      <c r="A4" s="26" t="s">
        <v>68</v>
      </c>
      <c r="B4" s="26" t="s">
        <v>69</v>
      </c>
      <c r="C4" s="26" t="s">
        <v>70</v>
      </c>
      <c r="D4" s="26" t="s">
        <v>71</v>
      </c>
      <c r="E4" s="27" t="s">
        <v>80</v>
      </c>
      <c r="F4" s="28" t="s">
        <v>73</v>
      </c>
      <c r="G4" s="29" t="s">
        <v>74</v>
      </c>
      <c r="H4" s="30">
        <v>44968.0</v>
      </c>
      <c r="I4" s="30">
        <v>45333.0</v>
      </c>
      <c r="J4" s="31">
        <v>0.0</v>
      </c>
      <c r="K4" s="26">
        <v>0.0</v>
      </c>
      <c r="L4" s="32" t="s">
        <v>75</v>
      </c>
      <c r="M4" s="33">
        <v>29000.0</v>
      </c>
      <c r="N4" s="34">
        <v>0.0</v>
      </c>
      <c r="O4" s="27" t="s">
        <v>76</v>
      </c>
      <c r="P4" s="35" t="s">
        <v>77</v>
      </c>
      <c r="Q4" s="35">
        <v>0.0</v>
      </c>
      <c r="R4" s="36" t="e">
        <v>#VALUE!</v>
      </c>
      <c r="S4" s="35" t="s">
        <v>78</v>
      </c>
      <c r="T4" s="54" t="s">
        <v>79</v>
      </c>
      <c r="U4" s="37" t="s">
        <v>68</v>
      </c>
      <c r="V4" s="38"/>
      <c r="W4" s="38"/>
      <c r="X4" s="27"/>
      <c r="Y4" s="39"/>
      <c r="Z4" s="39"/>
      <c r="AA4" s="39"/>
      <c r="AB4" s="40"/>
      <c r="AC4" s="27">
        <f t="shared" si="1"/>
        <v>0</v>
      </c>
      <c r="AD4" s="41"/>
      <c r="AE4" s="42"/>
      <c r="AF4" s="27"/>
      <c r="AG4" s="43">
        <f t="shared" si="7"/>
        <v>4132.5</v>
      </c>
      <c r="AH4" s="29">
        <v>45115.0</v>
      </c>
      <c r="AI4" s="29">
        <v>45266.0</v>
      </c>
      <c r="AJ4" s="55">
        <v>0.15</v>
      </c>
      <c r="AK4" s="29">
        <v>45052.0</v>
      </c>
      <c r="AL4" s="27"/>
      <c r="AM4" s="44"/>
      <c r="AN4" s="56"/>
      <c r="AO4" s="46">
        <f t="shared" si="8"/>
        <v>2697</v>
      </c>
      <c r="AP4" s="57">
        <v>45177.0</v>
      </c>
      <c r="AQ4" s="43">
        <f t="shared" si="9"/>
        <v>4350</v>
      </c>
      <c r="AR4" s="43">
        <f t="shared" si="2"/>
        <v>217.5</v>
      </c>
      <c r="AS4" s="43">
        <f t="shared" si="3"/>
        <v>761.25</v>
      </c>
      <c r="AT4" s="48">
        <f t="shared" si="4"/>
        <v>3371.25</v>
      </c>
      <c r="AU4" s="49">
        <f t="shared" si="10"/>
        <v>3371.25</v>
      </c>
      <c r="AV4" s="48"/>
      <c r="AW4" s="34">
        <f t="shared" si="5"/>
        <v>0</v>
      </c>
      <c r="AX4" s="50">
        <f t="shared" si="6"/>
        <v>674.25</v>
      </c>
      <c r="AY4" s="43"/>
      <c r="AZ4" s="47"/>
      <c r="BA4" s="48" t="str">
        <f t="shared" si="11"/>
        <v>#REF!</v>
      </c>
      <c r="BB4" s="27"/>
      <c r="BC4" s="27"/>
      <c r="BD4" s="51"/>
      <c r="BE4" s="52"/>
      <c r="BF4" s="27" t="s">
        <v>80</v>
      </c>
      <c r="BG4" s="53">
        <v>0.0</v>
      </c>
      <c r="BH4" s="53" t="str">
        <f t="shared" si="12"/>
        <v>#REF!</v>
      </c>
      <c r="BI4" s="27"/>
      <c r="BJ4" s="27"/>
      <c r="BK4" s="27" t="s">
        <v>76</v>
      </c>
      <c r="BL4" s="27"/>
    </row>
    <row r="5" ht="14.25" customHeight="1">
      <c r="A5" s="26" t="s">
        <v>55</v>
      </c>
      <c r="B5" s="26" t="s">
        <v>56</v>
      </c>
      <c r="C5" s="26" t="s">
        <v>57</v>
      </c>
      <c r="D5" s="26" t="s">
        <v>81</v>
      </c>
      <c r="E5" s="27" t="s">
        <v>82</v>
      </c>
      <c r="F5" s="26" t="s">
        <v>83</v>
      </c>
      <c r="G5" s="29" t="s">
        <v>84</v>
      </c>
      <c r="H5" s="30">
        <v>44970.0</v>
      </c>
      <c r="I5" s="30">
        <v>45335.0</v>
      </c>
      <c r="J5" s="31">
        <v>0.0</v>
      </c>
      <c r="K5" s="26" t="s">
        <v>62</v>
      </c>
      <c r="L5" s="32" t="s">
        <v>63</v>
      </c>
      <c r="M5" s="33">
        <v>17700.0</v>
      </c>
      <c r="N5" s="34">
        <v>18885.3</v>
      </c>
      <c r="O5" s="27" t="s">
        <v>64</v>
      </c>
      <c r="P5" s="35">
        <v>0.0</v>
      </c>
      <c r="Q5" s="35" t="s">
        <v>85</v>
      </c>
      <c r="R5" s="36" t="e">
        <v>#VALUE!</v>
      </c>
      <c r="S5" s="35" t="s">
        <v>86</v>
      </c>
      <c r="T5" s="35">
        <v>0.0</v>
      </c>
      <c r="U5" s="37" t="s">
        <v>67</v>
      </c>
      <c r="V5" s="38"/>
      <c r="W5" s="38"/>
      <c r="X5" s="27"/>
      <c r="Y5" s="39"/>
      <c r="Z5" s="39"/>
      <c r="AA5" s="39"/>
      <c r="AB5" s="27"/>
      <c r="AC5" s="27">
        <f t="shared" si="1"/>
        <v>0</v>
      </c>
      <c r="AD5" s="41">
        <f>IF(AND(S5="0",O5="Paid"),(M5*15%)-AC5,0)</f>
        <v>0</v>
      </c>
      <c r="AE5" s="42"/>
      <c r="AF5" s="27"/>
      <c r="AG5" s="43">
        <f>IF(O5="Paid",IF(A5="Alwataniya",(M5*21%)-((M5*21%)*5%),IF((A5="GIG"),(M5*25%)-((M5*25%)*5%),IF((A5="Allianz"),(M5*27%)-((M5*27%)*20%),0))),0)</f>
        <v>0</v>
      </c>
      <c r="AH5" s="29"/>
      <c r="AI5" s="29"/>
      <c r="AJ5" s="29"/>
      <c r="AK5" s="29"/>
      <c r="AL5" s="27"/>
      <c r="AM5" s="44"/>
      <c r="AN5" s="47"/>
      <c r="AO5" s="37"/>
      <c r="AP5" s="47"/>
      <c r="AQ5" s="43" t="b">
        <f>IF(O5="Paid",IF(U5="Motor Plus",(M5*27%),IF(U5="Motor One",(M5*22%),(IF(U5="Golden",(M5*25%),(IF(U5="Classic",(M5*15%),(IF(U5="Wethaq",(M5*28%),IF(U5="Alwataniya",(M5*21%))*0)))))))))</f>
        <v>0</v>
      </c>
      <c r="AR5" s="43">
        <f t="shared" si="2"/>
        <v>0</v>
      </c>
      <c r="AS5" s="43">
        <f t="shared" si="3"/>
        <v>0</v>
      </c>
      <c r="AT5" s="48">
        <f t="shared" si="4"/>
        <v>0</v>
      </c>
      <c r="AU5" s="49">
        <f t="shared" si="10"/>
        <v>0</v>
      </c>
      <c r="AV5" s="48"/>
      <c r="AW5" s="34">
        <f t="shared" si="5"/>
        <v>18885.3</v>
      </c>
      <c r="AX5" s="50">
        <f t="shared" si="6"/>
        <v>0</v>
      </c>
      <c r="AY5" s="43"/>
      <c r="AZ5" s="27"/>
      <c r="BA5" s="48">
        <f t="shared" ref="BA5:BA40" si="13">IF(S5&lt;&gt;0,AU5-AO5-AM5,(AG5-AD5-AE5-AS5))</f>
        <v>0</v>
      </c>
      <c r="BB5" s="27"/>
      <c r="BC5" s="27"/>
      <c r="BD5" s="51"/>
      <c r="BE5" s="52"/>
      <c r="BF5" s="27" t="s">
        <v>82</v>
      </c>
      <c r="BG5" s="53">
        <v>0.0</v>
      </c>
      <c r="BH5" s="53" t="str">
        <f>'[1]2023'!Q88</f>
        <v>#REF!</v>
      </c>
      <c r="BI5" s="27"/>
      <c r="BJ5" s="27"/>
      <c r="BK5" s="27" t="s">
        <v>64</v>
      </c>
      <c r="BL5" s="27"/>
    </row>
    <row r="6" ht="14.25" customHeight="1">
      <c r="A6" s="26" t="s">
        <v>55</v>
      </c>
      <c r="B6" s="26" t="s">
        <v>56</v>
      </c>
      <c r="C6" s="26" t="s">
        <v>57</v>
      </c>
      <c r="D6" s="26" t="s">
        <v>81</v>
      </c>
      <c r="E6" s="27" t="s">
        <v>87</v>
      </c>
      <c r="F6" s="26" t="s">
        <v>88</v>
      </c>
      <c r="G6" s="29" t="s">
        <v>84</v>
      </c>
      <c r="H6" s="30">
        <v>44970.0</v>
      </c>
      <c r="I6" s="30">
        <v>45335.0</v>
      </c>
      <c r="J6" s="31">
        <v>0.0</v>
      </c>
      <c r="K6" s="26" t="s">
        <v>62</v>
      </c>
      <c r="L6" s="32" t="s">
        <v>75</v>
      </c>
      <c r="M6" s="33">
        <v>23600.0</v>
      </c>
      <c r="N6" s="34">
        <v>25133.4</v>
      </c>
      <c r="O6" s="27" t="s">
        <v>76</v>
      </c>
      <c r="P6" s="35" t="s">
        <v>89</v>
      </c>
      <c r="Q6" s="35" t="s">
        <v>90</v>
      </c>
      <c r="R6" s="36" t="e">
        <v>#VALUE!</v>
      </c>
      <c r="S6" s="35" t="s">
        <v>86</v>
      </c>
      <c r="T6" s="35">
        <v>0.0</v>
      </c>
      <c r="U6" s="37" t="s">
        <v>67</v>
      </c>
      <c r="V6" s="38"/>
      <c r="W6" s="38"/>
      <c r="X6" s="27"/>
      <c r="Y6" s="39"/>
      <c r="Z6" s="39"/>
      <c r="AA6" s="39"/>
      <c r="AB6" s="40"/>
      <c r="AC6" s="27">
        <f t="shared" si="1"/>
        <v>0</v>
      </c>
      <c r="AD6" s="41">
        <f t="shared" ref="AD6:AD8" si="14">IF(AND(S6="0",O6="Paid"),M6*15%,0)</f>
        <v>3540</v>
      </c>
      <c r="AE6" s="42"/>
      <c r="AF6" s="27"/>
      <c r="AG6" s="43">
        <f t="shared" ref="AG6:AG11" si="15">IF(O6="Paid",IF(A6="Alwataniya",(M6*21%)-((M6*21%)*5%),IF((A6="GIG"),(M6*25%)-((M6*25%)*5%),IF((A6="Allianz"),(M6*27%)-((M6*27%)*5%),0))),0)</f>
        <v>6053.4</v>
      </c>
      <c r="AH6" s="29"/>
      <c r="AI6" s="29"/>
      <c r="AJ6" s="29"/>
      <c r="AK6" s="29"/>
      <c r="AL6" s="27"/>
      <c r="AM6" s="44"/>
      <c r="AN6" s="47"/>
      <c r="AO6" s="46"/>
      <c r="AP6" s="47"/>
      <c r="AQ6" s="43">
        <f t="shared" ref="AQ6:AQ8" si="16">IF(U6="Motor Plus",(M6*27%),IF(U6="Motor One",(M6*22%),(IF(U6="Golden",(M6*25%),(IF(U6="Classic",(M6*15%),(IF(U6="Wethaq",(M6*28%),IF(U6="Alwataniya",(M6*21%))*0))))))))</f>
        <v>6372</v>
      </c>
      <c r="AR6" s="43">
        <f t="shared" si="2"/>
        <v>318.6</v>
      </c>
      <c r="AS6" s="43">
        <f t="shared" si="3"/>
        <v>1115.1</v>
      </c>
      <c r="AT6" s="48">
        <f t="shared" si="4"/>
        <v>4938.3</v>
      </c>
      <c r="AU6" s="49">
        <f t="shared" si="10"/>
        <v>4938.3</v>
      </c>
      <c r="AV6" s="48"/>
      <c r="AW6" s="34">
        <f t="shared" si="5"/>
        <v>21593.4</v>
      </c>
      <c r="AX6" s="50">
        <f t="shared" si="6"/>
        <v>1398.3</v>
      </c>
      <c r="AY6" s="43"/>
      <c r="AZ6" s="27"/>
      <c r="BA6" s="48">
        <f t="shared" si="13"/>
        <v>4938.3</v>
      </c>
      <c r="BB6" s="27"/>
      <c r="BC6" s="27"/>
      <c r="BD6" s="51"/>
      <c r="BE6" s="52"/>
      <c r="BF6" s="27" t="s">
        <v>87</v>
      </c>
      <c r="BG6" s="53" t="s">
        <v>91</v>
      </c>
      <c r="BH6" s="53" t="str">
        <f>'[1]2023'!Q284</f>
        <v>#REF!</v>
      </c>
      <c r="BI6" s="27"/>
      <c r="BJ6" s="27"/>
      <c r="BK6" s="27" t="s">
        <v>76</v>
      </c>
      <c r="BL6" s="27"/>
    </row>
    <row r="7" ht="14.25" customHeight="1">
      <c r="A7" s="26" t="s">
        <v>55</v>
      </c>
      <c r="B7" s="26" t="s">
        <v>56</v>
      </c>
      <c r="C7" s="26" t="s">
        <v>57</v>
      </c>
      <c r="D7" s="26" t="s">
        <v>81</v>
      </c>
      <c r="E7" s="27" t="s">
        <v>92</v>
      </c>
      <c r="F7" s="26" t="s">
        <v>93</v>
      </c>
      <c r="G7" s="29" t="s">
        <v>94</v>
      </c>
      <c r="H7" s="30">
        <v>44971.0</v>
      </c>
      <c r="I7" s="30">
        <v>45336.0</v>
      </c>
      <c r="J7" s="31">
        <v>0.0</v>
      </c>
      <c r="K7" s="26" t="s">
        <v>62</v>
      </c>
      <c r="L7" s="32" t="s">
        <v>75</v>
      </c>
      <c r="M7" s="33">
        <v>26520.0</v>
      </c>
      <c r="N7" s="34">
        <v>28225.68</v>
      </c>
      <c r="O7" s="27" t="s">
        <v>76</v>
      </c>
      <c r="P7" s="35" t="s">
        <v>95</v>
      </c>
      <c r="Q7" s="35" t="s">
        <v>90</v>
      </c>
      <c r="R7" s="36" t="e">
        <v>#VALUE!</v>
      </c>
      <c r="S7" s="35" t="s">
        <v>86</v>
      </c>
      <c r="T7" s="35">
        <v>0.0</v>
      </c>
      <c r="U7" s="37" t="s">
        <v>67</v>
      </c>
      <c r="V7" s="38"/>
      <c r="W7" s="38"/>
      <c r="X7" s="27"/>
      <c r="Y7" s="39"/>
      <c r="Z7" s="39"/>
      <c r="AA7" s="39"/>
      <c r="AB7" s="27"/>
      <c r="AC7" s="27">
        <f t="shared" si="1"/>
        <v>0</v>
      </c>
      <c r="AD7" s="41">
        <f t="shared" si="14"/>
        <v>3978</v>
      </c>
      <c r="AE7" s="42"/>
      <c r="AF7" s="27"/>
      <c r="AG7" s="43">
        <f t="shared" si="15"/>
        <v>6802.38</v>
      </c>
      <c r="AH7" s="29"/>
      <c r="AI7" s="29"/>
      <c r="AJ7" s="29"/>
      <c r="AK7" s="29"/>
      <c r="AL7" s="27"/>
      <c r="AM7" s="44"/>
      <c r="AN7" s="47"/>
      <c r="AO7" s="37"/>
      <c r="AP7" s="47"/>
      <c r="AQ7" s="43">
        <f t="shared" si="16"/>
        <v>7160.4</v>
      </c>
      <c r="AR7" s="43">
        <f t="shared" si="2"/>
        <v>358.02</v>
      </c>
      <c r="AS7" s="43">
        <f t="shared" si="3"/>
        <v>1253.07</v>
      </c>
      <c r="AT7" s="48">
        <f t="shared" si="4"/>
        <v>5549.31</v>
      </c>
      <c r="AU7" s="49">
        <f t="shared" si="10"/>
        <v>5549.31</v>
      </c>
      <c r="AV7" s="48"/>
      <c r="AW7" s="34">
        <f t="shared" si="5"/>
        <v>24247.68</v>
      </c>
      <c r="AX7" s="50">
        <f t="shared" si="6"/>
        <v>1571.31</v>
      </c>
      <c r="AY7" s="43"/>
      <c r="AZ7" s="27"/>
      <c r="BA7" s="48">
        <f t="shared" si="13"/>
        <v>5549.31</v>
      </c>
      <c r="BB7" s="27"/>
      <c r="BC7" s="27"/>
      <c r="BD7" s="51"/>
      <c r="BE7" s="52"/>
      <c r="BF7" s="27" t="s">
        <v>92</v>
      </c>
      <c r="BG7" s="58" t="s">
        <v>96</v>
      </c>
      <c r="BH7" s="53" t="str">
        <f>'[1]2023'!Q105</f>
        <v>#REF!</v>
      </c>
      <c r="BI7" s="27"/>
      <c r="BJ7" s="27"/>
      <c r="BK7" s="27" t="s">
        <v>76</v>
      </c>
      <c r="BL7" s="27"/>
    </row>
    <row r="8" ht="14.25" customHeight="1">
      <c r="A8" s="26" t="s">
        <v>55</v>
      </c>
      <c r="B8" s="26" t="s">
        <v>56</v>
      </c>
      <c r="C8" s="26" t="s">
        <v>57</v>
      </c>
      <c r="D8" s="26" t="s">
        <v>81</v>
      </c>
      <c r="E8" s="27" t="s">
        <v>97</v>
      </c>
      <c r="F8" s="26" t="s">
        <v>98</v>
      </c>
      <c r="G8" s="29" t="s">
        <v>94</v>
      </c>
      <c r="H8" s="30">
        <v>44971.0</v>
      </c>
      <c r="I8" s="30">
        <v>45336.0</v>
      </c>
      <c r="J8" s="31">
        <v>0.0</v>
      </c>
      <c r="K8" s="26" t="s">
        <v>62</v>
      </c>
      <c r="L8" s="32" t="s">
        <v>75</v>
      </c>
      <c r="M8" s="33">
        <v>16520.0</v>
      </c>
      <c r="N8" s="34">
        <v>17635.68</v>
      </c>
      <c r="O8" s="27" t="s">
        <v>76</v>
      </c>
      <c r="P8" s="35" t="s">
        <v>89</v>
      </c>
      <c r="Q8" s="35" t="s">
        <v>90</v>
      </c>
      <c r="R8" s="36" t="e">
        <v>#VALUE!</v>
      </c>
      <c r="S8" s="35" t="s">
        <v>86</v>
      </c>
      <c r="T8" s="35">
        <v>0.0</v>
      </c>
      <c r="U8" s="37" t="s">
        <v>67</v>
      </c>
      <c r="V8" s="38"/>
      <c r="W8" s="38"/>
      <c r="X8" s="27"/>
      <c r="Y8" s="39"/>
      <c r="Z8" s="39"/>
      <c r="AA8" s="39"/>
      <c r="AB8" s="27"/>
      <c r="AC8" s="27">
        <f t="shared" si="1"/>
        <v>0</v>
      </c>
      <c r="AD8" s="41">
        <f t="shared" si="14"/>
        <v>2478</v>
      </c>
      <c r="AE8" s="42"/>
      <c r="AF8" s="59"/>
      <c r="AG8" s="43">
        <f t="shared" si="15"/>
        <v>4237.38</v>
      </c>
      <c r="AH8" s="29"/>
      <c r="AI8" s="29"/>
      <c r="AJ8" s="29"/>
      <c r="AK8" s="29"/>
      <c r="AL8" s="27"/>
      <c r="AM8" s="44"/>
      <c r="AN8" s="47"/>
      <c r="AO8" s="37"/>
      <c r="AP8" s="47"/>
      <c r="AQ8" s="43">
        <f t="shared" si="16"/>
        <v>4460.4</v>
      </c>
      <c r="AR8" s="43">
        <f t="shared" si="2"/>
        <v>223.02</v>
      </c>
      <c r="AS8" s="43">
        <f t="shared" si="3"/>
        <v>780.57</v>
      </c>
      <c r="AT8" s="48">
        <f t="shared" si="4"/>
        <v>3456.81</v>
      </c>
      <c r="AU8" s="49">
        <f t="shared" si="10"/>
        <v>3456.81</v>
      </c>
      <c r="AV8" s="48"/>
      <c r="AW8" s="34">
        <f t="shared" si="5"/>
        <v>15157.68</v>
      </c>
      <c r="AX8" s="50">
        <f t="shared" si="6"/>
        <v>978.81</v>
      </c>
      <c r="AY8" s="43"/>
      <c r="AZ8" s="27"/>
      <c r="BA8" s="48">
        <f t="shared" si="13"/>
        <v>3456.81</v>
      </c>
      <c r="BB8" s="27"/>
      <c r="BC8" s="27"/>
      <c r="BD8" s="51"/>
      <c r="BE8" s="52"/>
      <c r="BF8" s="27" t="s">
        <v>97</v>
      </c>
      <c r="BG8" s="58" t="s">
        <v>99</v>
      </c>
      <c r="BH8" s="53" t="str">
        <f>'[1]2023'!Q119</f>
        <v>#REF!</v>
      </c>
      <c r="BI8" s="27"/>
      <c r="BJ8" s="27"/>
      <c r="BK8" s="27" t="s">
        <v>76</v>
      </c>
      <c r="BL8" s="27"/>
    </row>
    <row r="9" ht="14.25" customHeight="1">
      <c r="A9" s="26" t="s">
        <v>55</v>
      </c>
      <c r="B9" s="26" t="s">
        <v>56</v>
      </c>
      <c r="C9" s="26" t="s">
        <v>57</v>
      </c>
      <c r="D9" s="26" t="s">
        <v>81</v>
      </c>
      <c r="E9" s="27" t="s">
        <v>100</v>
      </c>
      <c r="F9" s="26" t="s">
        <v>101</v>
      </c>
      <c r="G9" s="29" t="s">
        <v>94</v>
      </c>
      <c r="H9" s="30">
        <v>44971.0</v>
      </c>
      <c r="I9" s="30">
        <v>45336.0</v>
      </c>
      <c r="J9" s="31">
        <v>0.0</v>
      </c>
      <c r="K9" s="26" t="s">
        <v>62</v>
      </c>
      <c r="L9" s="32" t="s">
        <v>63</v>
      </c>
      <c r="M9" s="33">
        <v>46020.0</v>
      </c>
      <c r="N9" s="34">
        <v>48876.18</v>
      </c>
      <c r="O9" s="27" t="s">
        <v>64</v>
      </c>
      <c r="P9" s="35">
        <v>0.0</v>
      </c>
      <c r="Q9" s="35" t="s">
        <v>85</v>
      </c>
      <c r="R9" s="36" t="e">
        <v>#VALUE!</v>
      </c>
      <c r="S9" s="35" t="s">
        <v>86</v>
      </c>
      <c r="T9" s="35">
        <v>0.0</v>
      </c>
      <c r="U9" s="37" t="s">
        <v>67</v>
      </c>
      <c r="V9" s="38"/>
      <c r="W9" s="38"/>
      <c r="X9" s="27"/>
      <c r="Y9" s="39"/>
      <c r="Z9" s="39"/>
      <c r="AA9" s="39"/>
      <c r="AB9" s="27"/>
      <c r="AC9" s="27">
        <f t="shared" si="1"/>
        <v>0</v>
      </c>
      <c r="AD9" s="41">
        <f>IF(AND(S9="0",O9="Paid"),(M9*15%)-AC9,0)</f>
        <v>0</v>
      </c>
      <c r="AE9" s="42"/>
      <c r="AF9" s="27"/>
      <c r="AG9" s="43">
        <f t="shared" si="15"/>
        <v>0</v>
      </c>
      <c r="AH9" s="29"/>
      <c r="AI9" s="29"/>
      <c r="AJ9" s="29"/>
      <c r="AK9" s="29"/>
      <c r="AL9" s="27"/>
      <c r="AM9" s="44"/>
      <c r="AN9" s="47"/>
      <c r="AO9" s="37"/>
      <c r="AP9" s="47"/>
      <c r="AQ9" s="43" t="b">
        <f>IF(O9="Paid",IF(U9="Motor Plus",(M9*27%),IF(U9="Motor One",(M9*22%),(IF(U9="Golden",(M9*25%),(IF(U9="Classic",(M9*15%),(IF(U9="Wethaq",(M9*28%),IF(U9="Alwataniya",(M9*21%))*0)))))))))</f>
        <v>0</v>
      </c>
      <c r="AR9" s="43">
        <f t="shared" si="2"/>
        <v>0</v>
      </c>
      <c r="AS9" s="43">
        <f t="shared" si="3"/>
        <v>0</v>
      </c>
      <c r="AT9" s="48">
        <f t="shared" si="4"/>
        <v>0</v>
      </c>
      <c r="AU9" s="49">
        <f t="shared" si="10"/>
        <v>0</v>
      </c>
      <c r="AV9" s="48"/>
      <c r="AW9" s="34">
        <f t="shared" si="5"/>
        <v>48876.18</v>
      </c>
      <c r="AX9" s="50">
        <f t="shared" si="6"/>
        <v>0</v>
      </c>
      <c r="AY9" s="43"/>
      <c r="AZ9" s="27"/>
      <c r="BA9" s="48">
        <f t="shared" si="13"/>
        <v>0</v>
      </c>
      <c r="BB9" s="27"/>
      <c r="BC9" s="27"/>
      <c r="BD9" s="51"/>
      <c r="BE9" s="52"/>
      <c r="BF9" s="27" t="s">
        <v>100</v>
      </c>
      <c r="BG9" s="53">
        <v>0.0</v>
      </c>
      <c r="BH9" s="53" t="str">
        <f>'[1]2023'!Q136</f>
        <v>#REF!</v>
      </c>
      <c r="BI9" s="27"/>
      <c r="BJ9" s="27"/>
      <c r="BK9" s="27" t="s">
        <v>64</v>
      </c>
      <c r="BL9" s="27"/>
    </row>
    <row r="10" ht="14.25" customHeight="1">
      <c r="A10" s="26" t="s">
        <v>55</v>
      </c>
      <c r="B10" s="26" t="s">
        <v>56</v>
      </c>
      <c r="C10" s="26" t="s">
        <v>57</v>
      </c>
      <c r="D10" s="26" t="s">
        <v>81</v>
      </c>
      <c r="E10" s="27" t="s">
        <v>102</v>
      </c>
      <c r="F10" s="26" t="s">
        <v>103</v>
      </c>
      <c r="G10" s="29" t="s">
        <v>94</v>
      </c>
      <c r="H10" s="30">
        <v>44971.0</v>
      </c>
      <c r="I10" s="30">
        <v>45336.0</v>
      </c>
      <c r="J10" s="31">
        <v>0.0</v>
      </c>
      <c r="K10" s="26" t="s">
        <v>62</v>
      </c>
      <c r="L10" s="32" t="s">
        <v>75</v>
      </c>
      <c r="M10" s="33">
        <v>14160.0</v>
      </c>
      <c r="N10" s="34">
        <v>15136.44</v>
      </c>
      <c r="O10" s="27" t="s">
        <v>76</v>
      </c>
      <c r="P10" s="35" t="s">
        <v>104</v>
      </c>
      <c r="Q10" s="35" t="s">
        <v>65</v>
      </c>
      <c r="R10" s="36" t="e">
        <v>#VALUE!</v>
      </c>
      <c r="S10" s="35" t="s">
        <v>86</v>
      </c>
      <c r="T10" s="35">
        <v>0.0</v>
      </c>
      <c r="U10" s="37" t="s">
        <v>67</v>
      </c>
      <c r="V10" s="38"/>
      <c r="W10" s="38"/>
      <c r="X10" s="27"/>
      <c r="Y10" s="39"/>
      <c r="Z10" s="39"/>
      <c r="AA10" s="39"/>
      <c r="AB10" s="27"/>
      <c r="AC10" s="27">
        <f t="shared" si="1"/>
        <v>0</v>
      </c>
      <c r="AD10" s="41"/>
      <c r="AE10" s="42"/>
      <c r="AF10" s="27"/>
      <c r="AG10" s="43">
        <f t="shared" si="15"/>
        <v>3632.04</v>
      </c>
      <c r="AH10" s="29"/>
      <c r="AI10" s="29"/>
      <c r="AJ10" s="29"/>
      <c r="AK10" s="29"/>
      <c r="AL10" s="27"/>
      <c r="AM10" s="44"/>
      <c r="AN10" s="47"/>
      <c r="AO10" s="37"/>
      <c r="AP10" s="47"/>
      <c r="AQ10" s="43">
        <f t="shared" ref="AQ10:AQ13" si="17">IF(U10="Motor Plus",(M10*27%),IF(U10="Motor One",(M10*22%),(IF(U10="Golden",(M10*25%),(IF(U10="Classic",(M10*15%),(IF(U10="Wethaq",(M10*28%),IF(U10="Alwataniya",(M10*21%))*0))))))))</f>
        <v>3823.2</v>
      </c>
      <c r="AR10" s="43">
        <f t="shared" si="2"/>
        <v>191.16</v>
      </c>
      <c r="AS10" s="43">
        <f t="shared" si="3"/>
        <v>669.06</v>
      </c>
      <c r="AT10" s="48">
        <f t="shared" si="4"/>
        <v>2962.98</v>
      </c>
      <c r="AU10" s="49">
        <f t="shared" si="10"/>
        <v>2962.98</v>
      </c>
      <c r="AV10" s="48"/>
      <c r="AW10" s="34">
        <f t="shared" si="5"/>
        <v>15136.44</v>
      </c>
      <c r="AX10" s="50">
        <f t="shared" si="6"/>
        <v>2962.98</v>
      </c>
      <c r="AY10" s="43"/>
      <c r="AZ10" s="27"/>
      <c r="BA10" s="48">
        <f t="shared" si="13"/>
        <v>2962.98</v>
      </c>
      <c r="BB10" s="27"/>
      <c r="BC10" s="27"/>
      <c r="BD10" s="51"/>
      <c r="BE10" s="52"/>
      <c r="BF10" s="27" t="s">
        <v>102</v>
      </c>
      <c r="BG10" s="58" t="s">
        <v>105</v>
      </c>
      <c r="BH10" s="53" t="str">
        <f>'[1]2023'!Q144</f>
        <v>#REF!</v>
      </c>
      <c r="BI10" s="27"/>
      <c r="BJ10" s="27"/>
      <c r="BK10" s="27" t="s">
        <v>76</v>
      </c>
      <c r="BL10" s="27"/>
    </row>
    <row r="11" ht="14.25" customHeight="1">
      <c r="A11" s="26" t="s">
        <v>55</v>
      </c>
      <c r="B11" s="26" t="s">
        <v>56</v>
      </c>
      <c r="C11" s="26" t="s">
        <v>57</v>
      </c>
      <c r="D11" s="26" t="s">
        <v>81</v>
      </c>
      <c r="E11" s="27" t="s">
        <v>106</v>
      </c>
      <c r="F11" s="26" t="s">
        <v>107</v>
      </c>
      <c r="G11" s="29" t="s">
        <v>94</v>
      </c>
      <c r="H11" s="30">
        <v>44971.0</v>
      </c>
      <c r="I11" s="30">
        <v>45336.0</v>
      </c>
      <c r="J11" s="31">
        <v>0.0</v>
      </c>
      <c r="K11" s="26" t="s">
        <v>62</v>
      </c>
      <c r="L11" s="32" t="s">
        <v>75</v>
      </c>
      <c r="M11" s="33">
        <v>19500.0</v>
      </c>
      <c r="N11" s="34">
        <v>20791.5</v>
      </c>
      <c r="O11" s="27" t="s">
        <v>76</v>
      </c>
      <c r="P11" s="35" t="s">
        <v>104</v>
      </c>
      <c r="Q11" s="35" t="s">
        <v>108</v>
      </c>
      <c r="R11" s="36" t="e">
        <v>#VALUE!</v>
      </c>
      <c r="S11" s="35" t="s">
        <v>86</v>
      </c>
      <c r="T11" s="35">
        <v>0.0</v>
      </c>
      <c r="U11" s="37" t="s">
        <v>67</v>
      </c>
      <c r="V11" s="38"/>
      <c r="W11" s="38"/>
      <c r="X11" s="27"/>
      <c r="Y11" s="39"/>
      <c r="Z11" s="39"/>
      <c r="AA11" s="39"/>
      <c r="AB11" s="27"/>
      <c r="AC11" s="27">
        <f t="shared" si="1"/>
        <v>0</v>
      </c>
      <c r="AD11" s="41">
        <f>IF(AND(S11="0",O11="Paid"),M11*15%,0)</f>
        <v>2925</v>
      </c>
      <c r="AE11" s="42"/>
      <c r="AF11" s="60" t="s">
        <v>109</v>
      </c>
      <c r="AG11" s="43">
        <f t="shared" si="15"/>
        <v>5001.75</v>
      </c>
      <c r="AH11" s="29"/>
      <c r="AI11" s="29"/>
      <c r="AJ11" s="29"/>
      <c r="AK11" s="29"/>
      <c r="AL11" s="27"/>
      <c r="AM11" s="44"/>
      <c r="AN11" s="47"/>
      <c r="AO11" s="37"/>
      <c r="AP11" s="47"/>
      <c r="AQ11" s="43">
        <f t="shared" si="17"/>
        <v>5265</v>
      </c>
      <c r="AR11" s="43">
        <f t="shared" si="2"/>
        <v>263.25</v>
      </c>
      <c r="AS11" s="43">
        <f t="shared" si="3"/>
        <v>921.375</v>
      </c>
      <c r="AT11" s="48">
        <f t="shared" si="4"/>
        <v>4080.375</v>
      </c>
      <c r="AU11" s="49">
        <f t="shared" si="10"/>
        <v>4080.375</v>
      </c>
      <c r="AV11" s="48"/>
      <c r="AW11" s="34">
        <f t="shared" si="5"/>
        <v>17866.5</v>
      </c>
      <c r="AX11" s="50">
        <f t="shared" si="6"/>
        <v>1155.375</v>
      </c>
      <c r="AY11" s="43"/>
      <c r="AZ11" s="27"/>
      <c r="BA11" s="48">
        <f t="shared" si="13"/>
        <v>4080.375</v>
      </c>
      <c r="BB11" s="27"/>
      <c r="BC11" s="27"/>
      <c r="BD11" s="51"/>
      <c r="BE11" s="52"/>
      <c r="BF11" s="27" t="s">
        <v>106</v>
      </c>
      <c r="BG11" s="53" t="s">
        <v>110</v>
      </c>
      <c r="BH11" s="53" t="str">
        <f>'[1]2023'!Q148</f>
        <v>#REF!</v>
      </c>
      <c r="BI11" s="27"/>
      <c r="BJ11" s="27"/>
      <c r="BK11" s="27" t="s">
        <v>76</v>
      </c>
      <c r="BL11" s="27"/>
    </row>
    <row r="12" ht="14.25" customHeight="1">
      <c r="A12" s="26" t="s">
        <v>111</v>
      </c>
      <c r="B12" s="26" t="s">
        <v>56</v>
      </c>
      <c r="C12" s="26" t="s">
        <v>57</v>
      </c>
      <c r="D12" s="26" t="s">
        <v>71</v>
      </c>
      <c r="E12" s="27" t="s">
        <v>112</v>
      </c>
      <c r="F12" s="28" t="s">
        <v>113</v>
      </c>
      <c r="G12" s="29" t="s">
        <v>94</v>
      </c>
      <c r="H12" s="30">
        <v>44971.0</v>
      </c>
      <c r="I12" s="30">
        <v>45336.0</v>
      </c>
      <c r="J12" s="31">
        <v>1.024104916E9</v>
      </c>
      <c r="K12" s="26" t="s">
        <v>62</v>
      </c>
      <c r="L12" s="32" t="s">
        <v>75</v>
      </c>
      <c r="M12" s="33">
        <v>12648.0</v>
      </c>
      <c r="N12" s="34">
        <v>13651.0</v>
      </c>
      <c r="O12" s="27" t="s">
        <v>76</v>
      </c>
      <c r="P12" s="35" t="s">
        <v>89</v>
      </c>
      <c r="Q12" s="35" t="s">
        <v>114</v>
      </c>
      <c r="R12" s="36" t="e">
        <v>#VALUE!</v>
      </c>
      <c r="S12" s="35" t="s">
        <v>66</v>
      </c>
      <c r="T12" s="35">
        <v>0.0</v>
      </c>
      <c r="U12" s="37" t="s">
        <v>115</v>
      </c>
      <c r="V12" s="38">
        <v>525000.0</v>
      </c>
      <c r="W12" s="38" t="s">
        <v>116</v>
      </c>
      <c r="X12" s="27">
        <v>2020.0</v>
      </c>
      <c r="Y12" s="39" t="s">
        <v>117</v>
      </c>
      <c r="Z12" s="39" t="s">
        <v>118</v>
      </c>
      <c r="AA12" s="39"/>
      <c r="AB12" s="27"/>
      <c r="AC12" s="27">
        <f t="shared" si="1"/>
        <v>0</v>
      </c>
      <c r="AD12" s="41">
        <f>IF(AND(S12="0",O12="Paid"),(M12*15%)-AC12,0)</f>
        <v>0</v>
      </c>
      <c r="AE12" s="42"/>
      <c r="AF12" s="27"/>
      <c r="AG12" s="43">
        <f>IF(AND(O12="Paid",A12="GIG"),((M12*25%)-(((M12*25%)*5%))),0)</f>
        <v>3003.9</v>
      </c>
      <c r="AH12" s="29" t="s">
        <v>75</v>
      </c>
      <c r="AI12" s="61" t="s">
        <v>119</v>
      </c>
      <c r="AJ12" s="40"/>
      <c r="AK12" s="62" t="s">
        <v>63</v>
      </c>
      <c r="AL12" s="27"/>
      <c r="AM12" s="44">
        <f>IF((BD12&lt;=2),AU12*10%,(IF((BD12&lt;=3),AU12*20%,IF((BD12&lt;=4),AU12*20%,IF((BD12&gt;=5),AU12*30%,0)))))</f>
        <v>245.055</v>
      </c>
      <c r="AN12" s="63" t="s">
        <v>75</v>
      </c>
      <c r="AO12" s="37"/>
      <c r="AP12" s="47"/>
      <c r="AQ12" s="43">
        <f t="shared" si="17"/>
        <v>3162</v>
      </c>
      <c r="AR12" s="43">
        <f t="shared" si="2"/>
        <v>158.1</v>
      </c>
      <c r="AS12" s="43">
        <f t="shared" si="3"/>
        <v>553.35</v>
      </c>
      <c r="AT12" s="48">
        <f t="shared" si="4"/>
        <v>2450.55</v>
      </c>
      <c r="AU12" s="49">
        <f t="shared" si="10"/>
        <v>2450.55</v>
      </c>
      <c r="AV12" s="48"/>
      <c r="AW12" s="34">
        <f t="shared" si="5"/>
        <v>13651</v>
      </c>
      <c r="AX12" s="50">
        <f t="shared" si="6"/>
        <v>2205.495</v>
      </c>
      <c r="AY12" s="43"/>
      <c r="AZ12" s="27"/>
      <c r="BA12" s="48">
        <f t="shared" si="13"/>
        <v>2205.495</v>
      </c>
      <c r="BB12" s="27"/>
      <c r="BC12" s="27"/>
      <c r="BD12" s="51"/>
      <c r="BE12" s="52"/>
      <c r="BF12" s="27" t="s">
        <v>112</v>
      </c>
      <c r="BG12" s="58" t="s">
        <v>99</v>
      </c>
      <c r="BH12" s="53" t="str">
        <f>'[1]2023'!Q171</f>
        <v>#REF!</v>
      </c>
      <c r="BI12" s="27"/>
      <c r="BJ12" s="27"/>
      <c r="BK12" s="27" t="s">
        <v>76</v>
      </c>
      <c r="BL12" s="27"/>
    </row>
    <row r="13" ht="14.25" customHeight="1">
      <c r="A13" s="26" t="s">
        <v>55</v>
      </c>
      <c r="B13" s="26" t="s">
        <v>56</v>
      </c>
      <c r="C13" s="26" t="s">
        <v>57</v>
      </c>
      <c r="D13" s="26" t="s">
        <v>81</v>
      </c>
      <c r="E13" s="27" t="s">
        <v>120</v>
      </c>
      <c r="F13" s="26" t="s">
        <v>121</v>
      </c>
      <c r="G13" s="29" t="s">
        <v>94</v>
      </c>
      <c r="H13" s="30">
        <v>44971.0</v>
      </c>
      <c r="I13" s="30">
        <v>45336.0</v>
      </c>
      <c r="J13" s="31">
        <v>0.0</v>
      </c>
      <c r="K13" s="26" t="s">
        <v>62</v>
      </c>
      <c r="L13" s="32" t="s">
        <v>75</v>
      </c>
      <c r="M13" s="33">
        <v>22715.0</v>
      </c>
      <c r="N13" s="34">
        <v>24196.19</v>
      </c>
      <c r="O13" s="27" t="s">
        <v>76</v>
      </c>
      <c r="P13" s="35" t="s">
        <v>122</v>
      </c>
      <c r="Q13" s="35" t="s">
        <v>90</v>
      </c>
      <c r="R13" s="36" t="e">
        <v>#VALUE!</v>
      </c>
      <c r="S13" s="35" t="s">
        <v>86</v>
      </c>
      <c r="T13" s="35">
        <v>0.0</v>
      </c>
      <c r="U13" s="37" t="s">
        <v>67</v>
      </c>
      <c r="V13" s="38"/>
      <c r="W13" s="38"/>
      <c r="X13" s="27"/>
      <c r="Y13" s="39"/>
      <c r="Z13" s="39"/>
      <c r="AA13" s="39"/>
      <c r="AB13" s="27"/>
      <c r="AC13" s="27">
        <f t="shared" si="1"/>
        <v>0</v>
      </c>
      <c r="AD13" s="41">
        <f>IF(AND(S13="0",O13="Paid"),M13*15%,0)</f>
        <v>3407.25</v>
      </c>
      <c r="AE13" s="42"/>
      <c r="AF13" s="27"/>
      <c r="AG13" s="43">
        <f t="shared" ref="AG13:AG20" si="18">IF(O13="Paid",IF(A13="Alwataniya",(M13*21%)-((M13*21%)*5%),IF((A13="GIG"),(M13*25%)-((M13*25%)*5%),IF((A13="Allianz"),(M13*27%)-((M13*27%)*5%),0))),0)</f>
        <v>5826.3975</v>
      </c>
      <c r="AH13" s="29"/>
      <c r="AI13" s="29"/>
      <c r="AJ13" s="29"/>
      <c r="AK13" s="29"/>
      <c r="AL13" s="27"/>
      <c r="AM13" s="44"/>
      <c r="AN13" s="47"/>
      <c r="AO13" s="46"/>
      <c r="AP13" s="47"/>
      <c r="AQ13" s="43">
        <f t="shared" si="17"/>
        <v>6133.05</v>
      </c>
      <c r="AR13" s="43">
        <f t="shared" si="2"/>
        <v>306.6525</v>
      </c>
      <c r="AS13" s="43">
        <f t="shared" si="3"/>
        <v>1073.28375</v>
      </c>
      <c r="AT13" s="48">
        <f t="shared" si="4"/>
        <v>4753.11375</v>
      </c>
      <c r="AU13" s="49">
        <f t="shared" si="10"/>
        <v>4753.11375</v>
      </c>
      <c r="AV13" s="48"/>
      <c r="AW13" s="34">
        <f t="shared" si="5"/>
        <v>20788.94</v>
      </c>
      <c r="AX13" s="50">
        <f t="shared" si="6"/>
        <v>1345.86375</v>
      </c>
      <c r="AY13" s="43"/>
      <c r="AZ13" s="27"/>
      <c r="BA13" s="48">
        <f t="shared" si="13"/>
        <v>4753.11375</v>
      </c>
      <c r="BB13" s="27"/>
      <c r="BC13" s="27"/>
      <c r="BD13" s="51"/>
      <c r="BE13" s="52"/>
      <c r="BF13" s="27" t="s">
        <v>120</v>
      </c>
      <c r="BG13" s="53" t="s">
        <v>123</v>
      </c>
      <c r="BH13" s="53" t="str">
        <f>'[1]2023'!Q212</f>
        <v>#REF!</v>
      </c>
      <c r="BI13" s="27"/>
      <c r="BJ13" s="27"/>
      <c r="BK13" s="27" t="s">
        <v>76</v>
      </c>
      <c r="BL13" s="27"/>
    </row>
    <row r="14" ht="14.25" customHeight="1">
      <c r="A14" s="26" t="s">
        <v>55</v>
      </c>
      <c r="B14" s="26" t="s">
        <v>56</v>
      </c>
      <c r="C14" s="26" t="s">
        <v>57</v>
      </c>
      <c r="D14" s="26" t="s">
        <v>58</v>
      </c>
      <c r="E14" s="27" t="s">
        <v>124</v>
      </c>
      <c r="F14" s="28" t="s">
        <v>125</v>
      </c>
      <c r="G14" s="29" t="s">
        <v>94</v>
      </c>
      <c r="H14" s="30">
        <v>44971.0</v>
      </c>
      <c r="I14" s="30">
        <v>45336.0</v>
      </c>
      <c r="J14" s="31">
        <v>0.0</v>
      </c>
      <c r="K14" s="26" t="s">
        <v>62</v>
      </c>
      <c r="L14" s="32" t="s">
        <v>63</v>
      </c>
      <c r="M14" s="33">
        <v>0.0</v>
      </c>
      <c r="N14" s="34">
        <v>0.0</v>
      </c>
      <c r="O14" s="27" t="s">
        <v>64</v>
      </c>
      <c r="P14" s="35">
        <v>0.0</v>
      </c>
      <c r="Q14" s="35">
        <v>0.0</v>
      </c>
      <c r="R14" s="36" t="e">
        <v>#VALUE!</v>
      </c>
      <c r="S14" s="35" t="s">
        <v>86</v>
      </c>
      <c r="T14" s="35">
        <v>0.0</v>
      </c>
      <c r="U14" s="37">
        <v>0.0</v>
      </c>
      <c r="V14" s="38"/>
      <c r="W14" s="38"/>
      <c r="X14" s="27"/>
      <c r="Y14" s="39"/>
      <c r="Z14" s="39"/>
      <c r="AA14" s="39"/>
      <c r="AB14" s="27"/>
      <c r="AC14" s="27">
        <f t="shared" si="1"/>
        <v>0</v>
      </c>
      <c r="AD14" s="41">
        <f>IF(AND(S14="0",O14="Paid"),(M14*15%)-AC14,0)</f>
        <v>0</v>
      </c>
      <c r="AE14" s="42"/>
      <c r="AF14" s="27"/>
      <c r="AG14" s="43">
        <f t="shared" si="18"/>
        <v>0</v>
      </c>
      <c r="AH14" s="29"/>
      <c r="AI14" s="29"/>
      <c r="AJ14" s="29"/>
      <c r="AK14" s="29"/>
      <c r="AL14" s="27"/>
      <c r="AM14" s="44"/>
      <c r="AN14" s="47"/>
      <c r="AO14" s="46"/>
      <c r="AP14" s="47"/>
      <c r="AQ14" s="43" t="b">
        <f>IF(O14="Paid",IF(U14="Motor Plus",(M14*27%),IF(U14="Motor One",(M14*22%),(IF(U14="Golden",(M14*25%),(IF(U14="Classic",(M14*15%),(IF(U14="Wethaq",(M14*28%),IF(U14="Alwataniya",(M14*21%))*0)))))))))</f>
        <v>0</v>
      </c>
      <c r="AR14" s="43">
        <f t="shared" si="2"/>
        <v>0</v>
      </c>
      <c r="AS14" s="43">
        <f t="shared" si="3"/>
        <v>0</v>
      </c>
      <c r="AT14" s="48">
        <f t="shared" si="4"/>
        <v>0</v>
      </c>
      <c r="AU14" s="49">
        <f>AQ14-AR14-AS14-AC14-AO14</f>
        <v>0</v>
      </c>
      <c r="AV14" s="48"/>
      <c r="AW14" s="34">
        <f t="shared" si="5"/>
        <v>0</v>
      </c>
      <c r="AX14" s="50">
        <f t="shared" si="6"/>
        <v>0</v>
      </c>
      <c r="AY14" s="43"/>
      <c r="AZ14" s="47"/>
      <c r="BA14" s="48">
        <f t="shared" si="13"/>
        <v>0</v>
      </c>
      <c r="BB14" s="27"/>
      <c r="BC14" s="27"/>
      <c r="BD14" s="51"/>
      <c r="BE14" s="52"/>
      <c r="BF14" s="27" t="s">
        <v>124</v>
      </c>
      <c r="BG14" s="53">
        <v>0.0</v>
      </c>
      <c r="BH14" s="53" t="str">
        <f>'[1]2023'!Q1143</f>
        <v>#REF!</v>
      </c>
      <c r="BI14" s="27"/>
      <c r="BJ14" s="27"/>
      <c r="BK14" s="27" t="s">
        <v>64</v>
      </c>
      <c r="BL14" s="27"/>
    </row>
    <row r="15" ht="14.25" customHeight="1">
      <c r="A15" s="26" t="s">
        <v>55</v>
      </c>
      <c r="B15" s="26" t="s">
        <v>56</v>
      </c>
      <c r="C15" s="26" t="s">
        <v>57</v>
      </c>
      <c r="D15" s="26" t="s">
        <v>81</v>
      </c>
      <c r="E15" s="27" t="s">
        <v>126</v>
      </c>
      <c r="F15" s="26" t="s">
        <v>127</v>
      </c>
      <c r="G15" s="29" t="s">
        <v>128</v>
      </c>
      <c r="H15" s="30">
        <v>44972.0</v>
      </c>
      <c r="I15" s="30">
        <v>45337.0</v>
      </c>
      <c r="J15" s="31">
        <v>0.0</v>
      </c>
      <c r="K15" s="26" t="s">
        <v>62</v>
      </c>
      <c r="L15" s="32" t="s">
        <v>75</v>
      </c>
      <c r="M15" s="33">
        <v>21240.0</v>
      </c>
      <c r="N15" s="34">
        <v>22634.16</v>
      </c>
      <c r="O15" s="27" t="s">
        <v>76</v>
      </c>
      <c r="P15" s="35" t="s">
        <v>95</v>
      </c>
      <c r="Q15" s="35" t="s">
        <v>65</v>
      </c>
      <c r="R15" s="36" t="e">
        <v>#VALUE!</v>
      </c>
      <c r="S15" s="35" t="s">
        <v>86</v>
      </c>
      <c r="T15" s="35">
        <v>0.0</v>
      </c>
      <c r="U15" s="37" t="s">
        <v>67</v>
      </c>
      <c r="V15" s="38"/>
      <c r="W15" s="38"/>
      <c r="X15" s="27"/>
      <c r="Y15" s="39"/>
      <c r="Z15" s="39"/>
      <c r="AA15" s="39"/>
      <c r="AB15" s="27"/>
      <c r="AC15" s="27">
        <f t="shared" si="1"/>
        <v>0</v>
      </c>
      <c r="AD15" s="41"/>
      <c r="AE15" s="42"/>
      <c r="AF15" s="27"/>
      <c r="AG15" s="43">
        <f t="shared" si="18"/>
        <v>5448.06</v>
      </c>
      <c r="AH15" s="29"/>
      <c r="AI15" s="29"/>
      <c r="AJ15" s="29"/>
      <c r="AK15" s="29"/>
      <c r="AL15" s="27"/>
      <c r="AM15" s="44"/>
      <c r="AN15" s="47"/>
      <c r="AO15" s="37"/>
      <c r="AP15" s="47"/>
      <c r="AQ15" s="43">
        <f t="shared" ref="AQ15:AQ20" si="19">IF(U15="Motor Plus",(M15*27%),IF(U15="Motor One",(M15*22%),(IF(U15="Golden",(M15*25%),(IF(U15="Classic",(M15*15%),(IF(U15="Wethaq",(M15*28%),IF(U15="Alwataniya",(M15*21%))*0))))))))</f>
        <v>5734.8</v>
      </c>
      <c r="AR15" s="43">
        <f t="shared" si="2"/>
        <v>286.74</v>
      </c>
      <c r="AS15" s="43">
        <f t="shared" si="3"/>
        <v>1003.59</v>
      </c>
      <c r="AT15" s="48">
        <f t="shared" si="4"/>
        <v>4444.47</v>
      </c>
      <c r="AU15" s="49">
        <f t="shared" ref="AU15:AU114" si="20">AQ15-AR15-AS15-AC15</f>
        <v>4444.47</v>
      </c>
      <c r="AV15" s="48"/>
      <c r="AW15" s="34">
        <f t="shared" si="5"/>
        <v>22634.16</v>
      </c>
      <c r="AX15" s="50">
        <f t="shared" si="6"/>
        <v>4444.47</v>
      </c>
      <c r="AY15" s="43"/>
      <c r="AZ15" s="27"/>
      <c r="BA15" s="48">
        <f t="shared" si="13"/>
        <v>4444.47</v>
      </c>
      <c r="BB15" s="27"/>
      <c r="BC15" s="27"/>
      <c r="BD15" s="51"/>
      <c r="BE15" s="52"/>
      <c r="BF15" s="27" t="s">
        <v>126</v>
      </c>
      <c r="BG15" s="53" t="s">
        <v>129</v>
      </c>
      <c r="BH15" s="53" t="str">
        <f>'[1]2023'!Q106</f>
        <v>#REF!</v>
      </c>
      <c r="BI15" s="27"/>
      <c r="BJ15" s="27"/>
      <c r="BK15" s="27" t="s">
        <v>76</v>
      </c>
      <c r="BL15" s="27"/>
    </row>
    <row r="16" ht="14.25" customHeight="1">
      <c r="A16" s="26" t="s">
        <v>55</v>
      </c>
      <c r="B16" s="26" t="s">
        <v>56</v>
      </c>
      <c r="C16" s="26" t="s">
        <v>57</v>
      </c>
      <c r="D16" s="26" t="s">
        <v>81</v>
      </c>
      <c r="E16" s="27" t="s">
        <v>130</v>
      </c>
      <c r="F16" s="26" t="s">
        <v>131</v>
      </c>
      <c r="G16" s="29" t="s">
        <v>128</v>
      </c>
      <c r="H16" s="30">
        <v>44972.0</v>
      </c>
      <c r="I16" s="30">
        <v>45337.0</v>
      </c>
      <c r="J16" s="31">
        <v>0.0</v>
      </c>
      <c r="K16" s="26" t="s">
        <v>62</v>
      </c>
      <c r="L16" s="32" t="s">
        <v>75</v>
      </c>
      <c r="M16" s="33">
        <v>18585.0</v>
      </c>
      <c r="N16" s="34">
        <v>19822.52</v>
      </c>
      <c r="O16" s="27" t="s">
        <v>76</v>
      </c>
      <c r="P16" s="35" t="s">
        <v>89</v>
      </c>
      <c r="Q16" s="35" t="s">
        <v>65</v>
      </c>
      <c r="R16" s="36" t="e">
        <v>#VALUE!</v>
      </c>
      <c r="S16" s="35" t="s">
        <v>86</v>
      </c>
      <c r="T16" s="35">
        <v>0.0</v>
      </c>
      <c r="U16" s="37" t="s">
        <v>67</v>
      </c>
      <c r="V16" s="38"/>
      <c r="W16" s="38"/>
      <c r="X16" s="27"/>
      <c r="Y16" s="39"/>
      <c r="Z16" s="39"/>
      <c r="AA16" s="39"/>
      <c r="AB16" s="27"/>
      <c r="AC16" s="27">
        <f t="shared" si="1"/>
        <v>0</v>
      </c>
      <c r="AD16" s="41"/>
      <c r="AE16" s="42"/>
      <c r="AF16" s="27"/>
      <c r="AG16" s="43">
        <f t="shared" si="18"/>
        <v>4767.0525</v>
      </c>
      <c r="AH16" s="29"/>
      <c r="AI16" s="29"/>
      <c r="AJ16" s="29"/>
      <c r="AK16" s="29"/>
      <c r="AL16" s="27"/>
      <c r="AM16" s="44"/>
      <c r="AN16" s="47"/>
      <c r="AO16" s="37"/>
      <c r="AP16" s="47"/>
      <c r="AQ16" s="43">
        <f t="shared" si="19"/>
        <v>5017.95</v>
      </c>
      <c r="AR16" s="43">
        <f t="shared" si="2"/>
        <v>250.8975</v>
      </c>
      <c r="AS16" s="43">
        <f t="shared" si="3"/>
        <v>878.14125</v>
      </c>
      <c r="AT16" s="48">
        <f t="shared" si="4"/>
        <v>3888.91125</v>
      </c>
      <c r="AU16" s="49">
        <f t="shared" si="20"/>
        <v>3888.91125</v>
      </c>
      <c r="AV16" s="48"/>
      <c r="AW16" s="34">
        <f t="shared" si="5"/>
        <v>19822.52</v>
      </c>
      <c r="AX16" s="50">
        <f t="shared" si="6"/>
        <v>3888.91125</v>
      </c>
      <c r="AY16" s="43"/>
      <c r="AZ16" s="27"/>
      <c r="BA16" s="48">
        <f t="shared" si="13"/>
        <v>3888.91125</v>
      </c>
      <c r="BB16" s="27"/>
      <c r="BC16" s="27"/>
      <c r="BD16" s="51"/>
      <c r="BE16" s="52"/>
      <c r="BF16" s="27" t="s">
        <v>130</v>
      </c>
      <c r="BG16" s="58" t="s">
        <v>132</v>
      </c>
      <c r="BH16" s="53" t="str">
        <f>'[1]2023'!Q159</f>
        <v>#REF!</v>
      </c>
      <c r="BI16" s="27"/>
      <c r="BJ16" s="27"/>
      <c r="BK16" s="27" t="s">
        <v>76</v>
      </c>
      <c r="BL16" s="27"/>
    </row>
    <row r="17" ht="14.25" customHeight="1">
      <c r="A17" s="26" t="s">
        <v>55</v>
      </c>
      <c r="B17" s="26" t="s">
        <v>56</v>
      </c>
      <c r="C17" s="26" t="s">
        <v>57</v>
      </c>
      <c r="D17" s="26" t="s">
        <v>81</v>
      </c>
      <c r="E17" s="27" t="s">
        <v>133</v>
      </c>
      <c r="F17" s="26" t="s">
        <v>134</v>
      </c>
      <c r="G17" s="29" t="s">
        <v>135</v>
      </c>
      <c r="H17" s="30">
        <v>44972.0</v>
      </c>
      <c r="I17" s="30">
        <v>45337.0</v>
      </c>
      <c r="J17" s="31">
        <v>0.0</v>
      </c>
      <c r="K17" s="26" t="s">
        <v>62</v>
      </c>
      <c r="L17" s="32" t="s">
        <v>75</v>
      </c>
      <c r="M17" s="33">
        <v>18880.0</v>
      </c>
      <c r="N17" s="34">
        <v>20134.92</v>
      </c>
      <c r="O17" s="27" t="s">
        <v>76</v>
      </c>
      <c r="P17" s="35" t="s">
        <v>122</v>
      </c>
      <c r="Q17" s="35" t="s">
        <v>65</v>
      </c>
      <c r="R17" s="36" t="e">
        <v>#VALUE!</v>
      </c>
      <c r="S17" s="35" t="s">
        <v>86</v>
      </c>
      <c r="T17" s="35">
        <v>0.0</v>
      </c>
      <c r="U17" s="37" t="s">
        <v>67</v>
      </c>
      <c r="V17" s="38"/>
      <c r="W17" s="38"/>
      <c r="X17" s="27"/>
      <c r="Y17" s="39"/>
      <c r="Z17" s="39"/>
      <c r="AA17" s="39"/>
      <c r="AB17" s="27"/>
      <c r="AC17" s="27">
        <f t="shared" si="1"/>
        <v>0</v>
      </c>
      <c r="AD17" s="41"/>
      <c r="AE17" s="42"/>
      <c r="AF17" s="27"/>
      <c r="AG17" s="43">
        <f t="shared" si="18"/>
        <v>4842.72</v>
      </c>
      <c r="AH17" s="29"/>
      <c r="AI17" s="29"/>
      <c r="AJ17" s="29"/>
      <c r="AK17" s="29"/>
      <c r="AL17" s="27"/>
      <c r="AM17" s="44"/>
      <c r="AN17" s="47"/>
      <c r="AO17" s="37"/>
      <c r="AP17" s="47"/>
      <c r="AQ17" s="43">
        <f t="shared" si="19"/>
        <v>5097.6</v>
      </c>
      <c r="AR17" s="43">
        <f t="shared" si="2"/>
        <v>254.88</v>
      </c>
      <c r="AS17" s="43">
        <f t="shared" si="3"/>
        <v>892.08</v>
      </c>
      <c r="AT17" s="48">
        <f t="shared" si="4"/>
        <v>3950.64</v>
      </c>
      <c r="AU17" s="49">
        <f t="shared" si="20"/>
        <v>3950.64</v>
      </c>
      <c r="AV17" s="48"/>
      <c r="AW17" s="34">
        <f t="shared" si="5"/>
        <v>20134.92</v>
      </c>
      <c r="AX17" s="50">
        <f t="shared" si="6"/>
        <v>3950.64</v>
      </c>
      <c r="AY17" s="43"/>
      <c r="AZ17" s="27"/>
      <c r="BA17" s="48">
        <f t="shared" si="13"/>
        <v>3950.64</v>
      </c>
      <c r="BB17" s="27"/>
      <c r="BC17" s="27"/>
      <c r="BD17" s="51"/>
      <c r="BE17" s="52"/>
      <c r="BF17" s="27" t="s">
        <v>133</v>
      </c>
      <c r="BG17" s="53" t="s">
        <v>123</v>
      </c>
      <c r="BH17" s="53" t="str">
        <f>'[1]2023'!Q173</f>
        <v>#REF!</v>
      </c>
      <c r="BI17" s="27"/>
      <c r="BJ17" s="27"/>
      <c r="BK17" s="27" t="s">
        <v>76</v>
      </c>
      <c r="BL17" s="27"/>
    </row>
    <row r="18" ht="14.25" customHeight="1">
      <c r="A18" s="26" t="s">
        <v>55</v>
      </c>
      <c r="B18" s="26" t="s">
        <v>56</v>
      </c>
      <c r="C18" s="26" t="s">
        <v>57</v>
      </c>
      <c r="D18" s="26" t="s">
        <v>81</v>
      </c>
      <c r="E18" s="27" t="s">
        <v>136</v>
      </c>
      <c r="F18" s="26" t="s">
        <v>137</v>
      </c>
      <c r="G18" s="29" t="s">
        <v>128</v>
      </c>
      <c r="H18" s="30">
        <v>44972.0</v>
      </c>
      <c r="I18" s="30">
        <v>45337.0</v>
      </c>
      <c r="J18" s="31">
        <v>0.0</v>
      </c>
      <c r="K18" s="26" t="s">
        <v>62</v>
      </c>
      <c r="L18" s="32" t="s">
        <v>75</v>
      </c>
      <c r="M18" s="33">
        <v>14160.0</v>
      </c>
      <c r="N18" s="34">
        <v>15136.44</v>
      </c>
      <c r="O18" s="27" t="s">
        <v>76</v>
      </c>
      <c r="P18" s="35" t="s">
        <v>89</v>
      </c>
      <c r="Q18" s="35" t="s">
        <v>85</v>
      </c>
      <c r="R18" s="36" t="e">
        <v>#VALUE!</v>
      </c>
      <c r="S18" s="35" t="s">
        <v>86</v>
      </c>
      <c r="T18" s="35">
        <v>0.0</v>
      </c>
      <c r="U18" s="37" t="s">
        <v>67</v>
      </c>
      <c r="V18" s="38"/>
      <c r="W18" s="38"/>
      <c r="X18" s="27"/>
      <c r="Y18" s="39"/>
      <c r="Z18" s="39"/>
      <c r="AA18" s="39"/>
      <c r="AB18" s="27"/>
      <c r="AC18" s="27">
        <f t="shared" si="1"/>
        <v>0</v>
      </c>
      <c r="AD18" s="41">
        <f t="shared" ref="AD18:AD20" si="21">IF(AND(S18="0",O18="Paid"),M18*15%,0)</f>
        <v>2124</v>
      </c>
      <c r="AE18" s="42"/>
      <c r="AF18" s="29">
        <v>45049.0</v>
      </c>
      <c r="AG18" s="43">
        <f t="shared" si="18"/>
        <v>3632.04</v>
      </c>
      <c r="AH18" s="29"/>
      <c r="AI18" s="29"/>
      <c r="AJ18" s="29"/>
      <c r="AK18" s="29"/>
      <c r="AL18" s="27"/>
      <c r="AM18" s="44"/>
      <c r="AN18" s="47"/>
      <c r="AO18" s="46"/>
      <c r="AP18" s="47"/>
      <c r="AQ18" s="43">
        <f t="shared" si="19"/>
        <v>3823.2</v>
      </c>
      <c r="AR18" s="43">
        <f t="shared" si="2"/>
        <v>191.16</v>
      </c>
      <c r="AS18" s="43">
        <f t="shared" si="3"/>
        <v>669.06</v>
      </c>
      <c r="AT18" s="48">
        <f t="shared" si="4"/>
        <v>2962.98</v>
      </c>
      <c r="AU18" s="49">
        <f t="shared" si="20"/>
        <v>2962.98</v>
      </c>
      <c r="AV18" s="48"/>
      <c r="AW18" s="34">
        <f t="shared" si="5"/>
        <v>13012.44</v>
      </c>
      <c r="AX18" s="50">
        <f t="shared" si="6"/>
        <v>838.98</v>
      </c>
      <c r="AY18" s="43"/>
      <c r="AZ18" s="27"/>
      <c r="BA18" s="48">
        <f t="shared" si="13"/>
        <v>2962.98</v>
      </c>
      <c r="BB18" s="27"/>
      <c r="BC18" s="27"/>
      <c r="BD18" s="51"/>
      <c r="BE18" s="52"/>
      <c r="BF18" s="27" t="s">
        <v>136</v>
      </c>
      <c r="BG18" s="53">
        <v>0.0</v>
      </c>
      <c r="BH18" s="53" t="str">
        <f>'[1]2023'!Q204</f>
        <v>#REF!</v>
      </c>
      <c r="BI18" s="27"/>
      <c r="BJ18" s="27"/>
      <c r="BK18" s="27" t="s">
        <v>76</v>
      </c>
      <c r="BL18" s="27" t="s">
        <v>138</v>
      </c>
    </row>
    <row r="19" ht="14.25" customHeight="1">
      <c r="A19" s="26" t="s">
        <v>55</v>
      </c>
      <c r="B19" s="26" t="s">
        <v>56</v>
      </c>
      <c r="C19" s="26" t="s">
        <v>57</v>
      </c>
      <c r="D19" s="26" t="s">
        <v>81</v>
      </c>
      <c r="E19" s="27" t="s">
        <v>139</v>
      </c>
      <c r="F19" s="26" t="s">
        <v>140</v>
      </c>
      <c r="G19" s="29" t="s">
        <v>141</v>
      </c>
      <c r="H19" s="30">
        <v>44973.0</v>
      </c>
      <c r="I19" s="30">
        <v>45338.0</v>
      </c>
      <c r="J19" s="31">
        <v>0.0</v>
      </c>
      <c r="K19" s="26" t="s">
        <v>62</v>
      </c>
      <c r="L19" s="32" t="s">
        <v>75</v>
      </c>
      <c r="M19" s="33">
        <v>23747.5</v>
      </c>
      <c r="N19" s="34">
        <v>25289.62</v>
      </c>
      <c r="O19" s="27" t="s">
        <v>76</v>
      </c>
      <c r="P19" s="35" t="s">
        <v>142</v>
      </c>
      <c r="Q19" s="35" t="s">
        <v>90</v>
      </c>
      <c r="R19" s="36" t="e">
        <v>#VALUE!</v>
      </c>
      <c r="S19" s="35" t="s">
        <v>86</v>
      </c>
      <c r="T19" s="35">
        <v>0.0</v>
      </c>
      <c r="U19" s="37" t="s">
        <v>67</v>
      </c>
      <c r="V19" s="38"/>
      <c r="W19" s="38"/>
      <c r="X19" s="27"/>
      <c r="Y19" s="39"/>
      <c r="Z19" s="39"/>
      <c r="AA19" s="39"/>
      <c r="AB19" s="27"/>
      <c r="AC19" s="27">
        <f t="shared" si="1"/>
        <v>0</v>
      </c>
      <c r="AD19" s="41">
        <f t="shared" si="21"/>
        <v>3562.125</v>
      </c>
      <c r="AE19" s="42"/>
      <c r="AF19" s="27" t="s">
        <v>143</v>
      </c>
      <c r="AG19" s="43">
        <f t="shared" si="18"/>
        <v>6091.23375</v>
      </c>
      <c r="AH19" s="29"/>
      <c r="AI19" s="29"/>
      <c r="AJ19" s="29"/>
      <c r="AK19" s="29"/>
      <c r="AL19" s="27"/>
      <c r="AM19" s="44"/>
      <c r="AN19" s="47"/>
      <c r="AO19" s="37"/>
      <c r="AP19" s="47"/>
      <c r="AQ19" s="43">
        <f t="shared" si="19"/>
        <v>6411.825</v>
      </c>
      <c r="AR19" s="43">
        <f t="shared" si="2"/>
        <v>320.59125</v>
      </c>
      <c r="AS19" s="43">
        <f t="shared" si="3"/>
        <v>1122.069375</v>
      </c>
      <c r="AT19" s="48">
        <f t="shared" si="4"/>
        <v>4969.164375</v>
      </c>
      <c r="AU19" s="49">
        <f t="shared" si="20"/>
        <v>4969.164375</v>
      </c>
      <c r="AV19" s="48"/>
      <c r="AW19" s="34">
        <f t="shared" si="5"/>
        <v>21727.495</v>
      </c>
      <c r="AX19" s="50">
        <f t="shared" si="6"/>
        <v>1407.039375</v>
      </c>
      <c r="AY19" s="43"/>
      <c r="AZ19" s="27"/>
      <c r="BA19" s="48">
        <f t="shared" si="13"/>
        <v>4969.164375</v>
      </c>
      <c r="BB19" s="27"/>
      <c r="BC19" s="27"/>
      <c r="BD19" s="51"/>
      <c r="BE19" s="52"/>
      <c r="BF19" s="27" t="s">
        <v>139</v>
      </c>
      <c r="BG19" s="58" t="s">
        <v>144</v>
      </c>
      <c r="BH19" s="53" t="str">
        <f>'[1]2023'!Q135</f>
        <v>#REF!</v>
      </c>
      <c r="BI19" s="27"/>
      <c r="BJ19" s="27"/>
      <c r="BK19" s="27" t="s">
        <v>76</v>
      </c>
      <c r="BL19" s="64" t="s">
        <v>144</v>
      </c>
    </row>
    <row r="20" ht="14.25" customHeight="1">
      <c r="A20" s="26" t="s">
        <v>55</v>
      </c>
      <c r="B20" s="26" t="s">
        <v>56</v>
      </c>
      <c r="C20" s="65" t="s">
        <v>57</v>
      </c>
      <c r="D20" s="26" t="s">
        <v>81</v>
      </c>
      <c r="E20" s="27" t="s">
        <v>145</v>
      </c>
      <c r="F20" s="26" t="s">
        <v>146</v>
      </c>
      <c r="G20" s="29" t="s">
        <v>141</v>
      </c>
      <c r="H20" s="30">
        <v>44973.0</v>
      </c>
      <c r="I20" s="30">
        <v>45338.0</v>
      </c>
      <c r="J20" s="31">
        <v>0.0</v>
      </c>
      <c r="K20" s="26" t="s">
        <v>62</v>
      </c>
      <c r="L20" s="32" t="s">
        <v>75</v>
      </c>
      <c r="M20" s="33">
        <v>18880.0</v>
      </c>
      <c r="N20" s="34">
        <v>20134.92</v>
      </c>
      <c r="O20" s="27" t="s">
        <v>76</v>
      </c>
      <c r="P20" s="35" t="s">
        <v>95</v>
      </c>
      <c r="Q20" s="35" t="s">
        <v>90</v>
      </c>
      <c r="R20" s="36" t="e">
        <v>#VALUE!</v>
      </c>
      <c r="S20" s="35" t="s">
        <v>86</v>
      </c>
      <c r="T20" s="35">
        <v>0.0</v>
      </c>
      <c r="U20" s="37" t="s">
        <v>67</v>
      </c>
      <c r="V20" s="38"/>
      <c r="W20" s="38"/>
      <c r="X20" s="27"/>
      <c r="Y20" s="39"/>
      <c r="Z20" s="39"/>
      <c r="AA20" s="39"/>
      <c r="AB20" s="27"/>
      <c r="AC20" s="27">
        <f t="shared" si="1"/>
        <v>0</v>
      </c>
      <c r="AD20" s="41">
        <f t="shared" si="21"/>
        <v>2832</v>
      </c>
      <c r="AE20" s="42"/>
      <c r="AF20" s="27"/>
      <c r="AG20" s="43">
        <f t="shared" si="18"/>
        <v>4842.72</v>
      </c>
      <c r="AH20" s="29"/>
      <c r="AI20" s="29"/>
      <c r="AJ20" s="29"/>
      <c r="AK20" s="29"/>
      <c r="AL20" s="27"/>
      <c r="AM20" s="44"/>
      <c r="AN20" s="47"/>
      <c r="AO20" s="37"/>
      <c r="AP20" s="47"/>
      <c r="AQ20" s="43">
        <f t="shared" si="19"/>
        <v>5097.6</v>
      </c>
      <c r="AR20" s="43">
        <f t="shared" si="2"/>
        <v>254.88</v>
      </c>
      <c r="AS20" s="43">
        <f t="shared" si="3"/>
        <v>892.08</v>
      </c>
      <c r="AT20" s="48">
        <f t="shared" si="4"/>
        <v>3950.64</v>
      </c>
      <c r="AU20" s="49">
        <f t="shared" si="20"/>
        <v>3950.64</v>
      </c>
      <c r="AV20" s="48"/>
      <c r="AW20" s="34">
        <f t="shared" si="5"/>
        <v>17302.92</v>
      </c>
      <c r="AX20" s="50">
        <f t="shared" si="6"/>
        <v>1118.64</v>
      </c>
      <c r="AY20" s="43"/>
      <c r="AZ20" s="27"/>
      <c r="BA20" s="48">
        <f t="shared" si="13"/>
        <v>3950.64</v>
      </c>
      <c r="BB20" s="27"/>
      <c r="BC20" s="27"/>
      <c r="BD20" s="51"/>
      <c r="BE20" s="52"/>
      <c r="BF20" s="27" t="s">
        <v>145</v>
      </c>
      <c r="BG20" s="53">
        <v>44960.0</v>
      </c>
      <c r="BH20" s="53" t="str">
        <f>'[1]2023'!Q181</f>
        <v>#REF!</v>
      </c>
      <c r="BI20" s="27"/>
      <c r="BJ20" s="27"/>
      <c r="BK20" s="27" t="s">
        <v>76</v>
      </c>
      <c r="BL20" s="27"/>
    </row>
    <row r="21" ht="14.25" customHeight="1">
      <c r="A21" s="26" t="s">
        <v>111</v>
      </c>
      <c r="B21" s="26" t="s">
        <v>56</v>
      </c>
      <c r="C21" s="26" t="s">
        <v>57</v>
      </c>
      <c r="D21" s="26" t="s">
        <v>71</v>
      </c>
      <c r="E21" s="27" t="s">
        <v>147</v>
      </c>
      <c r="F21" s="28" t="s">
        <v>148</v>
      </c>
      <c r="G21" s="29" t="s">
        <v>141</v>
      </c>
      <c r="H21" s="30">
        <v>44973.0</v>
      </c>
      <c r="I21" s="30">
        <v>45338.0</v>
      </c>
      <c r="J21" s="31">
        <v>0.0</v>
      </c>
      <c r="K21" s="26" t="s">
        <v>62</v>
      </c>
      <c r="L21" s="32" t="s">
        <v>63</v>
      </c>
      <c r="M21" s="66">
        <v>20249.0</v>
      </c>
      <c r="N21" s="34">
        <v>21700.0</v>
      </c>
      <c r="O21" s="27" t="s">
        <v>64</v>
      </c>
      <c r="P21" s="35">
        <v>0.0</v>
      </c>
      <c r="Q21" s="35" t="s">
        <v>114</v>
      </c>
      <c r="R21" s="36" t="e">
        <v>#VALUE!</v>
      </c>
      <c r="S21" s="35" t="s">
        <v>86</v>
      </c>
      <c r="T21" s="35">
        <v>0.0</v>
      </c>
      <c r="U21" s="37" t="s">
        <v>149</v>
      </c>
      <c r="V21" s="38"/>
      <c r="W21" s="38"/>
      <c r="X21" s="27"/>
      <c r="Y21" s="39"/>
      <c r="Z21" s="39"/>
      <c r="AA21" s="39"/>
      <c r="AB21" s="67"/>
      <c r="AC21" s="27">
        <f t="shared" si="1"/>
        <v>0</v>
      </c>
      <c r="AD21" s="41">
        <f>IF(AND(S21="0",O21="Paid"),(M21*15%)-AC21,0)</f>
        <v>0</v>
      </c>
      <c r="AE21" s="42"/>
      <c r="AF21" s="27"/>
      <c r="AG21" s="43">
        <f>IF(O21="Paid",IF(A21="Alwataniya",(M21*21%)-((M21*21%)*5%),IF((A21="GIG"),(M21*25%)-((M21*25%)*5%),IF((A21="Allianz"),(M21*27%)-((M21*27%)*20%),0))),0)</f>
        <v>0</v>
      </c>
      <c r="AH21" s="29"/>
      <c r="AI21" s="29" t="s">
        <v>63</v>
      </c>
      <c r="AJ21" s="29"/>
      <c r="AK21" s="29"/>
      <c r="AL21" s="27"/>
      <c r="AM21" s="44"/>
      <c r="AN21" s="47"/>
      <c r="AO21" s="46"/>
      <c r="AP21" s="47"/>
      <c r="AQ21" s="43" t="b">
        <f>IF(O21="Paid",IF(U21="Motor Plus",(M21*27%),IF(U21="Motor One",(M21*22%),(IF(U21="Golden",(M21*25%),(IF(U21="Classic",(M21*15%),(IF(U21="Wethaq",(M21*28%),IF(U21="Alwataniya",(M21*21%))*0)))))))))</f>
        <v>0</v>
      </c>
      <c r="AR21" s="43">
        <f t="shared" si="2"/>
        <v>0</v>
      </c>
      <c r="AS21" s="43">
        <f t="shared" si="3"/>
        <v>0</v>
      </c>
      <c r="AT21" s="48">
        <f t="shared" si="4"/>
        <v>0</v>
      </c>
      <c r="AU21" s="49">
        <f t="shared" si="20"/>
        <v>0</v>
      </c>
      <c r="AV21" s="48"/>
      <c r="AW21" s="34">
        <f t="shared" si="5"/>
        <v>21700</v>
      </c>
      <c r="AX21" s="50">
        <f t="shared" si="6"/>
        <v>0</v>
      </c>
      <c r="AY21" s="43"/>
      <c r="AZ21" s="27"/>
      <c r="BA21" s="48">
        <f t="shared" si="13"/>
        <v>0</v>
      </c>
      <c r="BB21" s="27"/>
      <c r="BC21" s="27"/>
      <c r="BD21" s="51"/>
      <c r="BE21" s="52"/>
      <c r="BF21" s="27" t="s">
        <v>150</v>
      </c>
      <c r="BG21" s="53">
        <v>0.0</v>
      </c>
      <c r="BH21" s="53" t="str">
        <f>'[1]2023'!Q211</f>
        <v>#REF!</v>
      </c>
      <c r="BI21" s="27"/>
      <c r="BJ21" s="27"/>
      <c r="BK21" s="27" t="s">
        <v>64</v>
      </c>
      <c r="BL21" s="27"/>
    </row>
    <row r="22" ht="14.25" customHeight="1">
      <c r="A22" s="26" t="s">
        <v>55</v>
      </c>
      <c r="B22" s="26" t="s">
        <v>56</v>
      </c>
      <c r="C22" s="26" t="s">
        <v>57</v>
      </c>
      <c r="D22" s="26" t="s">
        <v>81</v>
      </c>
      <c r="E22" s="27" t="s">
        <v>151</v>
      </c>
      <c r="F22" s="26" t="s">
        <v>152</v>
      </c>
      <c r="G22" s="29" t="s">
        <v>141</v>
      </c>
      <c r="H22" s="30">
        <v>44973.0</v>
      </c>
      <c r="I22" s="30">
        <v>45338.0</v>
      </c>
      <c r="J22" s="31">
        <v>0.0</v>
      </c>
      <c r="K22" s="26" t="s">
        <v>62</v>
      </c>
      <c r="L22" s="32" t="s">
        <v>75</v>
      </c>
      <c r="M22" s="33">
        <v>17700.0</v>
      </c>
      <c r="N22" s="34">
        <v>18885.3</v>
      </c>
      <c r="O22" s="27" t="s">
        <v>76</v>
      </c>
      <c r="P22" s="35" t="s">
        <v>104</v>
      </c>
      <c r="Q22" s="35" t="s">
        <v>90</v>
      </c>
      <c r="R22" s="36" t="e">
        <v>#VALUE!</v>
      </c>
      <c r="S22" s="35" t="s">
        <v>86</v>
      </c>
      <c r="T22" s="35">
        <v>0.0</v>
      </c>
      <c r="U22" s="37" t="s">
        <v>67</v>
      </c>
      <c r="V22" s="38"/>
      <c r="W22" s="38"/>
      <c r="X22" s="27"/>
      <c r="Y22" s="39"/>
      <c r="Z22" s="39"/>
      <c r="AA22" s="39"/>
      <c r="AB22" s="27"/>
      <c r="AC22" s="27">
        <f t="shared" si="1"/>
        <v>0</v>
      </c>
      <c r="AD22" s="41">
        <f>IF(AND(S22="0",O22="Paid"),M22*15%,0)</f>
        <v>2655</v>
      </c>
      <c r="AE22" s="42"/>
      <c r="AF22" s="27"/>
      <c r="AG22" s="43">
        <f t="shared" ref="AG22:AG30" si="22">IF(O22="Paid",IF(A22="Alwataniya",(M22*21%)-((M22*21%)*5%),IF((A22="GIG"),(M22*25%)-((M22*25%)*5%),IF((A22="Allianz"),(M22*27%)-((M22*27%)*5%),0))),0)</f>
        <v>4540.05</v>
      </c>
      <c r="AH22" s="29"/>
      <c r="AI22" s="29"/>
      <c r="AJ22" s="29"/>
      <c r="AK22" s="29"/>
      <c r="AL22" s="27"/>
      <c r="AM22" s="27"/>
      <c r="AN22" s="47"/>
      <c r="AO22" s="46"/>
      <c r="AP22" s="68"/>
      <c r="AQ22" s="43">
        <f t="shared" ref="AQ22:AQ23" si="23">IF(U22="Motor Plus",(M22*27%),IF(U22="Motor One",(M22*22%),(IF(U22="Golden",(M22*25%),(IF(U22="Classic",(M22*15%),(IF(U22="Wethaq",(M22*28%),IF(U22="Alwataniya",(M22*21%))*0))))))))</f>
        <v>4779</v>
      </c>
      <c r="AR22" s="43">
        <f t="shared" si="2"/>
        <v>238.95</v>
      </c>
      <c r="AS22" s="43">
        <f t="shared" si="3"/>
        <v>836.325</v>
      </c>
      <c r="AT22" s="48">
        <f t="shared" si="4"/>
        <v>3703.725</v>
      </c>
      <c r="AU22" s="49">
        <f t="shared" si="20"/>
        <v>3703.725</v>
      </c>
      <c r="AV22" s="48"/>
      <c r="AW22" s="34">
        <f t="shared" si="5"/>
        <v>16230.3</v>
      </c>
      <c r="AX22" s="50">
        <f t="shared" si="6"/>
        <v>1048.725</v>
      </c>
      <c r="AY22" s="43"/>
      <c r="AZ22" s="27"/>
      <c r="BA22" s="48">
        <f t="shared" si="13"/>
        <v>3703.725</v>
      </c>
      <c r="BB22" s="27"/>
      <c r="BC22" s="27"/>
      <c r="BD22" s="51"/>
      <c r="BE22" s="52"/>
      <c r="BF22" s="27" t="s">
        <v>151</v>
      </c>
      <c r="BG22" s="53" t="s">
        <v>153</v>
      </c>
      <c r="BH22" s="53" t="str">
        <f>'[1]2023'!Q215</f>
        <v>#REF!</v>
      </c>
      <c r="BI22" s="27"/>
      <c r="BJ22" s="27"/>
      <c r="BK22" s="27" t="s">
        <v>76</v>
      </c>
      <c r="BL22" s="27"/>
    </row>
    <row r="23" ht="14.25" customHeight="1">
      <c r="A23" s="26" t="s">
        <v>55</v>
      </c>
      <c r="B23" s="26" t="s">
        <v>56</v>
      </c>
      <c r="C23" s="26" t="s">
        <v>57</v>
      </c>
      <c r="D23" s="26" t="s">
        <v>81</v>
      </c>
      <c r="E23" s="27" t="s">
        <v>154</v>
      </c>
      <c r="F23" s="26" t="s">
        <v>155</v>
      </c>
      <c r="G23" s="29" t="s">
        <v>156</v>
      </c>
      <c r="H23" s="30">
        <v>44974.0</v>
      </c>
      <c r="I23" s="30">
        <v>45339.0</v>
      </c>
      <c r="J23" s="31">
        <v>0.0</v>
      </c>
      <c r="K23" s="26" t="s">
        <v>62</v>
      </c>
      <c r="L23" s="32" t="s">
        <v>75</v>
      </c>
      <c r="M23" s="33">
        <v>143412.0</v>
      </c>
      <c r="N23" s="34">
        <v>152014.3</v>
      </c>
      <c r="O23" s="27" t="s">
        <v>76</v>
      </c>
      <c r="P23" s="35" t="s">
        <v>95</v>
      </c>
      <c r="Q23" s="35" t="s">
        <v>65</v>
      </c>
      <c r="R23" s="36" t="e">
        <v>#VALUE!</v>
      </c>
      <c r="S23" s="35" t="s">
        <v>86</v>
      </c>
      <c r="T23" s="35">
        <v>0.0</v>
      </c>
      <c r="U23" s="37" t="s">
        <v>157</v>
      </c>
      <c r="V23" s="38"/>
      <c r="W23" s="38"/>
      <c r="X23" s="27"/>
      <c r="Y23" s="39"/>
      <c r="Z23" s="39"/>
      <c r="AA23" s="39"/>
      <c r="AB23" s="27"/>
      <c r="AC23" s="27">
        <f t="shared" si="1"/>
        <v>0</v>
      </c>
      <c r="AD23" s="41"/>
      <c r="AE23" s="42"/>
      <c r="AF23" s="27"/>
      <c r="AG23" s="43">
        <f t="shared" si="22"/>
        <v>36785.178</v>
      </c>
      <c r="AH23" s="29"/>
      <c r="AI23" s="29"/>
      <c r="AJ23" s="29"/>
      <c r="AK23" s="29"/>
      <c r="AL23" s="27"/>
      <c r="AM23" s="44"/>
      <c r="AN23" s="68"/>
      <c r="AO23" s="37"/>
      <c r="AP23" s="47"/>
      <c r="AQ23" s="43">
        <f t="shared" si="23"/>
        <v>31550.64</v>
      </c>
      <c r="AR23" s="43">
        <f t="shared" si="2"/>
        <v>1577.532</v>
      </c>
      <c r="AS23" s="43">
        <f t="shared" si="3"/>
        <v>5521.362</v>
      </c>
      <c r="AT23" s="48">
        <f t="shared" si="4"/>
        <v>24451.746</v>
      </c>
      <c r="AU23" s="49">
        <f t="shared" si="20"/>
        <v>24451.746</v>
      </c>
      <c r="AV23" s="48"/>
      <c r="AW23" s="34">
        <f t="shared" si="5"/>
        <v>152014.3</v>
      </c>
      <c r="AX23" s="50">
        <f t="shared" si="6"/>
        <v>31263.816</v>
      </c>
      <c r="AY23" s="43"/>
      <c r="AZ23" s="27"/>
      <c r="BA23" s="48">
        <f t="shared" si="13"/>
        <v>24451.746</v>
      </c>
      <c r="BB23" s="27"/>
      <c r="BC23" s="27"/>
      <c r="BD23" s="51"/>
      <c r="BE23" s="52"/>
      <c r="BF23" s="27" t="s">
        <v>154</v>
      </c>
      <c r="BG23" s="53" t="s">
        <v>129</v>
      </c>
      <c r="BH23" s="53" t="str">
        <f>'[1]2023'!Q91</f>
        <v>#REF!</v>
      </c>
      <c r="BI23" s="27"/>
      <c r="BJ23" s="27"/>
      <c r="BK23" s="27" t="s">
        <v>76</v>
      </c>
      <c r="BL23" s="27"/>
    </row>
    <row r="24" ht="14.25" customHeight="1">
      <c r="A24" s="26" t="s">
        <v>55</v>
      </c>
      <c r="B24" s="26" t="s">
        <v>56</v>
      </c>
      <c r="C24" s="26" t="s">
        <v>57</v>
      </c>
      <c r="D24" s="26" t="s">
        <v>81</v>
      </c>
      <c r="E24" s="27" t="s">
        <v>158</v>
      </c>
      <c r="F24" s="26" t="s">
        <v>159</v>
      </c>
      <c r="G24" s="29" t="s">
        <v>156</v>
      </c>
      <c r="H24" s="30">
        <v>44974.0</v>
      </c>
      <c r="I24" s="30">
        <v>45339.0</v>
      </c>
      <c r="J24" s="31">
        <v>0.0</v>
      </c>
      <c r="K24" s="26" t="s">
        <v>62</v>
      </c>
      <c r="L24" s="32" t="s">
        <v>63</v>
      </c>
      <c r="M24" s="33">
        <v>35400.0</v>
      </c>
      <c r="N24" s="34">
        <v>37629.6</v>
      </c>
      <c r="O24" s="27" t="s">
        <v>64</v>
      </c>
      <c r="P24" s="35">
        <v>0.0</v>
      </c>
      <c r="Q24" s="35" t="s">
        <v>90</v>
      </c>
      <c r="R24" s="36" t="e">
        <v>#VALUE!</v>
      </c>
      <c r="S24" s="35" t="s">
        <v>86</v>
      </c>
      <c r="T24" s="35">
        <v>0.0</v>
      </c>
      <c r="U24" s="37" t="s">
        <v>67</v>
      </c>
      <c r="V24" s="38"/>
      <c r="W24" s="38"/>
      <c r="X24" s="27"/>
      <c r="Y24" s="39"/>
      <c r="Z24" s="39"/>
      <c r="AA24" s="39"/>
      <c r="AB24" s="27"/>
      <c r="AC24" s="27">
        <f t="shared" si="1"/>
        <v>0</v>
      </c>
      <c r="AD24" s="41">
        <f>IF(AND(S24="0",O24="Paid"),(M24*15%)-AC24,0)</f>
        <v>0</v>
      </c>
      <c r="AE24" s="42"/>
      <c r="AF24" s="27"/>
      <c r="AG24" s="43">
        <f t="shared" si="22"/>
        <v>0</v>
      </c>
      <c r="AH24" s="29"/>
      <c r="AI24" s="29"/>
      <c r="AJ24" s="29"/>
      <c r="AK24" s="29"/>
      <c r="AL24" s="27"/>
      <c r="AM24" s="44"/>
      <c r="AN24" s="47"/>
      <c r="AO24" s="37"/>
      <c r="AP24" s="47"/>
      <c r="AQ24" s="43" t="b">
        <f>IF(O24="Paid",IF(U24="Motor Plus",(M24*27%),IF(U24="Motor One",(M24*22%),(IF(U24="Golden",(M24*25%),(IF(U24="Classic",(M24*15%),(IF(U24="Wethaq",(M24*28%),IF(U24="Alwataniya",(M24*21%))*0)))))))))</f>
        <v>0</v>
      </c>
      <c r="AR24" s="43">
        <f t="shared" si="2"/>
        <v>0</v>
      </c>
      <c r="AS24" s="43">
        <f t="shared" si="3"/>
        <v>0</v>
      </c>
      <c r="AT24" s="48">
        <f t="shared" si="4"/>
        <v>0</v>
      </c>
      <c r="AU24" s="49">
        <f t="shared" si="20"/>
        <v>0</v>
      </c>
      <c r="AV24" s="48"/>
      <c r="AW24" s="34">
        <f t="shared" si="5"/>
        <v>37629.6</v>
      </c>
      <c r="AX24" s="50">
        <f t="shared" si="6"/>
        <v>0</v>
      </c>
      <c r="AY24" s="43"/>
      <c r="AZ24" s="27"/>
      <c r="BA24" s="48">
        <f t="shared" si="13"/>
        <v>0</v>
      </c>
      <c r="BB24" s="27"/>
      <c r="BC24" s="27"/>
      <c r="BD24" s="51"/>
      <c r="BE24" s="52"/>
      <c r="BF24" s="27" t="s">
        <v>158</v>
      </c>
      <c r="BG24" s="53">
        <v>0.0</v>
      </c>
      <c r="BH24" s="53" t="str">
        <f>'[1]2023'!Q134</f>
        <v>#REF!</v>
      </c>
      <c r="BI24" s="27"/>
      <c r="BJ24" s="27"/>
      <c r="BK24" s="27" t="s">
        <v>64</v>
      </c>
      <c r="BL24" s="27"/>
    </row>
    <row r="25" ht="14.25" customHeight="1">
      <c r="A25" s="26" t="s">
        <v>55</v>
      </c>
      <c r="B25" s="26" t="s">
        <v>56</v>
      </c>
      <c r="C25" s="26" t="s">
        <v>57</v>
      </c>
      <c r="D25" s="26" t="s">
        <v>81</v>
      </c>
      <c r="E25" s="27" t="s">
        <v>160</v>
      </c>
      <c r="F25" s="26" t="s">
        <v>161</v>
      </c>
      <c r="G25" s="29" t="s">
        <v>156</v>
      </c>
      <c r="H25" s="30">
        <v>44974.0</v>
      </c>
      <c r="I25" s="30">
        <v>45339.0</v>
      </c>
      <c r="J25" s="31">
        <v>0.0</v>
      </c>
      <c r="K25" s="26" t="s">
        <v>62</v>
      </c>
      <c r="L25" s="69">
        <v>45015.0</v>
      </c>
      <c r="M25" s="33">
        <v>15437.5</v>
      </c>
      <c r="N25" s="34">
        <v>16489.33</v>
      </c>
      <c r="O25" s="27" t="s">
        <v>76</v>
      </c>
      <c r="P25" s="35" t="s">
        <v>162</v>
      </c>
      <c r="Q25" s="35" t="s">
        <v>65</v>
      </c>
      <c r="R25" s="36" t="e">
        <v>#VALUE!</v>
      </c>
      <c r="S25" s="35" t="s">
        <v>78</v>
      </c>
      <c r="T25" s="54" t="s">
        <v>163</v>
      </c>
      <c r="U25" s="37" t="s">
        <v>67</v>
      </c>
      <c r="V25" s="38"/>
      <c r="W25" s="38"/>
      <c r="X25" s="27"/>
      <c r="Y25" s="39"/>
      <c r="Z25" s="39"/>
      <c r="AA25" s="39"/>
      <c r="AB25" s="27"/>
      <c r="AC25" s="27">
        <f t="shared" si="1"/>
        <v>0</v>
      </c>
      <c r="AD25" s="41"/>
      <c r="AE25" s="42"/>
      <c r="AF25" s="27"/>
      <c r="AG25" s="43">
        <f t="shared" si="22"/>
        <v>3959.71875</v>
      </c>
      <c r="AH25" s="29"/>
      <c r="AI25" s="29"/>
      <c r="AJ25" s="29"/>
      <c r="AK25" s="29"/>
      <c r="AL25" s="27"/>
      <c r="AM25" s="44"/>
      <c r="AN25" s="47"/>
      <c r="AO25" s="70">
        <f t="shared" ref="AO25:AO26" si="24">M25*15%</f>
        <v>2315.625</v>
      </c>
      <c r="AP25" s="71">
        <v>45267.0</v>
      </c>
      <c r="AQ25" s="43">
        <f t="shared" ref="AQ25:AQ30" si="25">IF(U25="Motor Plus",(M25*27%),IF(U25="Motor One",(M25*22%),(IF(U25="Golden",(M25*25%),(IF(U25="Classic",(M25*15%),(IF(U25="Wethaq",(M25*28%),IF(U25="Alwataniya",(M25*21%))*0))))))))</f>
        <v>4168.125</v>
      </c>
      <c r="AR25" s="43">
        <f t="shared" si="2"/>
        <v>208.40625</v>
      </c>
      <c r="AS25" s="43">
        <f t="shared" si="3"/>
        <v>729.421875</v>
      </c>
      <c r="AT25" s="48">
        <f t="shared" si="4"/>
        <v>3230.296875</v>
      </c>
      <c r="AU25" s="49">
        <f t="shared" si="20"/>
        <v>3230.296875</v>
      </c>
      <c r="AV25" s="48"/>
      <c r="AW25" s="34">
        <f t="shared" si="5"/>
        <v>16489.33</v>
      </c>
      <c r="AX25" s="50">
        <f t="shared" si="6"/>
        <v>914.671875</v>
      </c>
      <c r="AY25" s="43"/>
      <c r="AZ25" s="27"/>
      <c r="BA25" s="48">
        <f t="shared" si="13"/>
        <v>914.671875</v>
      </c>
      <c r="BB25" s="27"/>
      <c r="BC25" s="27"/>
      <c r="BD25" s="51"/>
      <c r="BE25" s="52"/>
      <c r="BF25" s="27" t="s">
        <v>160</v>
      </c>
      <c r="BG25" s="58" t="s">
        <v>164</v>
      </c>
      <c r="BH25" s="53" t="str">
        <f>'[1]2023'!Q141</f>
        <v>#REF!</v>
      </c>
      <c r="BI25" s="27"/>
      <c r="BJ25" s="27"/>
      <c r="BK25" s="27" t="s">
        <v>76</v>
      </c>
      <c r="BL25" s="27"/>
    </row>
    <row r="26" ht="14.25" customHeight="1">
      <c r="A26" s="26" t="s">
        <v>55</v>
      </c>
      <c r="B26" s="26" t="s">
        <v>56</v>
      </c>
      <c r="C26" s="26" t="s">
        <v>57</v>
      </c>
      <c r="D26" s="26" t="s">
        <v>81</v>
      </c>
      <c r="E26" s="27" t="s">
        <v>165</v>
      </c>
      <c r="F26" s="26" t="s">
        <v>166</v>
      </c>
      <c r="G26" s="29" t="s">
        <v>156</v>
      </c>
      <c r="H26" s="30">
        <v>44974.0</v>
      </c>
      <c r="I26" s="30">
        <v>45339.0</v>
      </c>
      <c r="J26" s="31">
        <v>0.0</v>
      </c>
      <c r="K26" s="26" t="s">
        <v>62</v>
      </c>
      <c r="L26" s="32" t="s">
        <v>75</v>
      </c>
      <c r="M26" s="33">
        <v>14160.0</v>
      </c>
      <c r="N26" s="34">
        <v>15136.44</v>
      </c>
      <c r="O26" s="27" t="s">
        <v>76</v>
      </c>
      <c r="P26" s="35" t="s">
        <v>89</v>
      </c>
      <c r="Q26" s="35" t="s">
        <v>65</v>
      </c>
      <c r="R26" s="36" t="e">
        <v>#VALUE!</v>
      </c>
      <c r="S26" s="35" t="s">
        <v>86</v>
      </c>
      <c r="T26" s="54" t="s">
        <v>163</v>
      </c>
      <c r="U26" s="37" t="s">
        <v>67</v>
      </c>
      <c r="V26" s="38"/>
      <c r="W26" s="38"/>
      <c r="X26" s="27"/>
      <c r="Y26" s="39"/>
      <c r="Z26" s="39"/>
      <c r="AA26" s="39"/>
      <c r="AB26" s="27"/>
      <c r="AC26" s="27">
        <f t="shared" si="1"/>
        <v>0</v>
      </c>
      <c r="AD26" s="41"/>
      <c r="AE26" s="42"/>
      <c r="AF26" s="27"/>
      <c r="AG26" s="43">
        <f t="shared" si="22"/>
        <v>3632.04</v>
      </c>
      <c r="AH26" s="29"/>
      <c r="AI26" s="29"/>
      <c r="AJ26" s="29"/>
      <c r="AK26" s="29"/>
      <c r="AL26" s="27"/>
      <c r="AM26" s="44"/>
      <c r="AN26" s="47"/>
      <c r="AO26" s="70">
        <f t="shared" si="24"/>
        <v>2124</v>
      </c>
      <c r="AP26" s="71">
        <v>45267.0</v>
      </c>
      <c r="AQ26" s="43">
        <f t="shared" si="25"/>
        <v>3823.2</v>
      </c>
      <c r="AR26" s="43">
        <f t="shared" si="2"/>
        <v>191.16</v>
      </c>
      <c r="AS26" s="43">
        <f t="shared" si="3"/>
        <v>669.06</v>
      </c>
      <c r="AT26" s="48">
        <f t="shared" si="4"/>
        <v>2962.98</v>
      </c>
      <c r="AU26" s="49">
        <f t="shared" si="20"/>
        <v>2962.98</v>
      </c>
      <c r="AV26" s="48"/>
      <c r="AW26" s="34">
        <f t="shared" si="5"/>
        <v>15136.44</v>
      </c>
      <c r="AX26" s="50">
        <f t="shared" si="6"/>
        <v>838.98</v>
      </c>
      <c r="AY26" s="43"/>
      <c r="AZ26" s="27"/>
      <c r="BA26" s="48">
        <f t="shared" si="13"/>
        <v>838.98</v>
      </c>
      <c r="BB26" s="27"/>
      <c r="BC26" s="27"/>
      <c r="BD26" s="51"/>
      <c r="BE26" s="52"/>
      <c r="BF26" s="27" t="s">
        <v>165</v>
      </c>
      <c r="BG26" s="53" t="s">
        <v>89</v>
      </c>
      <c r="BH26" s="53" t="str">
        <f>'[1]2023'!Q175</f>
        <v>#REF!</v>
      </c>
      <c r="BI26" s="27"/>
      <c r="BJ26" s="27"/>
      <c r="BK26" s="27" t="s">
        <v>76</v>
      </c>
      <c r="BL26" s="27"/>
    </row>
    <row r="27" ht="14.25" customHeight="1">
      <c r="A27" s="26" t="s">
        <v>55</v>
      </c>
      <c r="B27" s="26" t="s">
        <v>56</v>
      </c>
      <c r="C27" s="26" t="s">
        <v>57</v>
      </c>
      <c r="D27" s="26" t="s">
        <v>81</v>
      </c>
      <c r="E27" s="27" t="s">
        <v>167</v>
      </c>
      <c r="F27" s="26" t="s">
        <v>168</v>
      </c>
      <c r="G27" s="29" t="s">
        <v>156</v>
      </c>
      <c r="H27" s="30">
        <v>44974.0</v>
      </c>
      <c r="I27" s="30">
        <v>45339.0</v>
      </c>
      <c r="J27" s="31">
        <v>0.0</v>
      </c>
      <c r="K27" s="26" t="s">
        <v>62</v>
      </c>
      <c r="L27" s="32" t="s">
        <v>75</v>
      </c>
      <c r="M27" s="33">
        <v>20650.0</v>
      </c>
      <c r="N27" s="34">
        <v>22009.36</v>
      </c>
      <c r="O27" s="27" t="s">
        <v>76</v>
      </c>
      <c r="P27" s="35" t="s">
        <v>89</v>
      </c>
      <c r="Q27" s="35" t="s">
        <v>90</v>
      </c>
      <c r="R27" s="36" t="e">
        <v>#VALUE!</v>
      </c>
      <c r="S27" s="35" t="s">
        <v>86</v>
      </c>
      <c r="T27" s="35">
        <v>0.0</v>
      </c>
      <c r="U27" s="37" t="s">
        <v>67</v>
      </c>
      <c r="V27" s="38"/>
      <c r="W27" s="38"/>
      <c r="X27" s="27"/>
      <c r="Y27" s="39"/>
      <c r="Z27" s="39"/>
      <c r="AA27" s="39"/>
      <c r="AB27" s="27"/>
      <c r="AC27" s="27">
        <f t="shared" si="1"/>
        <v>0</v>
      </c>
      <c r="AD27" s="41">
        <f t="shared" ref="AD27:AD30" si="26">IF(AND(S27="0",O27="Paid"),M27*15%,0)</f>
        <v>3097.5</v>
      </c>
      <c r="AE27" s="42"/>
      <c r="AF27" s="59"/>
      <c r="AG27" s="43">
        <f t="shared" si="22"/>
        <v>5296.725</v>
      </c>
      <c r="AH27" s="29"/>
      <c r="AI27" s="29"/>
      <c r="AJ27" s="29"/>
      <c r="AK27" s="29"/>
      <c r="AL27" s="27"/>
      <c r="AM27" s="44"/>
      <c r="AN27" s="47"/>
      <c r="AO27" s="46"/>
      <c r="AP27" s="47"/>
      <c r="AQ27" s="43">
        <f t="shared" si="25"/>
        <v>5575.5</v>
      </c>
      <c r="AR27" s="43">
        <f t="shared" si="2"/>
        <v>278.775</v>
      </c>
      <c r="AS27" s="43">
        <f t="shared" si="3"/>
        <v>975.7125</v>
      </c>
      <c r="AT27" s="48">
        <f t="shared" si="4"/>
        <v>4321.0125</v>
      </c>
      <c r="AU27" s="49">
        <f t="shared" si="20"/>
        <v>4321.0125</v>
      </c>
      <c r="AV27" s="48"/>
      <c r="AW27" s="34">
        <f t="shared" si="5"/>
        <v>18911.86</v>
      </c>
      <c r="AX27" s="50">
        <f t="shared" si="6"/>
        <v>1223.5125</v>
      </c>
      <c r="AY27" s="43"/>
      <c r="AZ27" s="27"/>
      <c r="BA27" s="48">
        <f t="shared" si="13"/>
        <v>4321.0125</v>
      </c>
      <c r="BB27" s="27"/>
      <c r="BC27" s="27"/>
      <c r="BD27" s="51"/>
      <c r="BE27" s="52"/>
      <c r="BF27" s="27" t="s">
        <v>167</v>
      </c>
      <c r="BG27" s="53">
        <v>0.0</v>
      </c>
      <c r="BH27" s="53" t="str">
        <f>'[1]2023'!Q203</f>
        <v>#REF!</v>
      </c>
      <c r="BI27" s="27"/>
      <c r="BJ27" s="27"/>
      <c r="BK27" s="27" t="s">
        <v>76</v>
      </c>
      <c r="BL27" s="27"/>
    </row>
    <row r="28" ht="14.25" customHeight="1">
      <c r="A28" s="26" t="s">
        <v>55</v>
      </c>
      <c r="B28" s="26" t="s">
        <v>56</v>
      </c>
      <c r="C28" s="26" t="s">
        <v>57</v>
      </c>
      <c r="D28" s="26" t="s">
        <v>81</v>
      </c>
      <c r="E28" s="27" t="s">
        <v>169</v>
      </c>
      <c r="F28" s="26" t="s">
        <v>170</v>
      </c>
      <c r="G28" s="29" t="s">
        <v>156</v>
      </c>
      <c r="H28" s="30">
        <v>44974.0</v>
      </c>
      <c r="I28" s="30">
        <v>45339.0</v>
      </c>
      <c r="J28" s="31">
        <v>0.0</v>
      </c>
      <c r="K28" s="26" t="s">
        <v>62</v>
      </c>
      <c r="L28" s="32" t="s">
        <v>75</v>
      </c>
      <c r="M28" s="33">
        <v>30680.0</v>
      </c>
      <c r="N28" s="34">
        <v>32631.12</v>
      </c>
      <c r="O28" s="27" t="s">
        <v>76</v>
      </c>
      <c r="P28" s="35" t="s">
        <v>122</v>
      </c>
      <c r="Q28" s="35" t="s">
        <v>90</v>
      </c>
      <c r="R28" s="36" t="e">
        <v>#VALUE!</v>
      </c>
      <c r="S28" s="35" t="s">
        <v>86</v>
      </c>
      <c r="T28" s="35">
        <v>0.0</v>
      </c>
      <c r="U28" s="37" t="s">
        <v>67</v>
      </c>
      <c r="V28" s="38"/>
      <c r="W28" s="38"/>
      <c r="X28" s="27"/>
      <c r="Y28" s="39"/>
      <c r="Z28" s="39"/>
      <c r="AA28" s="39"/>
      <c r="AB28" s="27"/>
      <c r="AC28" s="27">
        <f t="shared" si="1"/>
        <v>0</v>
      </c>
      <c r="AD28" s="41">
        <f t="shared" si="26"/>
        <v>4602</v>
      </c>
      <c r="AE28" s="42"/>
      <c r="AF28" s="27"/>
      <c r="AG28" s="43">
        <f t="shared" si="22"/>
        <v>7869.42</v>
      </c>
      <c r="AH28" s="29"/>
      <c r="AI28" s="29"/>
      <c r="AJ28" s="29"/>
      <c r="AK28" s="29"/>
      <c r="AL28" s="27"/>
      <c r="AM28" s="44"/>
      <c r="AN28" s="47"/>
      <c r="AO28" s="46"/>
      <c r="AP28" s="47"/>
      <c r="AQ28" s="43">
        <f t="shared" si="25"/>
        <v>8283.6</v>
      </c>
      <c r="AR28" s="43">
        <f t="shared" si="2"/>
        <v>414.18</v>
      </c>
      <c r="AS28" s="43">
        <f t="shared" si="3"/>
        <v>1449.63</v>
      </c>
      <c r="AT28" s="48">
        <f t="shared" si="4"/>
        <v>6419.79</v>
      </c>
      <c r="AU28" s="49">
        <f t="shared" si="20"/>
        <v>6419.79</v>
      </c>
      <c r="AV28" s="48"/>
      <c r="AW28" s="34">
        <f t="shared" si="5"/>
        <v>28029.12</v>
      </c>
      <c r="AX28" s="50">
        <f t="shared" si="6"/>
        <v>1817.79</v>
      </c>
      <c r="AY28" s="43"/>
      <c r="AZ28" s="27"/>
      <c r="BA28" s="48">
        <f t="shared" si="13"/>
        <v>6419.79</v>
      </c>
      <c r="BB28" s="27"/>
      <c r="BC28" s="27"/>
      <c r="BD28" s="51"/>
      <c r="BE28" s="52"/>
      <c r="BF28" s="27" t="s">
        <v>169</v>
      </c>
      <c r="BG28" s="53">
        <v>44929.0</v>
      </c>
      <c r="BH28" s="53" t="str">
        <f>'[1]2023'!Q247</f>
        <v>#REF!</v>
      </c>
      <c r="BI28" s="27"/>
      <c r="BJ28" s="27"/>
      <c r="BK28" s="27" t="s">
        <v>76</v>
      </c>
      <c r="BL28" s="27"/>
    </row>
    <row r="29" ht="14.25" customHeight="1">
      <c r="A29" s="26" t="s">
        <v>55</v>
      </c>
      <c r="B29" s="26" t="s">
        <v>56</v>
      </c>
      <c r="C29" s="26" t="s">
        <v>57</v>
      </c>
      <c r="D29" s="26" t="s">
        <v>81</v>
      </c>
      <c r="E29" s="27" t="s">
        <v>171</v>
      </c>
      <c r="F29" s="28" t="s">
        <v>172</v>
      </c>
      <c r="G29" s="29" t="s">
        <v>173</v>
      </c>
      <c r="H29" s="30">
        <v>44975.0</v>
      </c>
      <c r="I29" s="30">
        <v>45340.0</v>
      </c>
      <c r="J29" s="31">
        <v>0.0</v>
      </c>
      <c r="K29" s="26" t="s">
        <v>62</v>
      </c>
      <c r="L29" s="32" t="s">
        <v>75</v>
      </c>
      <c r="M29" s="33">
        <v>7978.32</v>
      </c>
      <c r="N29" s="34">
        <v>8591.0</v>
      </c>
      <c r="O29" s="27" t="s">
        <v>76</v>
      </c>
      <c r="P29" s="35" t="s">
        <v>104</v>
      </c>
      <c r="Q29" s="35">
        <v>0.0</v>
      </c>
      <c r="R29" s="36" t="e">
        <v>#VALUE!</v>
      </c>
      <c r="S29" s="35" t="s">
        <v>86</v>
      </c>
      <c r="T29" s="35">
        <v>0.0</v>
      </c>
      <c r="U29" s="37" t="s">
        <v>67</v>
      </c>
      <c r="V29" s="38"/>
      <c r="W29" s="38"/>
      <c r="X29" s="27"/>
      <c r="Y29" s="39"/>
      <c r="Z29" s="39"/>
      <c r="AA29" s="39"/>
      <c r="AB29" s="72"/>
      <c r="AC29" s="27">
        <f t="shared" si="1"/>
        <v>0</v>
      </c>
      <c r="AD29" s="41">
        <f t="shared" si="26"/>
        <v>1196.748</v>
      </c>
      <c r="AE29" s="42"/>
      <c r="AF29" s="27"/>
      <c r="AG29" s="43">
        <f t="shared" si="22"/>
        <v>2046.43908</v>
      </c>
      <c r="AH29" s="29"/>
      <c r="AI29" s="29"/>
      <c r="AJ29" s="29"/>
      <c r="AK29" s="29"/>
      <c r="AL29" s="27"/>
      <c r="AM29" s="44"/>
      <c r="AN29" s="47"/>
      <c r="AO29" s="37"/>
      <c r="AP29" s="47"/>
      <c r="AQ29" s="43">
        <f t="shared" si="25"/>
        <v>2154.1464</v>
      </c>
      <c r="AR29" s="43">
        <f t="shared" si="2"/>
        <v>107.70732</v>
      </c>
      <c r="AS29" s="43">
        <f t="shared" si="3"/>
        <v>376.97562</v>
      </c>
      <c r="AT29" s="48">
        <f t="shared" si="4"/>
        <v>1669.46346</v>
      </c>
      <c r="AU29" s="49">
        <f t="shared" si="20"/>
        <v>1669.46346</v>
      </c>
      <c r="AV29" s="48"/>
      <c r="AW29" s="34">
        <f t="shared" si="5"/>
        <v>7394.252</v>
      </c>
      <c r="AX29" s="50">
        <f t="shared" si="6"/>
        <v>472.71546</v>
      </c>
      <c r="AY29" s="43"/>
      <c r="AZ29" s="27"/>
      <c r="BA29" s="48">
        <f t="shared" si="13"/>
        <v>1669.46346</v>
      </c>
      <c r="BB29" s="27"/>
      <c r="BC29" s="27"/>
      <c r="BD29" s="51"/>
      <c r="BE29" s="52"/>
      <c r="BF29" s="27" t="s">
        <v>171</v>
      </c>
      <c r="BG29" s="58" t="s">
        <v>174</v>
      </c>
      <c r="BH29" s="53" t="str">
        <f>'[1]2023'!Q142</f>
        <v>#REF!</v>
      </c>
      <c r="BI29" s="27"/>
      <c r="BJ29" s="27"/>
      <c r="BK29" s="27" t="s">
        <v>76</v>
      </c>
      <c r="BL29" s="27"/>
    </row>
    <row r="30" ht="14.25" customHeight="1">
      <c r="A30" s="26" t="s">
        <v>55</v>
      </c>
      <c r="B30" s="26" t="s">
        <v>56</v>
      </c>
      <c r="C30" s="26" t="s">
        <v>57</v>
      </c>
      <c r="D30" s="26" t="s">
        <v>81</v>
      </c>
      <c r="E30" s="27" t="s">
        <v>175</v>
      </c>
      <c r="F30" s="26" t="s">
        <v>176</v>
      </c>
      <c r="G30" s="29" t="s">
        <v>173</v>
      </c>
      <c r="H30" s="30">
        <v>44975.0</v>
      </c>
      <c r="I30" s="30">
        <v>45340.0</v>
      </c>
      <c r="J30" s="31">
        <v>0.0</v>
      </c>
      <c r="K30" s="26" t="s">
        <v>62</v>
      </c>
      <c r="L30" s="32" t="s">
        <v>75</v>
      </c>
      <c r="M30" s="33">
        <v>15045.0</v>
      </c>
      <c r="N30" s="34">
        <v>16073.66</v>
      </c>
      <c r="O30" s="27" t="s">
        <v>76</v>
      </c>
      <c r="P30" s="35" t="s">
        <v>122</v>
      </c>
      <c r="Q30" s="35" t="s">
        <v>85</v>
      </c>
      <c r="R30" s="36" t="e">
        <v>#VALUE!</v>
      </c>
      <c r="S30" s="35" t="s">
        <v>86</v>
      </c>
      <c r="T30" s="35">
        <v>0.0</v>
      </c>
      <c r="U30" s="37" t="s">
        <v>67</v>
      </c>
      <c r="V30" s="38"/>
      <c r="W30" s="38"/>
      <c r="X30" s="27"/>
      <c r="Y30" s="39"/>
      <c r="Z30" s="39"/>
      <c r="AA30" s="39"/>
      <c r="AB30" s="27"/>
      <c r="AC30" s="27">
        <f t="shared" si="1"/>
        <v>0</v>
      </c>
      <c r="AD30" s="41">
        <f t="shared" si="26"/>
        <v>2256.75</v>
      </c>
      <c r="AE30" s="42"/>
      <c r="AF30" s="29">
        <v>45049.0</v>
      </c>
      <c r="AG30" s="43">
        <f t="shared" si="22"/>
        <v>3859.0425</v>
      </c>
      <c r="AH30" s="29"/>
      <c r="AI30" s="29"/>
      <c r="AJ30" s="29"/>
      <c r="AK30" s="29"/>
      <c r="AL30" s="27"/>
      <c r="AM30" s="44"/>
      <c r="AN30" s="47"/>
      <c r="AO30" s="37"/>
      <c r="AP30" s="47"/>
      <c r="AQ30" s="43">
        <f t="shared" si="25"/>
        <v>4062.15</v>
      </c>
      <c r="AR30" s="43">
        <f t="shared" si="2"/>
        <v>203.1075</v>
      </c>
      <c r="AS30" s="43">
        <f t="shared" si="3"/>
        <v>710.87625</v>
      </c>
      <c r="AT30" s="48">
        <f t="shared" si="4"/>
        <v>3148.16625</v>
      </c>
      <c r="AU30" s="49">
        <f t="shared" si="20"/>
        <v>3148.16625</v>
      </c>
      <c r="AV30" s="48"/>
      <c r="AW30" s="34">
        <f t="shared" si="5"/>
        <v>13816.91</v>
      </c>
      <c r="AX30" s="50">
        <f t="shared" si="6"/>
        <v>891.41625</v>
      </c>
      <c r="AY30" s="43"/>
      <c r="AZ30" s="27"/>
      <c r="BA30" s="48">
        <f t="shared" si="13"/>
        <v>3148.16625</v>
      </c>
      <c r="BB30" s="27"/>
      <c r="BC30" s="27"/>
      <c r="BD30" s="51"/>
      <c r="BE30" s="52"/>
      <c r="BF30" s="27" t="s">
        <v>175</v>
      </c>
      <c r="BG30" s="53" t="s">
        <v>177</v>
      </c>
      <c r="BH30" s="53" t="str">
        <f>'[1]2023'!Q146</f>
        <v>#REF!</v>
      </c>
      <c r="BI30" s="27"/>
      <c r="BJ30" s="27"/>
      <c r="BK30" s="27" t="s">
        <v>76</v>
      </c>
      <c r="BL30" s="27" t="s">
        <v>138</v>
      </c>
    </row>
    <row r="31" ht="14.25" customHeight="1">
      <c r="A31" s="26" t="s">
        <v>55</v>
      </c>
      <c r="B31" s="26" t="s">
        <v>56</v>
      </c>
      <c r="C31" s="26" t="s">
        <v>57</v>
      </c>
      <c r="D31" s="26" t="s">
        <v>81</v>
      </c>
      <c r="E31" s="27" t="s">
        <v>178</v>
      </c>
      <c r="F31" s="26" t="s">
        <v>179</v>
      </c>
      <c r="G31" s="29" t="s">
        <v>180</v>
      </c>
      <c r="H31" s="30">
        <v>44976.0</v>
      </c>
      <c r="I31" s="30">
        <v>45341.0</v>
      </c>
      <c r="J31" s="31">
        <v>0.0</v>
      </c>
      <c r="K31" s="26" t="s">
        <v>62</v>
      </c>
      <c r="L31" s="32" t="s">
        <v>63</v>
      </c>
      <c r="M31" s="33">
        <v>21240.0</v>
      </c>
      <c r="N31" s="34">
        <v>22634.16</v>
      </c>
      <c r="O31" s="27" t="s">
        <v>64</v>
      </c>
      <c r="P31" s="35">
        <v>0.0</v>
      </c>
      <c r="Q31" s="35" t="s">
        <v>65</v>
      </c>
      <c r="R31" s="36" t="e">
        <v>#VALUE!</v>
      </c>
      <c r="S31" s="35" t="s">
        <v>86</v>
      </c>
      <c r="T31" s="35">
        <v>0.0</v>
      </c>
      <c r="U31" s="37" t="s">
        <v>67</v>
      </c>
      <c r="V31" s="38"/>
      <c r="W31" s="38"/>
      <c r="X31" s="27"/>
      <c r="Y31" s="39"/>
      <c r="Z31" s="39"/>
      <c r="AA31" s="39"/>
      <c r="AB31" s="27"/>
      <c r="AC31" s="27">
        <f t="shared" si="1"/>
        <v>0</v>
      </c>
      <c r="AD31" s="41">
        <f t="shared" ref="AD31:AD32" si="27">IF(AND(S31="0",O31="Paid"),(M31*15%)-AC31,0)</f>
        <v>0</v>
      </c>
      <c r="AE31" s="42"/>
      <c r="AF31" s="27"/>
      <c r="AG31" s="43">
        <f>IF(O31="Paid",IF(A31="Alwataniya",(M31*21%)-((M31*21%)*5%),IF((A31="GIG"),(M31*25%)-((M31*25%)*5%),IF((A31="Allianz"),(M31*27%)-((M31*27%)*20%),0))),0)</f>
        <v>0</v>
      </c>
      <c r="AH31" s="29"/>
      <c r="AI31" s="29"/>
      <c r="AJ31" s="29"/>
      <c r="AK31" s="29"/>
      <c r="AL31" s="27"/>
      <c r="AM31" s="44"/>
      <c r="AN31" s="47"/>
      <c r="AO31" s="37"/>
      <c r="AP31" s="47"/>
      <c r="AQ31" s="43" t="b">
        <f>IF(O31="Paid",IF(U31="Motor Plus",(M31*27%),IF(U31="Motor One",(M31*22%),(IF(U31="Golden",(M31*25%),(IF(U31="Classic",(M31*15%),(IF(U31="Wethaq",(M31*28%),IF(U31="Alwataniya",(M31*21%))*0)))))))))</f>
        <v>0</v>
      </c>
      <c r="AR31" s="43">
        <f t="shared" si="2"/>
        <v>0</v>
      </c>
      <c r="AS31" s="43">
        <f t="shared" si="3"/>
        <v>0</v>
      </c>
      <c r="AT31" s="48">
        <f t="shared" si="4"/>
        <v>0</v>
      </c>
      <c r="AU31" s="49">
        <f t="shared" si="20"/>
        <v>0</v>
      </c>
      <c r="AV31" s="48"/>
      <c r="AW31" s="34">
        <f t="shared" si="5"/>
        <v>22634.16</v>
      </c>
      <c r="AX31" s="50">
        <f t="shared" si="6"/>
        <v>0</v>
      </c>
      <c r="AY31" s="43"/>
      <c r="AZ31" s="27"/>
      <c r="BA31" s="48">
        <f t="shared" si="13"/>
        <v>0</v>
      </c>
      <c r="BB31" s="27"/>
      <c r="BC31" s="27"/>
      <c r="BD31" s="51"/>
      <c r="BE31" s="52"/>
      <c r="BF31" s="27" t="s">
        <v>178</v>
      </c>
      <c r="BG31" s="53">
        <v>0.0</v>
      </c>
      <c r="BH31" s="53" t="str">
        <f>'[1]2023'!Q87</f>
        <v>#REF!</v>
      </c>
      <c r="BI31" s="27"/>
      <c r="BJ31" s="27"/>
      <c r="BK31" s="27" t="s">
        <v>64</v>
      </c>
      <c r="BL31" s="27"/>
    </row>
    <row r="32" ht="14.25" customHeight="1">
      <c r="A32" s="26" t="s">
        <v>181</v>
      </c>
      <c r="B32" s="26" t="s">
        <v>56</v>
      </c>
      <c r="C32" s="26" t="s">
        <v>57</v>
      </c>
      <c r="D32" s="26" t="s">
        <v>71</v>
      </c>
      <c r="E32" s="27" t="s">
        <v>182</v>
      </c>
      <c r="F32" s="28" t="s">
        <v>183</v>
      </c>
      <c r="G32" s="29" t="s">
        <v>180</v>
      </c>
      <c r="H32" s="30">
        <v>44976.0</v>
      </c>
      <c r="I32" s="30">
        <v>45341.0</v>
      </c>
      <c r="J32" s="31" t="s">
        <v>66</v>
      </c>
      <c r="K32" s="26" t="s">
        <v>62</v>
      </c>
      <c r="L32" s="73" t="s">
        <v>75</v>
      </c>
      <c r="M32" s="33">
        <v>16707.37</v>
      </c>
      <c r="N32" s="34">
        <v>17875.0</v>
      </c>
      <c r="O32" s="27" t="s">
        <v>76</v>
      </c>
      <c r="P32" s="35" t="s">
        <v>89</v>
      </c>
      <c r="Q32" s="35">
        <v>0.0</v>
      </c>
      <c r="R32" s="36" t="e">
        <v>#VALUE!</v>
      </c>
      <c r="S32" s="35" t="s">
        <v>66</v>
      </c>
      <c r="T32" s="35">
        <v>0.0</v>
      </c>
      <c r="U32" s="37" t="s">
        <v>181</v>
      </c>
      <c r="V32" s="38">
        <v>600000.0</v>
      </c>
      <c r="W32" s="74">
        <v>2703.0</v>
      </c>
      <c r="X32" s="27">
        <v>2022.0</v>
      </c>
      <c r="Y32" s="39"/>
      <c r="Z32" s="39"/>
      <c r="AA32" s="39"/>
      <c r="AB32" s="27"/>
      <c r="AC32" s="27">
        <f t="shared" si="1"/>
        <v>0</v>
      </c>
      <c r="AD32" s="41">
        <f t="shared" si="27"/>
        <v>0</v>
      </c>
      <c r="AE32" s="42"/>
      <c r="AF32" s="27"/>
      <c r="AG32" s="43">
        <f>IF(O32="Paid",IF(A32="Alwataniya",(M32*21%)-((M32*21%)*5%),IF((A32="GIG"),(M32*25%)-((M32*25%)*5%),IF((A32="Allianz"),(M32*0%)-((M32*0%)*5%),0))),0)</f>
        <v>3333.120315</v>
      </c>
      <c r="AH32" s="29" t="s">
        <v>75</v>
      </c>
      <c r="AI32" s="29">
        <v>45049.0</v>
      </c>
      <c r="AJ32" s="29"/>
      <c r="AK32" s="75" t="s">
        <v>63</v>
      </c>
      <c r="AL32" s="44"/>
      <c r="AM32" s="67">
        <f>IF((BD32&lt;=2),AU32*10%,(IF((BD32&lt;=3),AU32*20%,IF((BD32&lt;=4),AU32*20%,IF((BD32&gt;=5),AU32*30%,0)))))</f>
        <v>271.9124468</v>
      </c>
      <c r="AN32" s="63" t="s">
        <v>75</v>
      </c>
      <c r="AO32" s="76"/>
      <c r="AP32" s="47"/>
      <c r="AQ32" s="43">
        <f>M32*21%</f>
        <v>3508.5477</v>
      </c>
      <c r="AR32" s="43">
        <f t="shared" si="2"/>
        <v>175.427385</v>
      </c>
      <c r="AS32" s="43">
        <f t="shared" si="3"/>
        <v>613.9958475</v>
      </c>
      <c r="AT32" s="48">
        <f t="shared" si="4"/>
        <v>2719.124468</v>
      </c>
      <c r="AU32" s="49">
        <f t="shared" si="20"/>
        <v>2719.124468</v>
      </c>
      <c r="AV32" s="48"/>
      <c r="AW32" s="34">
        <f t="shared" si="5"/>
        <v>17875</v>
      </c>
      <c r="AX32" s="50">
        <f t="shared" si="6"/>
        <v>2447.212021</v>
      </c>
      <c r="AY32" s="48"/>
      <c r="AZ32" s="27"/>
      <c r="BA32" s="48">
        <f t="shared" si="13"/>
        <v>2447.212021</v>
      </c>
      <c r="BB32" s="27"/>
      <c r="BC32" s="27"/>
      <c r="BD32" s="51"/>
      <c r="BE32" s="52"/>
      <c r="BF32" s="77" t="s">
        <v>182</v>
      </c>
      <c r="BG32" s="58" t="s">
        <v>184</v>
      </c>
      <c r="BH32" s="53" t="str">
        <f>'[1]2023'!Q226</f>
        <v>#REF!</v>
      </c>
      <c r="BI32" s="27"/>
      <c r="BJ32" s="27"/>
      <c r="BK32" s="27" t="s">
        <v>76</v>
      </c>
      <c r="BL32" s="27"/>
    </row>
    <row r="33" ht="14.25" customHeight="1">
      <c r="A33" s="26" t="s">
        <v>55</v>
      </c>
      <c r="B33" s="26" t="s">
        <v>56</v>
      </c>
      <c r="C33" s="26" t="s">
        <v>57</v>
      </c>
      <c r="D33" s="26" t="s">
        <v>81</v>
      </c>
      <c r="E33" s="27" t="s">
        <v>185</v>
      </c>
      <c r="F33" s="26" t="s">
        <v>186</v>
      </c>
      <c r="G33" s="29" t="s">
        <v>187</v>
      </c>
      <c r="H33" s="30">
        <v>44977.0</v>
      </c>
      <c r="I33" s="30">
        <v>45342.0</v>
      </c>
      <c r="J33" s="31">
        <v>0.0</v>
      </c>
      <c r="K33" s="26" t="s">
        <v>62</v>
      </c>
      <c r="L33" s="32" t="s">
        <v>75</v>
      </c>
      <c r="M33" s="33">
        <v>12390.0</v>
      </c>
      <c r="N33" s="34">
        <v>13262.01</v>
      </c>
      <c r="O33" s="27" t="s">
        <v>76</v>
      </c>
      <c r="P33" s="35" t="s">
        <v>104</v>
      </c>
      <c r="Q33" s="35" t="s">
        <v>90</v>
      </c>
      <c r="R33" s="36" t="e">
        <v>#VALUE!</v>
      </c>
      <c r="S33" s="35" t="s">
        <v>86</v>
      </c>
      <c r="T33" s="35">
        <v>0.0</v>
      </c>
      <c r="U33" s="37" t="s">
        <v>67</v>
      </c>
      <c r="V33" s="38"/>
      <c r="W33" s="38"/>
      <c r="X33" s="27"/>
      <c r="Y33" s="39"/>
      <c r="Z33" s="39"/>
      <c r="AA33" s="39"/>
      <c r="AB33" s="27"/>
      <c r="AC33" s="27">
        <f t="shared" si="1"/>
        <v>0</v>
      </c>
      <c r="AD33" s="41">
        <f t="shared" ref="AD33:AD36" si="28">IF(AND(S33="0",O33="Paid"),M33*15%,0)</f>
        <v>1858.5</v>
      </c>
      <c r="AE33" s="42"/>
      <c r="AF33" s="59"/>
      <c r="AG33" s="43">
        <f t="shared" ref="AG33:AG40" si="29">IF(O33="Paid",IF(A33="Alwataniya",(M33*21%)-((M33*21%)*5%),IF((A33="GIG"),(M33*25%)-((M33*25%)*5%),IF((A33="Allianz"),(M33*27%)-((M33*27%)*5%),0))),0)</f>
        <v>3178.035</v>
      </c>
      <c r="AH33" s="29"/>
      <c r="AI33" s="29"/>
      <c r="AJ33" s="29"/>
      <c r="AK33" s="29"/>
      <c r="AL33" s="27"/>
      <c r="AM33" s="44"/>
      <c r="AN33" s="68"/>
      <c r="AO33" s="37"/>
      <c r="AP33" s="47"/>
      <c r="AQ33" s="43">
        <f t="shared" ref="AQ33:AQ40" si="30">IF(U33="Motor Plus",(M33*27%),IF(U33="Motor One",(M33*22%),(IF(U33="Golden",(M33*25%),(IF(U33="Classic",(M33*15%),(IF(U33="Wethaq",(M33*28%),IF(U33="Alwataniya",(M33*21%))*0))))))))</f>
        <v>3345.3</v>
      </c>
      <c r="AR33" s="43">
        <f t="shared" si="2"/>
        <v>167.265</v>
      </c>
      <c r="AS33" s="43">
        <f t="shared" si="3"/>
        <v>585.4275</v>
      </c>
      <c r="AT33" s="48">
        <f t="shared" si="4"/>
        <v>2592.6075</v>
      </c>
      <c r="AU33" s="49">
        <f t="shared" si="20"/>
        <v>2592.6075</v>
      </c>
      <c r="AV33" s="48"/>
      <c r="AW33" s="34">
        <f t="shared" si="5"/>
        <v>11403.51</v>
      </c>
      <c r="AX33" s="50">
        <f t="shared" si="6"/>
        <v>734.1075</v>
      </c>
      <c r="AY33" s="43"/>
      <c r="AZ33" s="27"/>
      <c r="BA33" s="48">
        <f t="shared" si="13"/>
        <v>2592.6075</v>
      </c>
      <c r="BB33" s="27"/>
      <c r="BC33" s="27"/>
      <c r="BD33" s="51"/>
      <c r="BE33" s="52"/>
      <c r="BF33" s="27" t="s">
        <v>185</v>
      </c>
      <c r="BG33" s="53" t="s">
        <v>188</v>
      </c>
      <c r="BH33" s="53" t="str">
        <f>'[1]2023'!Q93</f>
        <v>#REF!</v>
      </c>
      <c r="BI33" s="27"/>
      <c r="BJ33" s="27"/>
      <c r="BK33" s="27" t="s">
        <v>76</v>
      </c>
      <c r="BL33" s="27"/>
    </row>
    <row r="34" ht="14.25" customHeight="1">
      <c r="A34" s="26" t="s">
        <v>55</v>
      </c>
      <c r="B34" s="26" t="s">
        <v>56</v>
      </c>
      <c r="C34" s="26" t="s">
        <v>57</v>
      </c>
      <c r="D34" s="26" t="s">
        <v>81</v>
      </c>
      <c r="E34" s="27" t="s">
        <v>189</v>
      </c>
      <c r="F34" s="26" t="s">
        <v>190</v>
      </c>
      <c r="G34" s="29" t="s">
        <v>187</v>
      </c>
      <c r="H34" s="30">
        <v>44977.0</v>
      </c>
      <c r="I34" s="30">
        <v>45342.0</v>
      </c>
      <c r="J34" s="31">
        <v>0.0</v>
      </c>
      <c r="K34" s="26" t="s">
        <v>62</v>
      </c>
      <c r="L34" s="32" t="s">
        <v>75</v>
      </c>
      <c r="M34" s="33">
        <v>20650.0</v>
      </c>
      <c r="N34" s="34">
        <v>22009.35</v>
      </c>
      <c r="O34" s="27" t="s">
        <v>76</v>
      </c>
      <c r="P34" s="35" t="s">
        <v>89</v>
      </c>
      <c r="Q34" s="35" t="s">
        <v>90</v>
      </c>
      <c r="R34" s="36" t="e">
        <v>#VALUE!</v>
      </c>
      <c r="S34" s="35" t="s">
        <v>86</v>
      </c>
      <c r="T34" s="35">
        <v>0.0</v>
      </c>
      <c r="U34" s="37" t="s">
        <v>67</v>
      </c>
      <c r="V34" s="38"/>
      <c r="W34" s="38"/>
      <c r="X34" s="27"/>
      <c r="Y34" s="39"/>
      <c r="Z34" s="39"/>
      <c r="AA34" s="39"/>
      <c r="AB34" s="27"/>
      <c r="AC34" s="27">
        <f t="shared" si="1"/>
        <v>0</v>
      </c>
      <c r="AD34" s="41">
        <f t="shared" si="28"/>
        <v>3097.5</v>
      </c>
      <c r="AE34" s="42"/>
      <c r="AF34" s="59"/>
      <c r="AG34" s="43">
        <f t="shared" si="29"/>
        <v>5296.725</v>
      </c>
      <c r="AH34" s="29"/>
      <c r="AI34" s="29"/>
      <c r="AJ34" s="29"/>
      <c r="AK34" s="29"/>
      <c r="AL34" s="27"/>
      <c r="AM34" s="44"/>
      <c r="AN34" s="47"/>
      <c r="AO34" s="37"/>
      <c r="AP34" s="47"/>
      <c r="AQ34" s="43">
        <f t="shared" si="30"/>
        <v>5575.5</v>
      </c>
      <c r="AR34" s="43">
        <f t="shared" si="2"/>
        <v>278.775</v>
      </c>
      <c r="AS34" s="43">
        <f t="shared" si="3"/>
        <v>975.7125</v>
      </c>
      <c r="AT34" s="48">
        <f t="shared" si="4"/>
        <v>4321.0125</v>
      </c>
      <c r="AU34" s="49">
        <f t="shared" si="20"/>
        <v>4321.0125</v>
      </c>
      <c r="AV34" s="48"/>
      <c r="AW34" s="34">
        <f t="shared" si="5"/>
        <v>18911.85</v>
      </c>
      <c r="AX34" s="50">
        <f t="shared" si="6"/>
        <v>1223.5125</v>
      </c>
      <c r="AY34" s="43"/>
      <c r="AZ34" s="27"/>
      <c r="BA34" s="48">
        <f t="shared" si="13"/>
        <v>4321.0125</v>
      </c>
      <c r="BB34" s="27"/>
      <c r="BC34" s="27"/>
      <c r="BD34" s="51"/>
      <c r="BE34" s="52"/>
      <c r="BF34" s="27" t="s">
        <v>189</v>
      </c>
      <c r="BG34" s="58" t="s">
        <v>191</v>
      </c>
      <c r="BH34" s="53" t="str">
        <f>'[1]2023'!Q95</f>
        <v>#REF!</v>
      </c>
      <c r="BI34" s="27"/>
      <c r="BJ34" s="27"/>
      <c r="BK34" s="27" t="s">
        <v>76</v>
      </c>
      <c r="BL34" s="27"/>
    </row>
    <row r="35" ht="14.25" customHeight="1">
      <c r="A35" s="26" t="s">
        <v>55</v>
      </c>
      <c r="B35" s="26" t="s">
        <v>56</v>
      </c>
      <c r="C35" s="26" t="s">
        <v>57</v>
      </c>
      <c r="D35" s="26" t="s">
        <v>81</v>
      </c>
      <c r="E35" s="27" t="s">
        <v>192</v>
      </c>
      <c r="F35" s="28" t="s">
        <v>193</v>
      </c>
      <c r="G35" s="29" t="s">
        <v>187</v>
      </c>
      <c r="H35" s="30">
        <v>44977.0</v>
      </c>
      <c r="I35" s="30">
        <v>45342.0</v>
      </c>
      <c r="J35" s="31">
        <v>0.0</v>
      </c>
      <c r="K35" s="26" t="s">
        <v>62</v>
      </c>
      <c r="L35" s="32" t="s">
        <v>75</v>
      </c>
      <c r="M35" s="33">
        <v>24780.0</v>
      </c>
      <c r="N35" s="34">
        <v>26383.02</v>
      </c>
      <c r="O35" s="27" t="s">
        <v>76</v>
      </c>
      <c r="P35" s="35" t="s">
        <v>89</v>
      </c>
      <c r="Q35" s="35" t="s">
        <v>90</v>
      </c>
      <c r="R35" s="36" t="e">
        <v>#VALUE!</v>
      </c>
      <c r="S35" s="35" t="s">
        <v>86</v>
      </c>
      <c r="T35" s="35">
        <v>0.0</v>
      </c>
      <c r="U35" s="37" t="s">
        <v>67</v>
      </c>
      <c r="V35" s="38"/>
      <c r="W35" s="38"/>
      <c r="X35" s="27"/>
      <c r="Y35" s="39"/>
      <c r="Z35" s="39"/>
      <c r="AA35" s="39"/>
      <c r="AB35" s="27"/>
      <c r="AC35" s="27">
        <f t="shared" si="1"/>
        <v>0</v>
      </c>
      <c r="AD35" s="41">
        <f t="shared" si="28"/>
        <v>3717</v>
      </c>
      <c r="AE35" s="42"/>
      <c r="AF35" s="59"/>
      <c r="AG35" s="43">
        <f t="shared" si="29"/>
        <v>6356.07</v>
      </c>
      <c r="AH35" s="29"/>
      <c r="AI35" s="29"/>
      <c r="AJ35" s="29"/>
      <c r="AK35" s="29"/>
      <c r="AL35" s="27"/>
      <c r="AM35" s="44"/>
      <c r="AN35" s="47"/>
      <c r="AO35" s="37"/>
      <c r="AP35" s="47"/>
      <c r="AQ35" s="43">
        <f t="shared" si="30"/>
        <v>6690.6</v>
      </c>
      <c r="AR35" s="43">
        <f t="shared" si="2"/>
        <v>334.53</v>
      </c>
      <c r="AS35" s="43">
        <f t="shared" si="3"/>
        <v>1170.855</v>
      </c>
      <c r="AT35" s="48">
        <f t="shared" si="4"/>
        <v>5185.215</v>
      </c>
      <c r="AU35" s="49">
        <f t="shared" si="20"/>
        <v>5185.215</v>
      </c>
      <c r="AV35" s="48"/>
      <c r="AW35" s="34">
        <f t="shared" si="5"/>
        <v>22666.02</v>
      </c>
      <c r="AX35" s="50">
        <f t="shared" si="6"/>
        <v>1468.215</v>
      </c>
      <c r="AY35" s="43"/>
      <c r="AZ35" s="27"/>
      <c r="BA35" s="48">
        <f t="shared" si="13"/>
        <v>5185.215</v>
      </c>
      <c r="BB35" s="27"/>
      <c r="BC35" s="27"/>
      <c r="BD35" s="51"/>
      <c r="BE35" s="52"/>
      <c r="BF35" s="27" t="s">
        <v>192</v>
      </c>
      <c r="BG35" s="58" t="s">
        <v>191</v>
      </c>
      <c r="BH35" s="53" t="str">
        <f>'[1]2023'!Q117</f>
        <v>#REF!</v>
      </c>
      <c r="BI35" s="27"/>
      <c r="BJ35" s="27"/>
      <c r="BK35" s="27" t="s">
        <v>76</v>
      </c>
      <c r="BL35" s="27"/>
    </row>
    <row r="36" ht="14.25" customHeight="1">
      <c r="A36" s="26" t="s">
        <v>55</v>
      </c>
      <c r="B36" s="26" t="s">
        <v>56</v>
      </c>
      <c r="C36" s="26" t="s">
        <v>57</v>
      </c>
      <c r="D36" s="26" t="s">
        <v>81</v>
      </c>
      <c r="E36" s="27" t="s">
        <v>194</v>
      </c>
      <c r="F36" s="26" t="s">
        <v>195</v>
      </c>
      <c r="G36" s="29" t="s">
        <v>187</v>
      </c>
      <c r="H36" s="30">
        <v>44977.0</v>
      </c>
      <c r="I36" s="30">
        <v>45342.0</v>
      </c>
      <c r="J36" s="31">
        <v>0.0</v>
      </c>
      <c r="K36" s="26" t="s">
        <v>62</v>
      </c>
      <c r="L36" s="32" t="s">
        <v>75</v>
      </c>
      <c r="M36" s="33">
        <v>14160.0</v>
      </c>
      <c r="N36" s="34">
        <v>15136.44</v>
      </c>
      <c r="O36" s="27" t="s">
        <v>76</v>
      </c>
      <c r="P36" s="35" t="s">
        <v>122</v>
      </c>
      <c r="Q36" s="35" t="s">
        <v>90</v>
      </c>
      <c r="R36" s="36" t="e">
        <v>#VALUE!</v>
      </c>
      <c r="S36" s="35" t="s">
        <v>86</v>
      </c>
      <c r="T36" s="35">
        <v>0.0</v>
      </c>
      <c r="U36" s="37" t="s">
        <v>67</v>
      </c>
      <c r="V36" s="38"/>
      <c r="W36" s="38"/>
      <c r="X36" s="27"/>
      <c r="Y36" s="39"/>
      <c r="Z36" s="39"/>
      <c r="AA36" s="39"/>
      <c r="AB36" s="27"/>
      <c r="AC36" s="27">
        <f t="shared" si="1"/>
        <v>0</v>
      </c>
      <c r="AD36" s="41">
        <f t="shared" si="28"/>
        <v>2124</v>
      </c>
      <c r="AE36" s="42"/>
      <c r="AF36" s="59"/>
      <c r="AG36" s="43">
        <f t="shared" si="29"/>
        <v>3632.04</v>
      </c>
      <c r="AH36" s="29"/>
      <c r="AI36" s="29"/>
      <c r="AJ36" s="29"/>
      <c r="AK36" s="29"/>
      <c r="AL36" s="27"/>
      <c r="AM36" s="27"/>
      <c r="AN36" s="47"/>
      <c r="AO36" s="37"/>
      <c r="AP36" s="47"/>
      <c r="AQ36" s="43">
        <f t="shared" si="30"/>
        <v>3823.2</v>
      </c>
      <c r="AR36" s="43">
        <f t="shared" si="2"/>
        <v>191.16</v>
      </c>
      <c r="AS36" s="43">
        <f t="shared" si="3"/>
        <v>669.06</v>
      </c>
      <c r="AT36" s="48">
        <f t="shared" si="4"/>
        <v>2962.98</v>
      </c>
      <c r="AU36" s="49">
        <f t="shared" si="20"/>
        <v>2962.98</v>
      </c>
      <c r="AV36" s="48"/>
      <c r="AW36" s="34">
        <f t="shared" si="5"/>
        <v>13012.44</v>
      </c>
      <c r="AX36" s="50">
        <f t="shared" si="6"/>
        <v>838.98</v>
      </c>
      <c r="AY36" s="43"/>
      <c r="AZ36" s="27"/>
      <c r="BA36" s="48">
        <f t="shared" si="13"/>
        <v>2962.98</v>
      </c>
      <c r="BB36" s="27"/>
      <c r="BC36" s="27"/>
      <c r="BD36" s="51"/>
      <c r="BE36" s="52"/>
      <c r="BF36" s="27" t="s">
        <v>194</v>
      </c>
      <c r="BG36" s="58" t="s">
        <v>196</v>
      </c>
      <c r="BH36" s="53" t="str">
        <f>'[1]2023'!Q126</f>
        <v>#REF!</v>
      </c>
      <c r="BI36" s="27"/>
      <c r="BJ36" s="27"/>
      <c r="BK36" s="27" t="s">
        <v>76</v>
      </c>
      <c r="BL36" s="27"/>
    </row>
    <row r="37" ht="14.25" customHeight="1">
      <c r="A37" s="26" t="s">
        <v>55</v>
      </c>
      <c r="B37" s="26" t="s">
        <v>56</v>
      </c>
      <c r="C37" s="26" t="s">
        <v>57</v>
      </c>
      <c r="D37" s="26" t="s">
        <v>81</v>
      </c>
      <c r="E37" s="27" t="s">
        <v>197</v>
      </c>
      <c r="F37" s="26" t="s">
        <v>198</v>
      </c>
      <c r="G37" s="29" t="s">
        <v>187</v>
      </c>
      <c r="H37" s="30">
        <v>44977.0</v>
      </c>
      <c r="I37" s="30">
        <v>45342.0</v>
      </c>
      <c r="J37" s="31">
        <v>0.0</v>
      </c>
      <c r="K37" s="26" t="s">
        <v>62</v>
      </c>
      <c r="L37" s="69">
        <v>45239.0</v>
      </c>
      <c r="M37" s="33">
        <v>55271.25</v>
      </c>
      <c r="N37" s="34">
        <v>58673.25</v>
      </c>
      <c r="O37" s="27" t="s">
        <v>76</v>
      </c>
      <c r="P37" s="35" t="s">
        <v>89</v>
      </c>
      <c r="Q37" s="35">
        <v>0.0</v>
      </c>
      <c r="R37" s="36" t="e">
        <v>#VALUE!</v>
      </c>
      <c r="S37" s="35" t="s">
        <v>86</v>
      </c>
      <c r="T37" s="35">
        <v>0.0</v>
      </c>
      <c r="U37" s="37" t="s">
        <v>67</v>
      </c>
      <c r="V37" s="38"/>
      <c r="W37" s="38"/>
      <c r="X37" s="27"/>
      <c r="Y37" s="39"/>
      <c r="Z37" s="39"/>
      <c r="AA37" s="39"/>
      <c r="AB37" s="27"/>
      <c r="AC37" s="27">
        <f t="shared" si="1"/>
        <v>0</v>
      </c>
      <c r="AD37" s="41">
        <f>IF(AND(S37="0",O37="Paid"),(M37*15%)-AC37,0)</f>
        <v>8290.6875</v>
      </c>
      <c r="AE37" s="42"/>
      <c r="AF37" s="27"/>
      <c r="AG37" s="43">
        <f t="shared" si="29"/>
        <v>14177.07563</v>
      </c>
      <c r="AH37" s="29"/>
      <c r="AI37" s="29"/>
      <c r="AJ37" s="29"/>
      <c r="AK37" s="29"/>
      <c r="AL37" s="27"/>
      <c r="AM37" s="44"/>
      <c r="AN37" s="68"/>
      <c r="AO37" s="37"/>
      <c r="AP37" s="47"/>
      <c r="AQ37" s="43">
        <f t="shared" si="30"/>
        <v>14923.2375</v>
      </c>
      <c r="AR37" s="43">
        <f t="shared" si="2"/>
        <v>746.161875</v>
      </c>
      <c r="AS37" s="43">
        <f t="shared" si="3"/>
        <v>2611.566563</v>
      </c>
      <c r="AT37" s="48">
        <f t="shared" si="4"/>
        <v>11565.50906</v>
      </c>
      <c r="AU37" s="49">
        <f t="shared" si="20"/>
        <v>11565.50906</v>
      </c>
      <c r="AV37" s="48"/>
      <c r="AW37" s="34">
        <f t="shared" si="5"/>
        <v>50382.5625</v>
      </c>
      <c r="AX37" s="50">
        <f t="shared" si="6"/>
        <v>3274.821563</v>
      </c>
      <c r="AY37" s="43"/>
      <c r="AZ37" s="27"/>
      <c r="BA37" s="48">
        <f t="shared" si="13"/>
        <v>11565.50906</v>
      </c>
      <c r="BB37" s="27"/>
      <c r="BC37" s="27"/>
      <c r="BD37" s="51"/>
      <c r="BE37" s="52"/>
      <c r="BF37" s="27" t="s">
        <v>199</v>
      </c>
      <c r="BG37" s="53">
        <v>0.0</v>
      </c>
      <c r="BH37" s="53" t="str">
        <f>'[1]2023'!Q132</f>
        <v>#REF!</v>
      </c>
      <c r="BI37" s="27"/>
      <c r="BJ37" s="27"/>
      <c r="BK37" s="27" t="s">
        <v>76</v>
      </c>
      <c r="BL37" s="27"/>
    </row>
    <row r="38" ht="14.25" customHeight="1">
      <c r="A38" s="26" t="s">
        <v>55</v>
      </c>
      <c r="B38" s="26" t="s">
        <v>56</v>
      </c>
      <c r="C38" s="26" t="s">
        <v>57</v>
      </c>
      <c r="D38" s="26" t="s">
        <v>81</v>
      </c>
      <c r="E38" s="27" t="s">
        <v>200</v>
      </c>
      <c r="F38" s="26" t="s">
        <v>201</v>
      </c>
      <c r="G38" s="29" t="s">
        <v>187</v>
      </c>
      <c r="H38" s="30">
        <v>44977.0</v>
      </c>
      <c r="I38" s="30">
        <v>45342.0</v>
      </c>
      <c r="J38" s="31">
        <v>0.0</v>
      </c>
      <c r="K38" s="26" t="s">
        <v>62</v>
      </c>
      <c r="L38" s="32" t="s">
        <v>75</v>
      </c>
      <c r="M38" s="33">
        <v>16520.0</v>
      </c>
      <c r="N38" s="34">
        <v>17635.68</v>
      </c>
      <c r="O38" s="27" t="s">
        <v>76</v>
      </c>
      <c r="P38" s="35" t="s">
        <v>89</v>
      </c>
      <c r="Q38" s="35" t="s">
        <v>65</v>
      </c>
      <c r="R38" s="36" t="e">
        <v>#VALUE!</v>
      </c>
      <c r="S38" s="35" t="s">
        <v>78</v>
      </c>
      <c r="T38" s="54" t="s">
        <v>163</v>
      </c>
      <c r="U38" s="37" t="s">
        <v>67</v>
      </c>
      <c r="V38" s="38"/>
      <c r="W38" s="38"/>
      <c r="X38" s="27"/>
      <c r="Y38" s="39"/>
      <c r="Z38" s="39"/>
      <c r="AA38" s="39"/>
      <c r="AB38" s="27"/>
      <c r="AC38" s="27">
        <f t="shared" si="1"/>
        <v>0</v>
      </c>
      <c r="AD38" s="41"/>
      <c r="AE38" s="42"/>
      <c r="AF38" s="27"/>
      <c r="AG38" s="43">
        <f t="shared" si="29"/>
        <v>4237.38</v>
      </c>
      <c r="AH38" s="29"/>
      <c r="AI38" s="29"/>
      <c r="AJ38" s="29"/>
      <c r="AK38" s="29"/>
      <c r="AL38" s="27"/>
      <c r="AM38" s="44"/>
      <c r="AN38" s="47"/>
      <c r="AO38" s="70">
        <f>M38*15%</f>
        <v>2478</v>
      </c>
      <c r="AP38" s="71">
        <v>45267.0</v>
      </c>
      <c r="AQ38" s="43">
        <f t="shared" si="30"/>
        <v>4460.4</v>
      </c>
      <c r="AR38" s="43">
        <f t="shared" si="2"/>
        <v>223.02</v>
      </c>
      <c r="AS38" s="43">
        <f t="shared" si="3"/>
        <v>780.57</v>
      </c>
      <c r="AT38" s="48">
        <f t="shared" si="4"/>
        <v>3456.81</v>
      </c>
      <c r="AU38" s="49">
        <f t="shared" si="20"/>
        <v>3456.81</v>
      </c>
      <c r="AV38" s="48"/>
      <c r="AW38" s="34">
        <f t="shared" si="5"/>
        <v>17635.68</v>
      </c>
      <c r="AX38" s="50">
        <f t="shared" si="6"/>
        <v>978.81</v>
      </c>
      <c r="AY38" s="43"/>
      <c r="AZ38" s="27"/>
      <c r="BA38" s="48">
        <f t="shared" si="13"/>
        <v>978.81</v>
      </c>
      <c r="BB38" s="27"/>
      <c r="BC38" s="27"/>
      <c r="BD38" s="51"/>
      <c r="BE38" s="52"/>
      <c r="BF38" s="27" t="s">
        <v>200</v>
      </c>
      <c r="BG38" s="58" t="s">
        <v>202</v>
      </c>
      <c r="BH38" s="53" t="str">
        <f>'[1]2023'!Q145</f>
        <v>#REF!</v>
      </c>
      <c r="BI38" s="27"/>
      <c r="BJ38" s="27"/>
      <c r="BK38" s="27" t="s">
        <v>76</v>
      </c>
      <c r="BL38" s="27"/>
    </row>
    <row r="39" ht="14.25" customHeight="1">
      <c r="A39" s="26" t="s">
        <v>55</v>
      </c>
      <c r="B39" s="26" t="s">
        <v>56</v>
      </c>
      <c r="C39" s="26" t="s">
        <v>57</v>
      </c>
      <c r="D39" s="26" t="s">
        <v>71</v>
      </c>
      <c r="E39" s="27" t="s">
        <v>203</v>
      </c>
      <c r="F39" s="28" t="s">
        <v>204</v>
      </c>
      <c r="G39" s="29" t="s">
        <v>187</v>
      </c>
      <c r="H39" s="30">
        <v>44977.0</v>
      </c>
      <c r="I39" s="30">
        <v>45342.0</v>
      </c>
      <c r="J39" s="31" t="s">
        <v>205</v>
      </c>
      <c r="K39" s="26" t="s">
        <v>62</v>
      </c>
      <c r="L39" s="32" t="s">
        <v>206</v>
      </c>
      <c r="M39" s="33">
        <v>24662.0</v>
      </c>
      <c r="N39" s="34">
        <v>26258.05</v>
      </c>
      <c r="O39" s="27" t="s">
        <v>76</v>
      </c>
      <c r="P39" s="35" t="s">
        <v>104</v>
      </c>
      <c r="Q39" s="35" t="s">
        <v>65</v>
      </c>
      <c r="R39" s="36" t="e">
        <v>#VALUE!</v>
      </c>
      <c r="S39" s="35" t="s">
        <v>66</v>
      </c>
      <c r="T39" s="35">
        <v>0.0</v>
      </c>
      <c r="U39" s="37" t="s">
        <v>67</v>
      </c>
      <c r="V39" s="38">
        <v>1100000.0</v>
      </c>
      <c r="W39" s="78" t="s">
        <v>207</v>
      </c>
      <c r="X39" s="27">
        <v>2022.0</v>
      </c>
      <c r="Y39" s="39"/>
      <c r="Z39" s="79" t="s">
        <v>208</v>
      </c>
      <c r="AA39" s="39"/>
      <c r="AB39" s="27"/>
      <c r="AC39" s="27">
        <f t="shared" si="1"/>
        <v>0</v>
      </c>
      <c r="AD39" s="41"/>
      <c r="AE39" s="42"/>
      <c r="AF39" s="27"/>
      <c r="AG39" s="43">
        <f t="shared" si="29"/>
        <v>6325.803</v>
      </c>
      <c r="AH39" s="29"/>
      <c r="AI39" s="29"/>
      <c r="AJ39" s="29"/>
      <c r="AK39" s="29"/>
      <c r="AL39" s="27"/>
      <c r="AM39" s="44">
        <f t="shared" ref="AM39:AM40" si="31">IF((BD39&lt;=2),AU39*10%,(IF((BD39&lt;=3),AU39*20%,IF((BD39&lt;=4),AU39*20%,IF((BD39&gt;=5),AU39*30%,0)))))</f>
        <v>516.05235</v>
      </c>
      <c r="AN39" s="63" t="s">
        <v>75</v>
      </c>
      <c r="AO39" s="46"/>
      <c r="AP39" s="47"/>
      <c r="AQ39" s="43">
        <f t="shared" si="30"/>
        <v>6658.74</v>
      </c>
      <c r="AR39" s="43">
        <f t="shared" si="2"/>
        <v>332.937</v>
      </c>
      <c r="AS39" s="43">
        <f t="shared" si="3"/>
        <v>1165.2795</v>
      </c>
      <c r="AT39" s="48">
        <f t="shared" si="4"/>
        <v>5160.5235</v>
      </c>
      <c r="AU39" s="49">
        <f t="shared" si="20"/>
        <v>5160.5235</v>
      </c>
      <c r="AV39" s="48"/>
      <c r="AW39" s="34">
        <f t="shared" si="5"/>
        <v>26258.05</v>
      </c>
      <c r="AX39" s="50">
        <f t="shared" si="6"/>
        <v>4644.47115</v>
      </c>
      <c r="AY39" s="43"/>
      <c r="AZ39" s="27"/>
      <c r="BA39" s="48">
        <f t="shared" si="13"/>
        <v>4644.47115</v>
      </c>
      <c r="BB39" s="27"/>
      <c r="BC39" s="27"/>
      <c r="BD39" s="51"/>
      <c r="BE39" s="52"/>
      <c r="BF39" s="27" t="s">
        <v>203</v>
      </c>
      <c r="BG39" s="53">
        <v>0.0</v>
      </c>
      <c r="BH39" s="53" t="str">
        <f>'[1]2023'!Q229</f>
        <v>#REF!</v>
      </c>
      <c r="BI39" s="27"/>
      <c r="BJ39" s="27"/>
      <c r="BK39" s="27" t="s">
        <v>76</v>
      </c>
      <c r="BL39" s="27"/>
    </row>
    <row r="40" ht="14.25" customHeight="1">
      <c r="A40" s="26" t="s">
        <v>55</v>
      </c>
      <c r="B40" s="26" t="s">
        <v>56</v>
      </c>
      <c r="C40" s="26" t="s">
        <v>57</v>
      </c>
      <c r="D40" s="26" t="s">
        <v>71</v>
      </c>
      <c r="E40" s="27" t="s">
        <v>209</v>
      </c>
      <c r="F40" s="28" t="s">
        <v>210</v>
      </c>
      <c r="G40" s="29" t="s">
        <v>187</v>
      </c>
      <c r="H40" s="30">
        <v>44977.0</v>
      </c>
      <c r="I40" s="30">
        <v>45342.0</v>
      </c>
      <c r="J40" s="31" t="s">
        <v>205</v>
      </c>
      <c r="K40" s="26" t="s">
        <v>62</v>
      </c>
      <c r="L40" s="32" t="s">
        <v>206</v>
      </c>
      <c r="M40" s="33">
        <v>16720.0</v>
      </c>
      <c r="N40" s="34">
        <v>17848.48</v>
      </c>
      <c r="O40" s="27" t="s">
        <v>76</v>
      </c>
      <c r="P40" s="35" t="s">
        <v>104</v>
      </c>
      <c r="Q40" s="35" t="s">
        <v>65</v>
      </c>
      <c r="R40" s="36" t="e">
        <v>#VALUE!</v>
      </c>
      <c r="S40" s="35" t="s">
        <v>66</v>
      </c>
      <c r="T40" s="35">
        <v>0.0</v>
      </c>
      <c r="U40" s="37" t="s">
        <v>67</v>
      </c>
      <c r="V40" s="38">
        <v>800000.0</v>
      </c>
      <c r="W40" s="78">
        <v>107115.0</v>
      </c>
      <c r="X40" s="27">
        <v>2020.0</v>
      </c>
      <c r="Y40" s="39"/>
      <c r="Z40" s="79" t="s">
        <v>211</v>
      </c>
      <c r="AA40" s="39"/>
      <c r="AB40" s="27"/>
      <c r="AC40" s="27">
        <f t="shared" si="1"/>
        <v>0</v>
      </c>
      <c r="AD40" s="41"/>
      <c r="AE40" s="42"/>
      <c r="AF40" s="27"/>
      <c r="AG40" s="43">
        <f t="shared" si="29"/>
        <v>4288.68</v>
      </c>
      <c r="AH40" s="29"/>
      <c r="AI40" s="29"/>
      <c r="AJ40" s="29"/>
      <c r="AK40" s="29"/>
      <c r="AL40" s="27"/>
      <c r="AM40" s="44">
        <f t="shared" si="31"/>
        <v>349.866</v>
      </c>
      <c r="AN40" s="63" t="s">
        <v>75</v>
      </c>
      <c r="AO40" s="46"/>
      <c r="AP40" s="47"/>
      <c r="AQ40" s="43">
        <f t="shared" si="30"/>
        <v>4514.4</v>
      </c>
      <c r="AR40" s="43">
        <f t="shared" si="2"/>
        <v>225.72</v>
      </c>
      <c r="AS40" s="43">
        <f t="shared" si="3"/>
        <v>790.02</v>
      </c>
      <c r="AT40" s="48">
        <f t="shared" si="4"/>
        <v>3498.66</v>
      </c>
      <c r="AU40" s="49">
        <f t="shared" si="20"/>
        <v>3498.66</v>
      </c>
      <c r="AV40" s="48"/>
      <c r="AW40" s="34">
        <f t="shared" si="5"/>
        <v>17848.48</v>
      </c>
      <c r="AX40" s="50">
        <f t="shared" si="6"/>
        <v>3148.794</v>
      </c>
      <c r="AY40" s="43"/>
      <c r="AZ40" s="27"/>
      <c r="BA40" s="48">
        <f t="shared" si="13"/>
        <v>3148.794</v>
      </c>
      <c r="BB40" s="27"/>
      <c r="BC40" s="27"/>
      <c r="BD40" s="51"/>
      <c r="BE40" s="52"/>
      <c r="BF40" s="27" t="s">
        <v>209</v>
      </c>
      <c r="BG40" s="53" t="s">
        <v>212</v>
      </c>
      <c r="BH40" s="53" t="str">
        <f>'[1]2023'!Q242</f>
        <v>#REF!</v>
      </c>
      <c r="BI40" s="27"/>
      <c r="BJ40" s="27"/>
      <c r="BK40" s="27" t="s">
        <v>76</v>
      </c>
      <c r="BL40" s="27"/>
    </row>
    <row r="41" ht="14.25" customHeight="1">
      <c r="A41" s="26" t="s">
        <v>68</v>
      </c>
      <c r="B41" s="26" t="s">
        <v>213</v>
      </c>
      <c r="C41" s="26" t="s">
        <v>70</v>
      </c>
      <c r="D41" s="26" t="s">
        <v>71</v>
      </c>
      <c r="E41" s="27" t="s">
        <v>214</v>
      </c>
      <c r="F41" s="28" t="s">
        <v>73</v>
      </c>
      <c r="G41" s="29" t="s">
        <v>187</v>
      </c>
      <c r="H41" s="30">
        <v>44977.0</v>
      </c>
      <c r="I41" s="30">
        <v>45342.0</v>
      </c>
      <c r="J41" s="31">
        <v>0.0</v>
      </c>
      <c r="K41" s="26" t="s">
        <v>62</v>
      </c>
      <c r="L41" s="32" t="s">
        <v>75</v>
      </c>
      <c r="M41" s="33">
        <v>2944.0</v>
      </c>
      <c r="N41" s="34">
        <v>4534.0</v>
      </c>
      <c r="O41" s="27" t="s">
        <v>76</v>
      </c>
      <c r="P41" s="35" t="s">
        <v>77</v>
      </c>
      <c r="Q41" s="35">
        <v>0.0</v>
      </c>
      <c r="R41" s="36" t="e">
        <v>#VALUE!</v>
      </c>
      <c r="S41" s="35" t="s">
        <v>78</v>
      </c>
      <c r="T41" s="54" t="s">
        <v>79</v>
      </c>
      <c r="U41" s="37" t="s">
        <v>213</v>
      </c>
      <c r="V41" s="38"/>
      <c r="W41" s="38"/>
      <c r="X41" s="27"/>
      <c r="Y41" s="39"/>
      <c r="Z41" s="39"/>
      <c r="AA41" s="39"/>
      <c r="AB41" s="40"/>
      <c r="AC41" s="27">
        <f t="shared" si="1"/>
        <v>0</v>
      </c>
      <c r="AD41" s="41"/>
      <c r="AE41" s="42"/>
      <c r="AF41" s="27"/>
      <c r="AG41" s="43">
        <f>IF(O41="Paid",IF(A41="Wethaq",(M41*16.75%)-((M41*16.75%)*5%)))</f>
        <v>468.464</v>
      </c>
      <c r="AH41" s="29" t="s">
        <v>75</v>
      </c>
      <c r="AI41" s="29">
        <v>45266.0</v>
      </c>
      <c r="AJ41" s="40">
        <v>0.1675</v>
      </c>
      <c r="AK41" s="29">
        <v>45052.0</v>
      </c>
      <c r="AL41" s="27"/>
      <c r="AM41" s="27"/>
      <c r="AN41" s="56"/>
      <c r="AO41" s="46">
        <f>((M41*AJ41)-((M41*AJ41)*22.5%))*80%</f>
        <v>305.7344</v>
      </c>
      <c r="AP41" s="57">
        <v>45177.0</v>
      </c>
      <c r="AQ41" s="43">
        <f>M41*AJ41</f>
        <v>493.12</v>
      </c>
      <c r="AR41" s="43">
        <f t="shared" si="2"/>
        <v>24.656</v>
      </c>
      <c r="AS41" s="43">
        <f t="shared" si="3"/>
        <v>86.296</v>
      </c>
      <c r="AT41" s="48">
        <f t="shared" si="4"/>
        <v>382.168</v>
      </c>
      <c r="AU41" s="49">
        <f t="shared" si="20"/>
        <v>382.168</v>
      </c>
      <c r="AV41" s="48"/>
      <c r="AW41" s="34">
        <f t="shared" si="5"/>
        <v>4534</v>
      </c>
      <c r="AX41" s="50">
        <f t="shared" si="6"/>
        <v>76.4336</v>
      </c>
      <c r="AY41" s="43"/>
      <c r="AZ41" s="43"/>
      <c r="BA41" s="48" t="str">
        <f>IF(S41&lt;&gt;0,AU41-#REF!-AM41,(AG41-AD41-AE41-AS41))</f>
        <v>#REF!</v>
      </c>
      <c r="BB41" s="27"/>
      <c r="BC41" s="27"/>
      <c r="BD41" s="51"/>
      <c r="BE41" s="52"/>
      <c r="BF41" s="27" t="s">
        <v>215</v>
      </c>
      <c r="BG41" s="53">
        <v>0.0</v>
      </c>
      <c r="BH41" s="53" t="str">
        <f>'[1]2023'!Q603</f>
        <v>#REF!</v>
      </c>
      <c r="BI41" s="27"/>
      <c r="BJ41" s="27"/>
      <c r="BK41" s="27" t="s">
        <v>76</v>
      </c>
      <c r="BL41" s="64" t="s">
        <v>216</v>
      </c>
    </row>
    <row r="42" ht="14.25" customHeight="1">
      <c r="A42" s="26" t="s">
        <v>55</v>
      </c>
      <c r="B42" s="26" t="s">
        <v>56</v>
      </c>
      <c r="C42" s="26" t="s">
        <v>57</v>
      </c>
      <c r="D42" s="26" t="s">
        <v>81</v>
      </c>
      <c r="E42" s="27" t="s">
        <v>217</v>
      </c>
      <c r="F42" s="26" t="s">
        <v>218</v>
      </c>
      <c r="G42" s="29" t="s">
        <v>219</v>
      </c>
      <c r="H42" s="30">
        <v>44978.0</v>
      </c>
      <c r="I42" s="30">
        <v>45343.0</v>
      </c>
      <c r="J42" s="31" t="s">
        <v>220</v>
      </c>
      <c r="K42" s="26" t="s">
        <v>62</v>
      </c>
      <c r="L42" s="32" t="s">
        <v>75</v>
      </c>
      <c r="M42" s="33">
        <v>24780.0</v>
      </c>
      <c r="N42" s="34">
        <v>26383.02</v>
      </c>
      <c r="O42" s="27" t="s">
        <v>76</v>
      </c>
      <c r="P42" s="35" t="s">
        <v>104</v>
      </c>
      <c r="Q42" s="35" t="s">
        <v>65</v>
      </c>
      <c r="R42" s="36" t="e">
        <v>#VALUE!</v>
      </c>
      <c r="S42" s="35" t="s">
        <v>86</v>
      </c>
      <c r="T42" s="35">
        <v>0.0</v>
      </c>
      <c r="U42" s="37" t="s">
        <v>67</v>
      </c>
      <c r="V42" s="38"/>
      <c r="W42" s="38"/>
      <c r="X42" s="27"/>
      <c r="Y42" s="39"/>
      <c r="Z42" s="39"/>
      <c r="AA42" s="39"/>
      <c r="AB42" s="27"/>
      <c r="AC42" s="27">
        <f t="shared" si="1"/>
        <v>0</v>
      </c>
      <c r="AD42" s="41"/>
      <c r="AE42" s="42"/>
      <c r="AF42" s="27"/>
      <c r="AG42" s="43">
        <f>IF(O42="Paid",IF(A42="Alwataniya",(M42*21%)-((M42*21%)*5%),IF((A42="GIG"),(M42*25%)-((M42*25%)*5%),IF((A42="Allianz"),(M42*27%)-((M42*27%)*5%),0))),0)</f>
        <v>6356.07</v>
      </c>
      <c r="AH42" s="29"/>
      <c r="AI42" s="29"/>
      <c r="AJ42" s="29"/>
      <c r="AK42" s="29"/>
      <c r="AL42" s="27"/>
      <c r="AM42" s="44"/>
      <c r="AN42" s="68"/>
      <c r="AO42" s="37"/>
      <c r="AP42" s="47"/>
      <c r="AQ42" s="43">
        <f>IF(U42="Motor Plus",(M42*27%),IF(U42="Motor One",(M42*22%),(IF(U42="Golden",(M42*25%),(IF(U42="Classic",(M42*15%),(IF(U42="Wethaq",(M42*28%),IF(U42="Alwataniya",(M42*21%))*0))))))))</f>
        <v>6690.6</v>
      </c>
      <c r="AR42" s="43">
        <f t="shared" si="2"/>
        <v>334.53</v>
      </c>
      <c r="AS42" s="43">
        <f t="shared" si="3"/>
        <v>1170.855</v>
      </c>
      <c r="AT42" s="48">
        <f t="shared" si="4"/>
        <v>5185.215</v>
      </c>
      <c r="AU42" s="49">
        <f t="shared" si="20"/>
        <v>5185.215</v>
      </c>
      <c r="AV42" s="48"/>
      <c r="AW42" s="34">
        <f t="shared" si="5"/>
        <v>26383.02</v>
      </c>
      <c r="AX42" s="50">
        <f t="shared" si="6"/>
        <v>5185.215</v>
      </c>
      <c r="AY42" s="43"/>
      <c r="AZ42" s="27"/>
      <c r="BA42" s="48">
        <f t="shared" ref="BA42:BA51" si="32">IF(S42&lt;&gt;0,AU42-AO42-AM42,(AG42-AD42-AE42-AS42))</f>
        <v>5185.215</v>
      </c>
      <c r="BB42" s="27"/>
      <c r="BC42" s="27"/>
      <c r="BD42" s="51"/>
      <c r="BE42" s="52"/>
      <c r="BF42" s="27" t="s">
        <v>217</v>
      </c>
      <c r="BG42" s="53" t="s">
        <v>221</v>
      </c>
      <c r="BH42" s="53" t="str">
        <f>'[1]2023'!Q92</f>
        <v>#REF!</v>
      </c>
      <c r="BI42" s="27"/>
      <c r="BJ42" s="27"/>
      <c r="BK42" s="27" t="s">
        <v>76</v>
      </c>
      <c r="BL42" s="27"/>
    </row>
    <row r="43" ht="14.25" customHeight="1">
      <c r="A43" s="26" t="s">
        <v>55</v>
      </c>
      <c r="B43" s="26" t="s">
        <v>56</v>
      </c>
      <c r="C43" s="26" t="s">
        <v>57</v>
      </c>
      <c r="D43" s="26" t="s">
        <v>81</v>
      </c>
      <c r="E43" s="27" t="s">
        <v>222</v>
      </c>
      <c r="F43" s="26" t="s">
        <v>223</v>
      </c>
      <c r="G43" s="29" t="s">
        <v>219</v>
      </c>
      <c r="H43" s="30">
        <v>44978.0</v>
      </c>
      <c r="I43" s="30">
        <v>45343.0</v>
      </c>
      <c r="J43" s="31">
        <v>0.0</v>
      </c>
      <c r="K43" s="26" t="s">
        <v>62</v>
      </c>
      <c r="L43" s="32" t="s">
        <v>63</v>
      </c>
      <c r="M43" s="33">
        <v>17552.5</v>
      </c>
      <c r="N43" s="34">
        <v>18729.11</v>
      </c>
      <c r="O43" s="27" t="s">
        <v>64</v>
      </c>
      <c r="P43" s="35">
        <v>0.0</v>
      </c>
      <c r="Q43" s="35" t="s">
        <v>65</v>
      </c>
      <c r="R43" s="36" t="e">
        <v>#VALUE!</v>
      </c>
      <c r="S43" s="35" t="s">
        <v>86</v>
      </c>
      <c r="T43" s="35">
        <v>0.0</v>
      </c>
      <c r="U43" s="37" t="s">
        <v>67</v>
      </c>
      <c r="V43" s="38"/>
      <c r="W43" s="38"/>
      <c r="X43" s="27"/>
      <c r="Y43" s="39"/>
      <c r="Z43" s="39"/>
      <c r="AA43" s="39"/>
      <c r="AB43" s="27"/>
      <c r="AC43" s="27">
        <f t="shared" si="1"/>
        <v>0</v>
      </c>
      <c r="AD43" s="41">
        <f t="shared" ref="AD43:AD44" si="33">IF(AND(S43="0",O43="Paid"),(M43*15%)-AC43,0)</f>
        <v>0</v>
      </c>
      <c r="AE43" s="42"/>
      <c r="AF43" s="27"/>
      <c r="AG43" s="43">
        <f t="shared" ref="AG43:AG44" si="34">IF(O43="Paid",IF(A43="Alwataniya",(M43*21%)-((M43*21%)*5%),IF((A43="GIG"),(M43*25%)-((M43*25%)*5%),IF((A43="Allianz"),(M43*27%)-((M43*27%)*20%),0))),0)</f>
        <v>0</v>
      </c>
      <c r="AH43" s="29"/>
      <c r="AI43" s="29"/>
      <c r="AJ43" s="29"/>
      <c r="AK43" s="29"/>
      <c r="AL43" s="27"/>
      <c r="AM43" s="44"/>
      <c r="AN43" s="47"/>
      <c r="AO43" s="37"/>
      <c r="AP43" s="47"/>
      <c r="AQ43" s="43" t="b">
        <f t="shared" ref="AQ43:AQ44" si="35">IF(O43="Paid",IF(U43="Motor Plus",(M43*27%),IF(U43="Motor One",(M43*22%),(IF(U43="Golden",(M43*25%),(IF(U43="Classic",(M43*15%),(IF(U43="Wethaq",(M43*28%),IF(U43="Alwataniya",(M43*21%))*0)))))))))</f>
        <v>0</v>
      </c>
      <c r="AR43" s="43">
        <f t="shared" si="2"/>
        <v>0</v>
      </c>
      <c r="AS43" s="43">
        <f t="shared" si="3"/>
        <v>0</v>
      </c>
      <c r="AT43" s="48">
        <f t="shared" si="4"/>
        <v>0</v>
      </c>
      <c r="AU43" s="49">
        <f t="shared" si="20"/>
        <v>0</v>
      </c>
      <c r="AV43" s="48"/>
      <c r="AW43" s="34">
        <f t="shared" si="5"/>
        <v>18729.11</v>
      </c>
      <c r="AX43" s="50">
        <f t="shared" si="6"/>
        <v>0</v>
      </c>
      <c r="AY43" s="43"/>
      <c r="AZ43" s="27"/>
      <c r="BA43" s="48">
        <f t="shared" si="32"/>
        <v>0</v>
      </c>
      <c r="BB43" s="27"/>
      <c r="BC43" s="27"/>
      <c r="BD43" s="51"/>
      <c r="BE43" s="52"/>
      <c r="BF43" s="27" t="s">
        <v>222</v>
      </c>
      <c r="BG43" s="53">
        <v>0.0</v>
      </c>
      <c r="BH43" s="53" t="str">
        <f>'[1]2023'!Q94</f>
        <v>#REF!</v>
      </c>
      <c r="BI43" s="27"/>
      <c r="BJ43" s="27"/>
      <c r="BK43" s="27" t="s">
        <v>64</v>
      </c>
      <c r="BL43" s="27"/>
    </row>
    <row r="44" ht="14.25" customHeight="1">
      <c r="A44" s="26" t="s">
        <v>55</v>
      </c>
      <c r="B44" s="26" t="s">
        <v>56</v>
      </c>
      <c r="C44" s="26" t="s">
        <v>57</v>
      </c>
      <c r="D44" s="26" t="s">
        <v>81</v>
      </c>
      <c r="E44" s="27" t="s">
        <v>224</v>
      </c>
      <c r="F44" s="26" t="s">
        <v>225</v>
      </c>
      <c r="G44" s="29" t="s">
        <v>219</v>
      </c>
      <c r="H44" s="30">
        <v>44978.0</v>
      </c>
      <c r="I44" s="30">
        <v>45343.0</v>
      </c>
      <c r="J44" s="31">
        <v>0.0</v>
      </c>
      <c r="K44" s="26" t="s">
        <v>62</v>
      </c>
      <c r="L44" s="32" t="s">
        <v>63</v>
      </c>
      <c r="M44" s="33">
        <v>27540.0</v>
      </c>
      <c r="N44" s="34">
        <v>29305.86</v>
      </c>
      <c r="O44" s="27" t="s">
        <v>64</v>
      </c>
      <c r="P44" s="35">
        <v>0.0</v>
      </c>
      <c r="Q44" s="35" t="s">
        <v>90</v>
      </c>
      <c r="R44" s="36" t="e">
        <v>#VALUE!</v>
      </c>
      <c r="S44" s="35" t="s">
        <v>86</v>
      </c>
      <c r="T44" s="35">
        <v>0.0</v>
      </c>
      <c r="U44" s="37" t="s">
        <v>67</v>
      </c>
      <c r="V44" s="38"/>
      <c r="W44" s="38"/>
      <c r="X44" s="27"/>
      <c r="Y44" s="39"/>
      <c r="Z44" s="39"/>
      <c r="AA44" s="39"/>
      <c r="AB44" s="27"/>
      <c r="AC44" s="27">
        <f t="shared" si="1"/>
        <v>0</v>
      </c>
      <c r="AD44" s="41">
        <f t="shared" si="33"/>
        <v>0</v>
      </c>
      <c r="AE44" s="42"/>
      <c r="AF44" s="27"/>
      <c r="AG44" s="43">
        <f t="shared" si="34"/>
        <v>0</v>
      </c>
      <c r="AH44" s="29"/>
      <c r="AI44" s="29"/>
      <c r="AJ44" s="29"/>
      <c r="AK44" s="29"/>
      <c r="AL44" s="27"/>
      <c r="AM44" s="44"/>
      <c r="AN44" s="47"/>
      <c r="AO44" s="37"/>
      <c r="AP44" s="47"/>
      <c r="AQ44" s="43" t="b">
        <f t="shared" si="35"/>
        <v>0</v>
      </c>
      <c r="AR44" s="43">
        <f t="shared" si="2"/>
        <v>0</v>
      </c>
      <c r="AS44" s="43">
        <f t="shared" si="3"/>
        <v>0</v>
      </c>
      <c r="AT44" s="48">
        <f t="shared" si="4"/>
        <v>0</v>
      </c>
      <c r="AU44" s="49">
        <f t="shared" si="20"/>
        <v>0</v>
      </c>
      <c r="AV44" s="48"/>
      <c r="AW44" s="34">
        <f t="shared" si="5"/>
        <v>29305.86</v>
      </c>
      <c r="AX44" s="50">
        <f t="shared" si="6"/>
        <v>0</v>
      </c>
      <c r="AY44" s="43"/>
      <c r="AZ44" s="27"/>
      <c r="BA44" s="48">
        <f t="shared" si="32"/>
        <v>0</v>
      </c>
      <c r="BB44" s="27"/>
      <c r="BC44" s="27"/>
      <c r="BD44" s="51"/>
      <c r="BE44" s="52"/>
      <c r="BF44" s="27" t="s">
        <v>224</v>
      </c>
      <c r="BG44" s="53">
        <v>0.0</v>
      </c>
      <c r="BH44" s="53" t="str">
        <f>'[1]2023'!Q130</f>
        <v>#REF!</v>
      </c>
      <c r="BI44" s="27"/>
      <c r="BJ44" s="27"/>
      <c r="BK44" s="27" t="s">
        <v>64</v>
      </c>
      <c r="BL44" s="27"/>
    </row>
    <row r="45" ht="14.25" customHeight="1">
      <c r="A45" s="26" t="s">
        <v>55</v>
      </c>
      <c r="B45" s="26" t="s">
        <v>56</v>
      </c>
      <c r="C45" s="26" t="s">
        <v>57</v>
      </c>
      <c r="D45" s="26" t="s">
        <v>81</v>
      </c>
      <c r="E45" s="27" t="s">
        <v>226</v>
      </c>
      <c r="F45" s="26" t="s">
        <v>227</v>
      </c>
      <c r="G45" s="29" t="s">
        <v>219</v>
      </c>
      <c r="H45" s="30">
        <v>44978.0</v>
      </c>
      <c r="I45" s="30">
        <v>45343.0</v>
      </c>
      <c r="J45" s="31">
        <v>0.0</v>
      </c>
      <c r="K45" s="26" t="s">
        <v>62</v>
      </c>
      <c r="L45" s="32" t="s">
        <v>75</v>
      </c>
      <c r="M45" s="33">
        <v>7410.0</v>
      </c>
      <c r="N45" s="34">
        <v>7988.19</v>
      </c>
      <c r="O45" s="27" t="s">
        <v>76</v>
      </c>
      <c r="P45" s="35" t="s">
        <v>104</v>
      </c>
      <c r="Q45" s="35">
        <v>0.0</v>
      </c>
      <c r="R45" s="36" t="e">
        <v>#VALUE!</v>
      </c>
      <c r="S45" s="35" t="s">
        <v>86</v>
      </c>
      <c r="T45" s="35">
        <v>0.0</v>
      </c>
      <c r="U45" s="37" t="s">
        <v>67</v>
      </c>
      <c r="V45" s="38"/>
      <c r="W45" s="38"/>
      <c r="X45" s="27"/>
      <c r="Y45" s="39"/>
      <c r="Z45" s="39"/>
      <c r="AA45" s="39"/>
      <c r="AB45" s="27"/>
      <c r="AC45" s="27">
        <f t="shared" si="1"/>
        <v>0</v>
      </c>
      <c r="AD45" s="41">
        <f>IF(AND(S45="0",O45="Paid"),M45*15%,0)</f>
        <v>1111.5</v>
      </c>
      <c r="AE45" s="42"/>
      <c r="AF45" s="27"/>
      <c r="AG45" s="43">
        <f t="shared" ref="AG45:AG51" si="36">IF(O45="Paid",IF(A45="Alwataniya",(M45*21%)-((M45*21%)*5%),IF((A45="GIG"),(M45*25%)-((M45*25%)*5%),IF((A45="Allianz"),(M45*27%)-((M45*27%)*5%),0))),0)</f>
        <v>1900.665</v>
      </c>
      <c r="AH45" s="29"/>
      <c r="AI45" s="29"/>
      <c r="AJ45" s="29"/>
      <c r="AK45" s="29"/>
      <c r="AL45" s="27"/>
      <c r="AM45" s="44"/>
      <c r="AN45" s="47"/>
      <c r="AO45" s="46"/>
      <c r="AP45" s="47"/>
      <c r="AQ45" s="43">
        <f t="shared" ref="AQ45:AQ46" si="37">IF(U45="Motor Plus",(M45*27%),IF(U45="Motor One",(M45*22%),(IF(U45="Golden",(M45*25%),(IF(U45="Classic",(M45*15%),(IF(U45="Wethaq",(M45*28%),IF(U45="Alwataniya",(M45*21%))*0))))))))</f>
        <v>2000.7</v>
      </c>
      <c r="AR45" s="43">
        <f t="shared" si="2"/>
        <v>100.035</v>
      </c>
      <c r="AS45" s="43">
        <f t="shared" si="3"/>
        <v>350.1225</v>
      </c>
      <c r="AT45" s="48">
        <f t="shared" si="4"/>
        <v>1550.5425</v>
      </c>
      <c r="AU45" s="49">
        <f t="shared" si="20"/>
        <v>1550.5425</v>
      </c>
      <c r="AV45" s="48"/>
      <c r="AW45" s="34">
        <f t="shared" si="5"/>
        <v>6876.69</v>
      </c>
      <c r="AX45" s="50">
        <f t="shared" si="6"/>
        <v>439.0425</v>
      </c>
      <c r="AY45" s="43"/>
      <c r="AZ45" s="27"/>
      <c r="BA45" s="48">
        <f t="shared" si="32"/>
        <v>1550.5425</v>
      </c>
      <c r="BB45" s="27"/>
      <c r="BC45" s="27"/>
      <c r="BD45" s="51"/>
      <c r="BE45" s="52"/>
      <c r="BF45" s="27" t="s">
        <v>226</v>
      </c>
      <c r="BG45" s="53" t="s">
        <v>110</v>
      </c>
      <c r="BH45" s="53" t="str">
        <f>'[1]2023'!Q207</f>
        <v>#REF!</v>
      </c>
      <c r="BI45" s="27"/>
      <c r="BJ45" s="27"/>
      <c r="BK45" s="27" t="s">
        <v>76</v>
      </c>
      <c r="BL45" s="27"/>
    </row>
    <row r="46" ht="14.25" customHeight="1">
      <c r="A46" s="26" t="s">
        <v>55</v>
      </c>
      <c r="B46" s="26" t="s">
        <v>56</v>
      </c>
      <c r="C46" s="26" t="s">
        <v>57</v>
      </c>
      <c r="D46" s="26" t="s">
        <v>71</v>
      </c>
      <c r="E46" s="27" t="s">
        <v>228</v>
      </c>
      <c r="F46" s="28" t="s">
        <v>229</v>
      </c>
      <c r="G46" s="29" t="s">
        <v>219</v>
      </c>
      <c r="H46" s="30">
        <v>44978.0</v>
      </c>
      <c r="I46" s="30">
        <v>45343.0</v>
      </c>
      <c r="J46" s="31" t="s">
        <v>230</v>
      </c>
      <c r="K46" s="26" t="s">
        <v>62</v>
      </c>
      <c r="L46" s="69">
        <v>44929.0</v>
      </c>
      <c r="M46" s="33">
        <v>13422.5</v>
      </c>
      <c r="N46" s="34">
        <v>14355.44</v>
      </c>
      <c r="O46" s="27" t="s">
        <v>76</v>
      </c>
      <c r="P46" s="35" t="s">
        <v>122</v>
      </c>
      <c r="Q46" s="35" t="s">
        <v>65</v>
      </c>
      <c r="R46" s="36" t="e">
        <v>#VALUE!</v>
      </c>
      <c r="S46" s="35" t="s">
        <v>231</v>
      </c>
      <c r="T46" s="35">
        <v>0.0</v>
      </c>
      <c r="U46" s="37" t="s">
        <v>67</v>
      </c>
      <c r="V46" s="38">
        <v>650000.0</v>
      </c>
      <c r="W46" s="78">
        <v>514218.0</v>
      </c>
      <c r="X46" s="27">
        <v>2021.0</v>
      </c>
      <c r="Y46" s="39"/>
      <c r="Z46" s="79" t="s">
        <v>232</v>
      </c>
      <c r="AA46" s="39"/>
      <c r="AB46" s="27"/>
      <c r="AC46" s="27">
        <f t="shared" si="1"/>
        <v>0</v>
      </c>
      <c r="AD46" s="41"/>
      <c r="AE46" s="42"/>
      <c r="AF46" s="27"/>
      <c r="AG46" s="43">
        <f t="shared" si="36"/>
        <v>3442.87125</v>
      </c>
      <c r="AH46" s="29"/>
      <c r="AI46" s="29"/>
      <c r="AJ46" s="29"/>
      <c r="AK46" s="29"/>
      <c r="AL46" s="27"/>
      <c r="AM46" s="44">
        <f>IF((BD46&lt;=2),AU46*10%,(IF((BD46&lt;=3),AU46*20%,IF((BD46&lt;=4),AU46*20%,IF((BD46&gt;=5),AU46*30%,0)))))</f>
        <v>280.8658125</v>
      </c>
      <c r="AN46" s="80"/>
      <c r="AO46" s="46">
        <f>M46*15%</f>
        <v>2013.375</v>
      </c>
      <c r="AP46" s="80" t="s">
        <v>75</v>
      </c>
      <c r="AQ46" s="43">
        <f t="shared" si="37"/>
        <v>3624.075</v>
      </c>
      <c r="AR46" s="43">
        <f t="shared" si="2"/>
        <v>181.20375</v>
      </c>
      <c r="AS46" s="43">
        <f t="shared" si="3"/>
        <v>634.213125</v>
      </c>
      <c r="AT46" s="48">
        <f t="shared" si="4"/>
        <v>2808.658125</v>
      </c>
      <c r="AU46" s="49">
        <f t="shared" si="20"/>
        <v>2808.658125</v>
      </c>
      <c r="AV46" s="48"/>
      <c r="AW46" s="34">
        <f t="shared" si="5"/>
        <v>14355.44</v>
      </c>
      <c r="AX46" s="50">
        <f t="shared" si="6"/>
        <v>514.4173125</v>
      </c>
      <c r="AY46" s="43"/>
      <c r="AZ46" s="27"/>
      <c r="BA46" s="48">
        <f t="shared" si="32"/>
        <v>514.4173125</v>
      </c>
      <c r="BB46" s="27">
        <f>M46*15%</f>
        <v>2013.375</v>
      </c>
      <c r="BC46" s="27" t="s">
        <v>233</v>
      </c>
      <c r="BD46" s="51"/>
      <c r="BE46" s="52"/>
      <c r="BF46" s="27" t="s">
        <v>228</v>
      </c>
      <c r="BG46" s="53">
        <v>44929.0</v>
      </c>
      <c r="BH46" s="53" t="str">
        <f>'[1]2023'!Q225</f>
        <v>#REF!</v>
      </c>
      <c r="BI46" s="27"/>
      <c r="BJ46" s="27"/>
      <c r="BK46" s="27" t="s">
        <v>76</v>
      </c>
      <c r="BL46" s="27" t="s">
        <v>234</v>
      </c>
    </row>
    <row r="47" ht="14.25" customHeight="1">
      <c r="A47" s="26" t="s">
        <v>55</v>
      </c>
      <c r="B47" s="26" t="s">
        <v>56</v>
      </c>
      <c r="C47" s="26" t="s">
        <v>57</v>
      </c>
      <c r="D47" s="26" t="s">
        <v>81</v>
      </c>
      <c r="E47" s="27" t="s">
        <v>235</v>
      </c>
      <c r="F47" s="26" t="s">
        <v>236</v>
      </c>
      <c r="G47" s="29" t="s">
        <v>237</v>
      </c>
      <c r="H47" s="30">
        <v>44979.0</v>
      </c>
      <c r="I47" s="30">
        <v>45344.0</v>
      </c>
      <c r="J47" s="31">
        <v>0.0</v>
      </c>
      <c r="K47" s="26" t="s">
        <v>238</v>
      </c>
      <c r="L47" s="32" t="s">
        <v>63</v>
      </c>
      <c r="M47" s="33">
        <v>23600.0</v>
      </c>
      <c r="N47" s="34">
        <v>25134.0</v>
      </c>
      <c r="O47" s="27" t="s">
        <v>64</v>
      </c>
      <c r="P47" s="35">
        <v>0.0</v>
      </c>
      <c r="Q47" s="35">
        <v>0.0</v>
      </c>
      <c r="R47" s="36" t="e">
        <v>#VALUE!</v>
      </c>
      <c r="S47" s="35" t="s">
        <v>86</v>
      </c>
      <c r="T47" s="35">
        <v>0.0</v>
      </c>
      <c r="U47" s="37" t="s">
        <v>67</v>
      </c>
      <c r="V47" s="38"/>
      <c r="W47" s="38"/>
      <c r="X47" s="27"/>
      <c r="Y47" s="39"/>
      <c r="Z47" s="39"/>
      <c r="AA47" s="39"/>
      <c r="AB47" s="27">
        <v>0.0</v>
      </c>
      <c r="AC47" s="27">
        <f t="shared" si="1"/>
        <v>0</v>
      </c>
      <c r="AD47" s="41">
        <f>IF(AND(S47="0",O47="Paid"),(M47*15%)-AC47,0)</f>
        <v>0</v>
      </c>
      <c r="AE47" s="42"/>
      <c r="AF47" s="27"/>
      <c r="AG47" s="43">
        <f t="shared" si="36"/>
        <v>0</v>
      </c>
      <c r="AH47" s="29"/>
      <c r="AI47" s="29"/>
      <c r="AJ47" s="29"/>
      <c r="AK47" s="29"/>
      <c r="AL47" s="27"/>
      <c r="AM47" s="44"/>
      <c r="AN47" s="68"/>
      <c r="AO47" s="37"/>
      <c r="AP47" s="47"/>
      <c r="AQ47" s="43" t="b">
        <f>IF(O47="Paid",IF(U47="Motor Plus",(M47*27%),IF(U47="Motor One",(M47*22%),(IF(U47="Golden",(M47*25%),(IF(U47="Classic",(M47*15%),(IF(U47="Wethaq",(M47*28%),IF(U47="Alwataniya",(M47*21%))*0)))))))))</f>
        <v>0</v>
      </c>
      <c r="AR47" s="43">
        <f t="shared" si="2"/>
        <v>0</v>
      </c>
      <c r="AS47" s="43">
        <f t="shared" si="3"/>
        <v>0</v>
      </c>
      <c r="AT47" s="48">
        <f t="shared" si="4"/>
        <v>0</v>
      </c>
      <c r="AU47" s="49">
        <f t="shared" si="20"/>
        <v>0</v>
      </c>
      <c r="AV47" s="48"/>
      <c r="AW47" s="34">
        <f t="shared" si="5"/>
        <v>25134</v>
      </c>
      <c r="AX47" s="50">
        <f t="shared" si="6"/>
        <v>0</v>
      </c>
      <c r="AY47" s="43"/>
      <c r="AZ47" s="27"/>
      <c r="BA47" s="48">
        <f t="shared" si="32"/>
        <v>0</v>
      </c>
      <c r="BB47" s="27"/>
      <c r="BC47" s="27"/>
      <c r="BD47" s="51"/>
      <c r="BE47" s="52"/>
      <c r="BF47" s="27" t="s">
        <v>235</v>
      </c>
      <c r="BG47" s="53">
        <v>0.0</v>
      </c>
      <c r="BH47" s="53" t="str">
        <f>'[1]2023'!Q26</f>
        <v>#REF!</v>
      </c>
      <c r="BI47" s="27"/>
      <c r="BJ47" s="27"/>
      <c r="BK47" s="27" t="s">
        <v>64</v>
      </c>
      <c r="BL47" s="27"/>
    </row>
    <row r="48" ht="14.25" customHeight="1">
      <c r="A48" s="26" t="s">
        <v>55</v>
      </c>
      <c r="B48" s="26" t="s">
        <v>56</v>
      </c>
      <c r="C48" s="26" t="s">
        <v>57</v>
      </c>
      <c r="D48" s="26" t="s">
        <v>81</v>
      </c>
      <c r="E48" s="27" t="s">
        <v>239</v>
      </c>
      <c r="F48" s="26" t="s">
        <v>240</v>
      </c>
      <c r="G48" s="29" t="s">
        <v>241</v>
      </c>
      <c r="H48" s="30">
        <v>44979.0</v>
      </c>
      <c r="I48" s="30">
        <v>45344.0</v>
      </c>
      <c r="J48" s="31">
        <v>0.0</v>
      </c>
      <c r="K48" s="26" t="s">
        <v>62</v>
      </c>
      <c r="L48" s="32" t="s">
        <v>75</v>
      </c>
      <c r="M48" s="33">
        <v>27193.29</v>
      </c>
      <c r="N48" s="34">
        <v>28938.69</v>
      </c>
      <c r="O48" s="27" t="s">
        <v>76</v>
      </c>
      <c r="P48" s="35" t="s">
        <v>89</v>
      </c>
      <c r="Q48" s="35" t="s">
        <v>90</v>
      </c>
      <c r="R48" s="36" t="e">
        <v>#VALUE!</v>
      </c>
      <c r="S48" s="35" t="s">
        <v>86</v>
      </c>
      <c r="T48" s="35">
        <v>0.0</v>
      </c>
      <c r="U48" s="37" t="s">
        <v>67</v>
      </c>
      <c r="V48" s="38"/>
      <c r="W48" s="38"/>
      <c r="X48" s="27"/>
      <c r="Y48" s="39"/>
      <c r="Z48" s="39"/>
      <c r="AA48" s="39"/>
      <c r="AB48" s="27"/>
      <c r="AC48" s="27">
        <f t="shared" si="1"/>
        <v>0</v>
      </c>
      <c r="AD48" s="41">
        <f t="shared" ref="AD48:AD51" si="38">IF(AND(S48="0",O48="Paid"),M48*15%,0)</f>
        <v>4078.9935</v>
      </c>
      <c r="AE48" s="42"/>
      <c r="AF48" s="27"/>
      <c r="AG48" s="43">
        <f t="shared" si="36"/>
        <v>6975.078885</v>
      </c>
      <c r="AH48" s="29"/>
      <c r="AI48" s="29"/>
      <c r="AJ48" s="29"/>
      <c r="AK48" s="29"/>
      <c r="AL48" s="27"/>
      <c r="AM48" s="44"/>
      <c r="AN48" s="47"/>
      <c r="AO48" s="37"/>
      <c r="AP48" s="47"/>
      <c r="AQ48" s="43">
        <f t="shared" ref="AQ48:AQ51" si="39">IF(U48="Motor Plus",(M48*27%),IF(U48="Motor One",(M48*22%),(IF(U48="Golden",(M48*25%),(IF(U48="Classic",(M48*15%),(IF(U48="Wethaq",(M48*28%),IF(U48="Alwataniya",(M48*21%))*0))))))))</f>
        <v>7342.1883</v>
      </c>
      <c r="AR48" s="43">
        <f t="shared" si="2"/>
        <v>367.109415</v>
      </c>
      <c r="AS48" s="43">
        <f t="shared" si="3"/>
        <v>1284.882953</v>
      </c>
      <c r="AT48" s="48">
        <f t="shared" si="4"/>
        <v>5690.195933</v>
      </c>
      <c r="AU48" s="49">
        <f t="shared" si="20"/>
        <v>5690.195933</v>
      </c>
      <c r="AV48" s="48"/>
      <c r="AW48" s="34">
        <f t="shared" si="5"/>
        <v>24859.6965</v>
      </c>
      <c r="AX48" s="50">
        <f t="shared" si="6"/>
        <v>1611.202433</v>
      </c>
      <c r="AY48" s="43"/>
      <c r="AZ48" s="27"/>
      <c r="BA48" s="48">
        <f t="shared" si="32"/>
        <v>5690.195933</v>
      </c>
      <c r="BB48" s="27"/>
      <c r="BC48" s="27"/>
      <c r="BD48" s="51"/>
      <c r="BE48" s="52"/>
      <c r="BF48" s="27" t="s">
        <v>239</v>
      </c>
      <c r="BG48" s="53" t="s">
        <v>242</v>
      </c>
      <c r="BH48" s="53" t="str">
        <f>'[1]2023'!Q90</f>
        <v>#REF!</v>
      </c>
      <c r="BI48" s="27"/>
      <c r="BJ48" s="27"/>
      <c r="BK48" s="27" t="s">
        <v>76</v>
      </c>
      <c r="BL48" s="27"/>
    </row>
    <row r="49" ht="14.25" customHeight="1">
      <c r="A49" s="26" t="s">
        <v>55</v>
      </c>
      <c r="B49" s="26" t="s">
        <v>56</v>
      </c>
      <c r="C49" s="26" t="s">
        <v>57</v>
      </c>
      <c r="D49" s="26" t="s">
        <v>81</v>
      </c>
      <c r="E49" s="27" t="s">
        <v>243</v>
      </c>
      <c r="F49" s="26" t="s">
        <v>244</v>
      </c>
      <c r="G49" s="29">
        <v>44979.0</v>
      </c>
      <c r="H49" s="30">
        <v>44979.0</v>
      </c>
      <c r="I49" s="30">
        <v>45344.0</v>
      </c>
      <c r="J49" s="31">
        <v>0.0</v>
      </c>
      <c r="K49" s="26" t="s">
        <v>62</v>
      </c>
      <c r="L49" s="32" t="s">
        <v>75</v>
      </c>
      <c r="M49" s="33">
        <v>17600.0</v>
      </c>
      <c r="N49" s="34">
        <v>18779.4</v>
      </c>
      <c r="O49" s="27" t="s">
        <v>76</v>
      </c>
      <c r="P49" s="35" t="s">
        <v>89</v>
      </c>
      <c r="Q49" s="35" t="s">
        <v>108</v>
      </c>
      <c r="R49" s="36">
        <v>44979.0</v>
      </c>
      <c r="S49" s="35" t="s">
        <v>86</v>
      </c>
      <c r="T49" s="35">
        <v>0.0</v>
      </c>
      <c r="U49" s="37" t="s">
        <v>67</v>
      </c>
      <c r="V49" s="38"/>
      <c r="W49" s="38"/>
      <c r="X49" s="27"/>
      <c r="Y49" s="39"/>
      <c r="Z49" s="39"/>
      <c r="AA49" s="39"/>
      <c r="AB49" s="27"/>
      <c r="AC49" s="27">
        <f t="shared" si="1"/>
        <v>0</v>
      </c>
      <c r="AD49" s="41">
        <f t="shared" si="38"/>
        <v>2640</v>
      </c>
      <c r="AE49" s="42"/>
      <c r="AF49" s="60" t="s">
        <v>109</v>
      </c>
      <c r="AG49" s="43">
        <f t="shared" si="36"/>
        <v>4514.4</v>
      </c>
      <c r="AH49" s="29"/>
      <c r="AI49" s="29"/>
      <c r="AJ49" s="29"/>
      <c r="AK49" s="29"/>
      <c r="AL49" s="27"/>
      <c r="AM49" s="27"/>
      <c r="AN49" s="47"/>
      <c r="AO49" s="37"/>
      <c r="AP49" s="47"/>
      <c r="AQ49" s="43">
        <f t="shared" si="39"/>
        <v>4752</v>
      </c>
      <c r="AR49" s="43">
        <f t="shared" si="2"/>
        <v>237.6</v>
      </c>
      <c r="AS49" s="43">
        <f t="shared" si="3"/>
        <v>831.6</v>
      </c>
      <c r="AT49" s="48">
        <f t="shared" si="4"/>
        <v>3682.8</v>
      </c>
      <c r="AU49" s="49">
        <f t="shared" si="20"/>
        <v>3682.8</v>
      </c>
      <c r="AV49" s="48"/>
      <c r="AW49" s="34">
        <f t="shared" si="5"/>
        <v>16139.4</v>
      </c>
      <c r="AX49" s="50">
        <f t="shared" si="6"/>
        <v>1042.8</v>
      </c>
      <c r="AY49" s="43"/>
      <c r="AZ49" s="27"/>
      <c r="BA49" s="48">
        <f t="shared" si="32"/>
        <v>3682.8</v>
      </c>
      <c r="BB49" s="27"/>
      <c r="BC49" s="27"/>
      <c r="BD49" s="51"/>
      <c r="BE49" s="52"/>
      <c r="BF49" s="27" t="s">
        <v>243</v>
      </c>
      <c r="BG49" s="53" t="s">
        <v>89</v>
      </c>
      <c r="BH49" s="53" t="str">
        <f>'[1]2023'!Q143</f>
        <v>#REF!</v>
      </c>
      <c r="BI49" s="27"/>
      <c r="BJ49" s="27"/>
      <c r="BK49" s="27" t="s">
        <v>76</v>
      </c>
      <c r="BL49" s="27"/>
    </row>
    <row r="50" ht="14.25" customHeight="1">
      <c r="A50" s="26" t="s">
        <v>55</v>
      </c>
      <c r="B50" s="26" t="s">
        <v>56</v>
      </c>
      <c r="C50" s="26" t="s">
        <v>57</v>
      </c>
      <c r="D50" s="26" t="s">
        <v>58</v>
      </c>
      <c r="E50" s="27" t="s">
        <v>245</v>
      </c>
      <c r="F50" s="26" t="s">
        <v>246</v>
      </c>
      <c r="G50" s="29" t="s">
        <v>241</v>
      </c>
      <c r="H50" s="30">
        <v>44979.0</v>
      </c>
      <c r="I50" s="30">
        <v>45344.0</v>
      </c>
      <c r="J50" s="31">
        <v>1.00537019E9</v>
      </c>
      <c r="K50" s="26" t="s">
        <v>62</v>
      </c>
      <c r="L50" s="32" t="s">
        <v>75</v>
      </c>
      <c r="M50" s="33">
        <v>2512.26</v>
      </c>
      <c r="N50" s="34">
        <v>2660.47</v>
      </c>
      <c r="O50" s="27" t="s">
        <v>76</v>
      </c>
      <c r="P50" s="35" t="s">
        <v>122</v>
      </c>
      <c r="Q50" s="35">
        <v>0.0</v>
      </c>
      <c r="R50" s="36" t="e">
        <v>#VALUE!</v>
      </c>
      <c r="S50" s="35" t="s">
        <v>86</v>
      </c>
      <c r="T50" s="35">
        <v>0.0</v>
      </c>
      <c r="U50" s="37" t="s">
        <v>67</v>
      </c>
      <c r="V50" s="38"/>
      <c r="W50" s="38"/>
      <c r="X50" s="27"/>
      <c r="Y50" s="39"/>
      <c r="Z50" s="39"/>
      <c r="AA50" s="39"/>
      <c r="AB50" s="27"/>
      <c r="AC50" s="27">
        <f t="shared" si="1"/>
        <v>0</v>
      </c>
      <c r="AD50" s="41">
        <f t="shared" si="38"/>
        <v>376.839</v>
      </c>
      <c r="AE50" s="42"/>
      <c r="AF50" s="27"/>
      <c r="AG50" s="43">
        <f t="shared" si="36"/>
        <v>644.39469</v>
      </c>
      <c r="AH50" s="29"/>
      <c r="AI50" s="29"/>
      <c r="AJ50" s="29"/>
      <c r="AK50" s="29"/>
      <c r="AL50" s="27"/>
      <c r="AM50" s="44"/>
      <c r="AN50" s="68"/>
      <c r="AO50" s="46"/>
      <c r="AP50" s="68"/>
      <c r="AQ50" s="43">
        <f t="shared" si="39"/>
        <v>678.3102</v>
      </c>
      <c r="AR50" s="43">
        <f t="shared" si="2"/>
        <v>33.91551</v>
      </c>
      <c r="AS50" s="43">
        <f t="shared" si="3"/>
        <v>118.704285</v>
      </c>
      <c r="AT50" s="48">
        <f t="shared" si="4"/>
        <v>525.690405</v>
      </c>
      <c r="AU50" s="49">
        <f t="shared" si="20"/>
        <v>525.690405</v>
      </c>
      <c r="AV50" s="48"/>
      <c r="AW50" s="34">
        <f t="shared" si="5"/>
        <v>2283.631</v>
      </c>
      <c r="AX50" s="50">
        <f t="shared" si="6"/>
        <v>148.851405</v>
      </c>
      <c r="AY50" s="43"/>
      <c r="AZ50" s="27"/>
      <c r="BA50" s="48">
        <f t="shared" si="32"/>
        <v>525.690405</v>
      </c>
      <c r="BB50" s="27"/>
      <c r="BC50" s="27"/>
      <c r="BD50" s="51"/>
      <c r="BE50" s="52"/>
      <c r="BF50" s="27" t="s">
        <v>247</v>
      </c>
      <c r="BG50" s="58" t="s">
        <v>248</v>
      </c>
      <c r="BH50" s="53" t="str">
        <f>'[1]2023'!Q231</f>
        <v>#REF!</v>
      </c>
      <c r="BI50" s="27"/>
      <c r="BJ50" s="27"/>
      <c r="BK50" s="27" t="s">
        <v>76</v>
      </c>
      <c r="BL50" s="27"/>
    </row>
    <row r="51" ht="14.25" customHeight="1">
      <c r="A51" s="26" t="s">
        <v>55</v>
      </c>
      <c r="B51" s="26" t="s">
        <v>56</v>
      </c>
      <c r="C51" s="26" t="s">
        <v>57</v>
      </c>
      <c r="D51" s="26" t="s">
        <v>81</v>
      </c>
      <c r="E51" s="27" t="s">
        <v>249</v>
      </c>
      <c r="F51" s="26" t="s">
        <v>250</v>
      </c>
      <c r="G51" s="29" t="s">
        <v>241</v>
      </c>
      <c r="H51" s="30">
        <v>44979.0</v>
      </c>
      <c r="I51" s="30">
        <v>45344.0</v>
      </c>
      <c r="J51" s="31" t="s">
        <v>251</v>
      </c>
      <c r="K51" s="26" t="s">
        <v>62</v>
      </c>
      <c r="L51" s="73" t="s">
        <v>75</v>
      </c>
      <c r="M51" s="33">
        <v>14787.5</v>
      </c>
      <c r="N51" s="34">
        <v>15800.98</v>
      </c>
      <c r="O51" s="27" t="s">
        <v>76</v>
      </c>
      <c r="P51" s="35" t="s">
        <v>122</v>
      </c>
      <c r="Q51" s="35" t="s">
        <v>90</v>
      </c>
      <c r="R51" s="36" t="e">
        <v>#VALUE!</v>
      </c>
      <c r="S51" s="35" t="s">
        <v>86</v>
      </c>
      <c r="T51" s="35">
        <v>0.0</v>
      </c>
      <c r="U51" s="37" t="s">
        <v>67</v>
      </c>
      <c r="V51" s="38"/>
      <c r="W51" s="38"/>
      <c r="X51" s="27"/>
      <c r="Y51" s="39"/>
      <c r="Z51" s="39"/>
      <c r="AA51" s="39"/>
      <c r="AB51" s="40"/>
      <c r="AC51" s="27">
        <f t="shared" si="1"/>
        <v>0</v>
      </c>
      <c r="AD51" s="41">
        <f t="shared" si="38"/>
        <v>2218.125</v>
      </c>
      <c r="AE51" s="42"/>
      <c r="AF51" s="27"/>
      <c r="AG51" s="43">
        <f t="shared" si="36"/>
        <v>3792.99375</v>
      </c>
      <c r="AH51" s="29"/>
      <c r="AI51" s="29"/>
      <c r="AJ51" s="29"/>
      <c r="AK51" s="75"/>
      <c r="AL51" s="44"/>
      <c r="AM51" s="44"/>
      <c r="AN51" s="47"/>
      <c r="AO51" s="46"/>
      <c r="AP51" s="47"/>
      <c r="AQ51" s="43">
        <f t="shared" si="39"/>
        <v>3992.625</v>
      </c>
      <c r="AR51" s="43">
        <f t="shared" si="2"/>
        <v>199.63125</v>
      </c>
      <c r="AS51" s="43">
        <f t="shared" si="3"/>
        <v>698.709375</v>
      </c>
      <c r="AT51" s="48">
        <f t="shared" si="4"/>
        <v>3094.284375</v>
      </c>
      <c r="AU51" s="49">
        <f t="shared" si="20"/>
        <v>3094.284375</v>
      </c>
      <c r="AV51" s="48"/>
      <c r="AW51" s="34">
        <f t="shared" si="5"/>
        <v>13582.855</v>
      </c>
      <c r="AX51" s="50">
        <f t="shared" si="6"/>
        <v>876.159375</v>
      </c>
      <c r="AY51" s="48"/>
      <c r="AZ51" s="27"/>
      <c r="BA51" s="48">
        <f t="shared" si="32"/>
        <v>3094.284375</v>
      </c>
      <c r="BB51" s="27"/>
      <c r="BC51" s="27"/>
      <c r="BD51" s="51"/>
      <c r="BE51" s="52"/>
      <c r="BF51" s="27" t="s">
        <v>249</v>
      </c>
      <c r="BG51" s="53">
        <v>45049.0</v>
      </c>
      <c r="BH51" s="53" t="str">
        <f>'[1]2023'!Q277</f>
        <v>#REF!</v>
      </c>
      <c r="BI51" s="27"/>
      <c r="BJ51" s="27"/>
      <c r="BK51" s="27" t="s">
        <v>76</v>
      </c>
      <c r="BL51" s="27"/>
    </row>
    <row r="52" ht="14.25" customHeight="1">
      <c r="A52" s="26" t="s">
        <v>68</v>
      </c>
      <c r="B52" s="26" t="s">
        <v>69</v>
      </c>
      <c r="C52" s="26" t="s">
        <v>70</v>
      </c>
      <c r="D52" s="26" t="s">
        <v>71</v>
      </c>
      <c r="E52" s="27" t="s">
        <v>252</v>
      </c>
      <c r="F52" s="28" t="s">
        <v>73</v>
      </c>
      <c r="G52" s="29" t="s">
        <v>241</v>
      </c>
      <c r="H52" s="30">
        <v>44979.0</v>
      </c>
      <c r="I52" s="30">
        <v>45344.0</v>
      </c>
      <c r="J52" s="31">
        <v>0.0</v>
      </c>
      <c r="K52" s="26" t="s">
        <v>62</v>
      </c>
      <c r="L52" s="32" t="s">
        <v>75</v>
      </c>
      <c r="M52" s="33">
        <f>22000-3734.98</f>
        <v>18265.02</v>
      </c>
      <c r="N52" s="34">
        <f>22000+1019.9</f>
        <v>23019.9</v>
      </c>
      <c r="O52" s="27" t="s">
        <v>76</v>
      </c>
      <c r="P52" s="35" t="s">
        <v>77</v>
      </c>
      <c r="Q52" s="35">
        <v>0.0</v>
      </c>
      <c r="R52" s="36" t="e">
        <v>#VALUE!</v>
      </c>
      <c r="S52" s="35" t="s">
        <v>78</v>
      </c>
      <c r="T52" s="54" t="s">
        <v>79</v>
      </c>
      <c r="U52" s="37" t="s">
        <v>69</v>
      </c>
      <c r="V52" s="38"/>
      <c r="W52" s="38"/>
      <c r="X52" s="27"/>
      <c r="Y52" s="39"/>
      <c r="Z52" s="39"/>
      <c r="AA52" s="39"/>
      <c r="AB52" s="40"/>
      <c r="AC52" s="27">
        <f t="shared" si="1"/>
        <v>0</v>
      </c>
      <c r="AD52" s="41"/>
      <c r="AE52" s="42"/>
      <c r="AF52" s="27"/>
      <c r="AG52" s="43">
        <f>IF(O52="Paid",IF(A52="Wethaq",(M52*15%)-((M52*15%)*5%)))</f>
        <v>2602.76535</v>
      </c>
      <c r="AH52" s="29">
        <v>45115.0</v>
      </c>
      <c r="AI52" s="29">
        <v>45115.0</v>
      </c>
      <c r="AJ52" s="81">
        <v>0.15</v>
      </c>
      <c r="AK52" s="29">
        <v>44993.0</v>
      </c>
      <c r="AL52" s="27"/>
      <c r="AM52" s="44"/>
      <c r="AN52" s="56"/>
      <c r="AO52" s="46">
        <f>((M52*AJ52)-((M52*AJ52)*22.5%))*80%</f>
        <v>1698.64686</v>
      </c>
      <c r="AP52" s="57">
        <v>45177.0</v>
      </c>
      <c r="AQ52" s="43">
        <f>M52*AJ52</f>
        <v>2739.753</v>
      </c>
      <c r="AR52" s="43">
        <f t="shared" si="2"/>
        <v>136.98765</v>
      </c>
      <c r="AS52" s="43">
        <f t="shared" si="3"/>
        <v>479.456775</v>
      </c>
      <c r="AT52" s="48">
        <f t="shared" si="4"/>
        <v>2123.308575</v>
      </c>
      <c r="AU52" s="49">
        <f t="shared" si="20"/>
        <v>2123.308575</v>
      </c>
      <c r="AV52" s="48"/>
      <c r="AW52" s="34">
        <f t="shared" si="5"/>
        <v>23019.9</v>
      </c>
      <c r="AX52" s="50">
        <f t="shared" si="6"/>
        <v>424.661715</v>
      </c>
      <c r="AY52" s="43"/>
      <c r="AZ52" s="43"/>
      <c r="BA52" s="48" t="str">
        <f>IF(S52&lt;&gt;0,AU52-#REF!-AM52,(AG52-AD52-AE52-AS52))</f>
        <v>#REF!</v>
      </c>
      <c r="BB52" s="27"/>
      <c r="BC52" s="27"/>
      <c r="BD52" s="51"/>
      <c r="BE52" s="52"/>
      <c r="BF52" s="27" t="s">
        <v>74</v>
      </c>
      <c r="BG52" s="58" t="s">
        <v>253</v>
      </c>
      <c r="BH52" s="53" t="str">
        <f>'[1]2023'!Q572</f>
        <v>#REF!</v>
      </c>
      <c r="BI52" s="27"/>
      <c r="BJ52" s="27"/>
      <c r="BK52" s="27" t="s">
        <v>76</v>
      </c>
      <c r="BL52" s="27"/>
    </row>
    <row r="53" ht="14.25" customHeight="1">
      <c r="A53" s="26" t="s">
        <v>55</v>
      </c>
      <c r="B53" s="26" t="s">
        <v>56</v>
      </c>
      <c r="C53" s="26" t="s">
        <v>57</v>
      </c>
      <c r="D53" s="26" t="s">
        <v>81</v>
      </c>
      <c r="E53" s="27" t="s">
        <v>254</v>
      </c>
      <c r="F53" s="26" t="s">
        <v>255</v>
      </c>
      <c r="G53" s="29" t="s">
        <v>256</v>
      </c>
      <c r="H53" s="30">
        <v>44980.0</v>
      </c>
      <c r="I53" s="30">
        <v>45345.0</v>
      </c>
      <c r="J53" s="31">
        <v>0.0</v>
      </c>
      <c r="K53" s="26" t="s">
        <v>62</v>
      </c>
      <c r="L53" s="32" t="s">
        <v>75</v>
      </c>
      <c r="M53" s="33">
        <v>10620.0</v>
      </c>
      <c r="N53" s="34">
        <v>11387.58</v>
      </c>
      <c r="O53" s="27" t="s">
        <v>76</v>
      </c>
      <c r="P53" s="35" t="s">
        <v>122</v>
      </c>
      <c r="Q53" s="35" t="s">
        <v>85</v>
      </c>
      <c r="R53" s="36" t="e">
        <v>#VALUE!</v>
      </c>
      <c r="S53" s="35" t="s">
        <v>86</v>
      </c>
      <c r="T53" s="35">
        <v>0.0</v>
      </c>
      <c r="U53" s="37" t="s">
        <v>67</v>
      </c>
      <c r="V53" s="38"/>
      <c r="W53" s="38"/>
      <c r="X53" s="27"/>
      <c r="Y53" s="39"/>
      <c r="Z53" s="39"/>
      <c r="AA53" s="39"/>
      <c r="AB53" s="27"/>
      <c r="AC53" s="27">
        <f t="shared" si="1"/>
        <v>0</v>
      </c>
      <c r="AD53" s="41">
        <f>IF(AND(S53="0",O53="Paid"),M53*15%,0)</f>
        <v>1593</v>
      </c>
      <c r="AE53" s="42"/>
      <c r="AF53" s="27"/>
      <c r="AG53" s="43">
        <f t="shared" ref="AG53:AG58" si="40">IF(O53="Paid",IF(A53="Alwataniya",(M53*21%)-((M53*21%)*5%),IF((A53="GIG"),(M53*25%)-((M53*25%)*5%),IF((A53="Allianz"),(M53*27%)-((M53*27%)*5%),0))),0)</f>
        <v>2724.03</v>
      </c>
      <c r="AH53" s="29"/>
      <c r="AI53" s="29"/>
      <c r="AJ53" s="29"/>
      <c r="AK53" s="29"/>
      <c r="AL53" s="27"/>
      <c r="AM53" s="44"/>
      <c r="AN53" s="47"/>
      <c r="AO53" s="37"/>
      <c r="AP53" s="47"/>
      <c r="AQ53" s="43">
        <f t="shared" ref="AQ53:AQ61" si="41">IF(U53="Motor Plus",(M53*27%),IF(U53="Motor One",(M53*22%),(IF(U53="Golden",(M53*25%),(IF(U53="Classic",(M53*15%),(IF(U53="Wethaq",(M53*28%),IF(U53="Alwataniya",(M53*21%))*0))))))))</f>
        <v>2867.4</v>
      </c>
      <c r="AR53" s="43">
        <f t="shared" si="2"/>
        <v>143.37</v>
      </c>
      <c r="AS53" s="43">
        <f t="shared" si="3"/>
        <v>501.795</v>
      </c>
      <c r="AT53" s="48">
        <f t="shared" si="4"/>
        <v>2222.235</v>
      </c>
      <c r="AU53" s="49">
        <f t="shared" si="20"/>
        <v>2222.235</v>
      </c>
      <c r="AV53" s="48"/>
      <c r="AW53" s="34">
        <f t="shared" si="5"/>
        <v>9794.58</v>
      </c>
      <c r="AX53" s="50">
        <f t="shared" si="6"/>
        <v>629.235</v>
      </c>
      <c r="AY53" s="43"/>
      <c r="AZ53" s="27"/>
      <c r="BA53" s="48">
        <f t="shared" ref="BA53:BA127" si="42">IF(S53&lt;&gt;0,AU53-AO53-AM53,(AG53-AD53-AE53-AS53))</f>
        <v>2222.235</v>
      </c>
      <c r="BB53" s="27"/>
      <c r="BC53" s="27"/>
      <c r="BD53" s="51"/>
      <c r="BE53" s="52"/>
      <c r="BF53" s="27" t="s">
        <v>254</v>
      </c>
      <c r="BG53" s="58" t="s">
        <v>257</v>
      </c>
      <c r="BH53" s="53" t="str">
        <f t="shared" ref="BH53:BH54" si="43">'[1]2023'!Q115</f>
        <v>#REF!</v>
      </c>
      <c r="BI53" s="27"/>
      <c r="BJ53" s="27"/>
      <c r="BK53" s="27" t="s">
        <v>76</v>
      </c>
      <c r="BL53" s="27"/>
    </row>
    <row r="54" ht="14.25" customHeight="1">
      <c r="A54" s="26" t="s">
        <v>55</v>
      </c>
      <c r="B54" s="26" t="s">
        <v>56</v>
      </c>
      <c r="C54" s="26" t="s">
        <v>57</v>
      </c>
      <c r="D54" s="26" t="s">
        <v>81</v>
      </c>
      <c r="E54" s="27" t="s">
        <v>258</v>
      </c>
      <c r="F54" s="26" t="s">
        <v>259</v>
      </c>
      <c r="G54" s="29" t="s">
        <v>256</v>
      </c>
      <c r="H54" s="30">
        <v>44980.0</v>
      </c>
      <c r="I54" s="30">
        <v>45345.0</v>
      </c>
      <c r="J54" s="31">
        <v>0.0</v>
      </c>
      <c r="K54" s="26" t="s">
        <v>62</v>
      </c>
      <c r="L54" s="32" t="s">
        <v>75</v>
      </c>
      <c r="M54" s="33">
        <v>44744.0</v>
      </c>
      <c r="N54" s="34">
        <v>47524.89</v>
      </c>
      <c r="O54" s="27" t="s">
        <v>76</v>
      </c>
      <c r="P54" s="35" t="s">
        <v>104</v>
      </c>
      <c r="Q54" s="35" t="s">
        <v>108</v>
      </c>
      <c r="R54" s="36" t="e">
        <v>#VALUE!</v>
      </c>
      <c r="S54" s="35" t="s">
        <v>86</v>
      </c>
      <c r="T54" s="35">
        <v>0.0</v>
      </c>
      <c r="U54" s="37" t="s">
        <v>157</v>
      </c>
      <c r="V54" s="38"/>
      <c r="W54" s="38"/>
      <c r="X54" s="27"/>
      <c r="Y54" s="39"/>
      <c r="Z54" s="39"/>
      <c r="AA54" s="39"/>
      <c r="AB54" s="27"/>
      <c r="AC54" s="27">
        <f t="shared" si="1"/>
        <v>0</v>
      </c>
      <c r="AD54" s="41">
        <f>IF(AND(S54="0",O54="Paid"),M54*10%,0)</f>
        <v>4474.4</v>
      </c>
      <c r="AE54" s="42"/>
      <c r="AF54" s="60" t="s">
        <v>109</v>
      </c>
      <c r="AG54" s="43">
        <f t="shared" si="40"/>
        <v>11476.836</v>
      </c>
      <c r="AH54" s="29"/>
      <c r="AI54" s="29"/>
      <c r="AJ54" s="29"/>
      <c r="AK54" s="29"/>
      <c r="AL54" s="27"/>
      <c r="AM54" s="44"/>
      <c r="AN54" s="47"/>
      <c r="AO54" s="37"/>
      <c r="AP54" s="47"/>
      <c r="AQ54" s="43">
        <f t="shared" si="41"/>
        <v>9843.68</v>
      </c>
      <c r="AR54" s="43">
        <f t="shared" si="2"/>
        <v>492.184</v>
      </c>
      <c r="AS54" s="43">
        <f t="shared" si="3"/>
        <v>1722.644</v>
      </c>
      <c r="AT54" s="48">
        <f t="shared" si="4"/>
        <v>7628.852</v>
      </c>
      <c r="AU54" s="49">
        <f t="shared" si="20"/>
        <v>7628.852</v>
      </c>
      <c r="AV54" s="48"/>
      <c r="AW54" s="34">
        <f t="shared" si="5"/>
        <v>43050.49</v>
      </c>
      <c r="AX54" s="50">
        <f t="shared" si="6"/>
        <v>5279.792</v>
      </c>
      <c r="AY54" s="43"/>
      <c r="AZ54" s="27"/>
      <c r="BA54" s="48">
        <f t="shared" si="42"/>
        <v>7628.852</v>
      </c>
      <c r="BB54" s="27"/>
      <c r="BC54" s="27"/>
      <c r="BD54" s="51"/>
      <c r="BE54" s="52"/>
      <c r="BF54" s="27" t="s">
        <v>258</v>
      </c>
      <c r="BG54" s="53" t="s">
        <v>153</v>
      </c>
      <c r="BH54" s="53" t="str">
        <f t="shared" si="43"/>
        <v>#REF!</v>
      </c>
      <c r="BI54" s="27"/>
      <c r="BJ54" s="27"/>
      <c r="BK54" s="27" t="s">
        <v>76</v>
      </c>
      <c r="BL54" s="64" t="s">
        <v>260</v>
      </c>
    </row>
    <row r="55" ht="14.25" customHeight="1">
      <c r="A55" s="26" t="s">
        <v>55</v>
      </c>
      <c r="B55" s="26" t="s">
        <v>56</v>
      </c>
      <c r="C55" s="26" t="s">
        <v>57</v>
      </c>
      <c r="D55" s="26" t="s">
        <v>81</v>
      </c>
      <c r="E55" s="27" t="s">
        <v>261</v>
      </c>
      <c r="F55" s="26" t="s">
        <v>262</v>
      </c>
      <c r="G55" s="29" t="s">
        <v>256</v>
      </c>
      <c r="H55" s="30">
        <v>44980.0</v>
      </c>
      <c r="I55" s="30">
        <v>45345.0</v>
      </c>
      <c r="J55" s="31">
        <v>0.0</v>
      </c>
      <c r="K55" s="26" t="s">
        <v>62</v>
      </c>
      <c r="L55" s="32" t="s">
        <v>75</v>
      </c>
      <c r="M55" s="33">
        <v>8246.88</v>
      </c>
      <c r="N55" s="34">
        <v>8874.44</v>
      </c>
      <c r="O55" s="27" t="s">
        <v>76</v>
      </c>
      <c r="P55" s="35" t="s">
        <v>122</v>
      </c>
      <c r="Q55" s="35" t="s">
        <v>90</v>
      </c>
      <c r="R55" s="36" t="e">
        <v>#VALUE!</v>
      </c>
      <c r="S55" s="35" t="s">
        <v>86</v>
      </c>
      <c r="T55" s="35">
        <v>0.0</v>
      </c>
      <c r="U55" s="37" t="s">
        <v>67</v>
      </c>
      <c r="V55" s="38"/>
      <c r="W55" s="38"/>
      <c r="X55" s="27"/>
      <c r="Y55" s="39"/>
      <c r="Z55" s="39"/>
      <c r="AA55" s="39"/>
      <c r="AB55" s="27"/>
      <c r="AC55" s="27">
        <f t="shared" si="1"/>
        <v>0</v>
      </c>
      <c r="AD55" s="41">
        <f t="shared" ref="AD55:AD60" si="44">IF(AND(S55="0",O55="Paid"),M55*15%,0)</f>
        <v>1237.032</v>
      </c>
      <c r="AE55" s="42"/>
      <c r="AF55" s="27"/>
      <c r="AG55" s="43">
        <f t="shared" si="40"/>
        <v>2115.32472</v>
      </c>
      <c r="AH55" s="29"/>
      <c r="AI55" s="29"/>
      <c r="AJ55" s="29"/>
      <c r="AK55" s="29"/>
      <c r="AL55" s="27"/>
      <c r="AM55" s="44"/>
      <c r="AN55" s="47"/>
      <c r="AO55" s="37"/>
      <c r="AP55" s="47"/>
      <c r="AQ55" s="43">
        <f t="shared" si="41"/>
        <v>2226.6576</v>
      </c>
      <c r="AR55" s="43">
        <f t="shared" si="2"/>
        <v>111.33288</v>
      </c>
      <c r="AS55" s="43">
        <f t="shared" si="3"/>
        <v>389.66508</v>
      </c>
      <c r="AT55" s="48">
        <f t="shared" si="4"/>
        <v>1725.65964</v>
      </c>
      <c r="AU55" s="49">
        <f t="shared" si="20"/>
        <v>1725.65964</v>
      </c>
      <c r="AV55" s="48"/>
      <c r="AW55" s="34">
        <f t="shared" si="5"/>
        <v>7637.408</v>
      </c>
      <c r="AX55" s="50">
        <f t="shared" si="6"/>
        <v>488.62764</v>
      </c>
      <c r="AY55" s="43"/>
      <c r="AZ55" s="27"/>
      <c r="BA55" s="48">
        <f t="shared" si="42"/>
        <v>1725.65964</v>
      </c>
      <c r="BB55" s="27"/>
      <c r="BC55" s="27"/>
      <c r="BD55" s="51"/>
      <c r="BE55" s="52"/>
      <c r="BF55" s="27" t="s">
        <v>261</v>
      </c>
      <c r="BG55" s="58" t="s">
        <v>263</v>
      </c>
      <c r="BH55" s="53" t="str">
        <f>'[1]2023'!Q127</f>
        <v>#REF!</v>
      </c>
      <c r="BI55" s="27"/>
      <c r="BJ55" s="27"/>
      <c r="BK55" s="27" t="s">
        <v>76</v>
      </c>
      <c r="BL55" s="27"/>
    </row>
    <row r="56" ht="14.25" customHeight="1">
      <c r="A56" s="26" t="s">
        <v>55</v>
      </c>
      <c r="B56" s="26" t="s">
        <v>56</v>
      </c>
      <c r="C56" s="26" t="s">
        <v>57</v>
      </c>
      <c r="D56" s="26" t="s">
        <v>81</v>
      </c>
      <c r="E56" s="27" t="s">
        <v>264</v>
      </c>
      <c r="F56" s="26" t="s">
        <v>265</v>
      </c>
      <c r="G56" s="29" t="s">
        <v>256</v>
      </c>
      <c r="H56" s="30">
        <v>44980.0</v>
      </c>
      <c r="I56" s="30">
        <v>45345.0</v>
      </c>
      <c r="J56" s="31">
        <v>0.0</v>
      </c>
      <c r="K56" s="26" t="s">
        <v>62</v>
      </c>
      <c r="L56" s="69">
        <v>45264.0</v>
      </c>
      <c r="M56" s="33">
        <v>20650.0</v>
      </c>
      <c r="N56" s="82">
        <v>22009.35</v>
      </c>
      <c r="O56" s="27" t="s">
        <v>76</v>
      </c>
      <c r="P56" s="35" t="s">
        <v>142</v>
      </c>
      <c r="Q56" s="35" t="s">
        <v>90</v>
      </c>
      <c r="R56" s="36" t="e">
        <v>#VALUE!</v>
      </c>
      <c r="S56" s="35" t="s">
        <v>86</v>
      </c>
      <c r="T56" s="35">
        <v>0.0</v>
      </c>
      <c r="U56" s="37" t="s">
        <v>67</v>
      </c>
      <c r="V56" s="38"/>
      <c r="W56" s="38"/>
      <c r="X56" s="27"/>
      <c r="Y56" s="39"/>
      <c r="Z56" s="39"/>
      <c r="AA56" s="39"/>
      <c r="AB56" s="27"/>
      <c r="AC56" s="27">
        <f t="shared" si="1"/>
        <v>0</v>
      </c>
      <c r="AD56" s="41">
        <f t="shared" si="44"/>
        <v>3097.5</v>
      </c>
      <c r="AE56" s="42"/>
      <c r="AF56" s="29">
        <v>45020.0</v>
      </c>
      <c r="AG56" s="43">
        <f t="shared" si="40"/>
        <v>5296.725</v>
      </c>
      <c r="AH56" s="29"/>
      <c r="AI56" s="29"/>
      <c r="AJ56" s="29"/>
      <c r="AK56" s="29"/>
      <c r="AL56" s="27"/>
      <c r="AM56" s="44"/>
      <c r="AN56" s="68"/>
      <c r="AO56" s="37"/>
      <c r="AP56" s="68"/>
      <c r="AQ56" s="43">
        <f t="shared" si="41"/>
        <v>5575.5</v>
      </c>
      <c r="AR56" s="43">
        <f t="shared" si="2"/>
        <v>278.775</v>
      </c>
      <c r="AS56" s="43">
        <f t="shared" si="3"/>
        <v>975.7125</v>
      </c>
      <c r="AT56" s="48">
        <f t="shared" si="4"/>
        <v>4321.0125</v>
      </c>
      <c r="AU56" s="49">
        <f t="shared" si="20"/>
        <v>4321.0125</v>
      </c>
      <c r="AV56" s="48"/>
      <c r="AW56" s="34">
        <f t="shared" si="5"/>
        <v>18911.85</v>
      </c>
      <c r="AX56" s="50">
        <f t="shared" si="6"/>
        <v>1223.5125</v>
      </c>
      <c r="AY56" s="43"/>
      <c r="AZ56" s="27"/>
      <c r="BA56" s="48">
        <f t="shared" si="42"/>
        <v>4321.0125</v>
      </c>
      <c r="BB56" s="27"/>
      <c r="BC56" s="27"/>
      <c r="BD56" s="51"/>
      <c r="BE56" s="52"/>
      <c r="BF56" s="27" t="s">
        <v>264</v>
      </c>
      <c r="BG56" s="58" t="s">
        <v>266</v>
      </c>
      <c r="BH56" s="53" t="str">
        <f>'[1]2023'!Q131</f>
        <v>#REF!</v>
      </c>
      <c r="BI56" s="27"/>
      <c r="BJ56" s="27"/>
      <c r="BK56" s="27" t="s">
        <v>76</v>
      </c>
      <c r="BL56" s="27"/>
    </row>
    <row r="57" ht="14.25" customHeight="1">
      <c r="A57" s="26" t="s">
        <v>55</v>
      </c>
      <c r="B57" s="26" t="s">
        <v>56</v>
      </c>
      <c r="C57" s="26" t="s">
        <v>57</v>
      </c>
      <c r="D57" s="26" t="s">
        <v>81</v>
      </c>
      <c r="E57" s="27" t="s">
        <v>267</v>
      </c>
      <c r="F57" s="26" t="s">
        <v>268</v>
      </c>
      <c r="G57" s="29" t="s">
        <v>256</v>
      </c>
      <c r="H57" s="30">
        <v>44980.0</v>
      </c>
      <c r="I57" s="30">
        <v>45345.0</v>
      </c>
      <c r="J57" s="31">
        <v>0.0</v>
      </c>
      <c r="K57" s="26" t="s">
        <v>62</v>
      </c>
      <c r="L57" s="32" t="s">
        <v>75</v>
      </c>
      <c r="M57" s="33">
        <v>13650.0</v>
      </c>
      <c r="N57" s="34">
        <v>14596.35</v>
      </c>
      <c r="O57" s="27" t="s">
        <v>76</v>
      </c>
      <c r="P57" s="35" t="s">
        <v>122</v>
      </c>
      <c r="Q57" s="35" t="s">
        <v>90</v>
      </c>
      <c r="R57" s="36" t="e">
        <v>#VALUE!</v>
      </c>
      <c r="S57" s="35" t="s">
        <v>86</v>
      </c>
      <c r="T57" s="35">
        <v>0.0</v>
      </c>
      <c r="U57" s="37" t="s">
        <v>67</v>
      </c>
      <c r="V57" s="38"/>
      <c r="W57" s="38"/>
      <c r="X57" s="27"/>
      <c r="Y57" s="39"/>
      <c r="Z57" s="39"/>
      <c r="AA57" s="39"/>
      <c r="AB57" s="27"/>
      <c r="AC57" s="27">
        <f t="shared" si="1"/>
        <v>0</v>
      </c>
      <c r="AD57" s="41">
        <f t="shared" si="44"/>
        <v>2047.5</v>
      </c>
      <c r="AE57" s="42"/>
      <c r="AF57" s="27"/>
      <c r="AG57" s="43">
        <f t="shared" si="40"/>
        <v>3501.225</v>
      </c>
      <c r="AH57" s="29"/>
      <c r="AI57" s="29"/>
      <c r="AJ57" s="29"/>
      <c r="AK57" s="29"/>
      <c r="AL57" s="27"/>
      <c r="AM57" s="44"/>
      <c r="AN57" s="47"/>
      <c r="AO57" s="37"/>
      <c r="AP57" s="47"/>
      <c r="AQ57" s="43">
        <f t="shared" si="41"/>
        <v>3685.5</v>
      </c>
      <c r="AR57" s="43">
        <f t="shared" si="2"/>
        <v>184.275</v>
      </c>
      <c r="AS57" s="43">
        <f t="shared" si="3"/>
        <v>644.9625</v>
      </c>
      <c r="AT57" s="48">
        <f t="shared" si="4"/>
        <v>2856.2625</v>
      </c>
      <c r="AU57" s="49">
        <f t="shared" si="20"/>
        <v>2856.2625</v>
      </c>
      <c r="AV57" s="48"/>
      <c r="AW57" s="34">
        <f t="shared" si="5"/>
        <v>12548.85</v>
      </c>
      <c r="AX57" s="50">
        <f t="shared" si="6"/>
        <v>808.7625</v>
      </c>
      <c r="AY57" s="43"/>
      <c r="AZ57" s="27"/>
      <c r="BA57" s="48">
        <f t="shared" si="42"/>
        <v>2856.2625</v>
      </c>
      <c r="BB57" s="27"/>
      <c r="BC57" s="27"/>
      <c r="BD57" s="51"/>
      <c r="BE57" s="52"/>
      <c r="BF57" s="27" t="s">
        <v>267</v>
      </c>
      <c r="BG57" s="53">
        <v>0.0</v>
      </c>
      <c r="BH57" s="53" t="str">
        <f>'[1]2023'!Q147</f>
        <v>#REF!</v>
      </c>
      <c r="BI57" s="27"/>
      <c r="BJ57" s="27"/>
      <c r="BK57" s="27" t="s">
        <v>76</v>
      </c>
      <c r="BL57" s="27"/>
    </row>
    <row r="58" ht="14.25" customHeight="1">
      <c r="A58" s="26" t="s">
        <v>55</v>
      </c>
      <c r="B58" s="26" t="s">
        <v>56</v>
      </c>
      <c r="C58" s="26" t="s">
        <v>57</v>
      </c>
      <c r="D58" s="26" t="s">
        <v>81</v>
      </c>
      <c r="E58" s="27" t="s">
        <v>269</v>
      </c>
      <c r="F58" s="26" t="s">
        <v>270</v>
      </c>
      <c r="G58" s="29" t="s">
        <v>256</v>
      </c>
      <c r="H58" s="30">
        <v>44980.0</v>
      </c>
      <c r="I58" s="30">
        <v>45345.0</v>
      </c>
      <c r="J58" s="31">
        <v>0.0</v>
      </c>
      <c r="K58" s="26" t="s">
        <v>62</v>
      </c>
      <c r="L58" s="32" t="s">
        <v>75</v>
      </c>
      <c r="M58" s="33">
        <v>61130.32</v>
      </c>
      <c r="N58" s="34">
        <v>64878.01</v>
      </c>
      <c r="O58" s="27" t="s">
        <v>76</v>
      </c>
      <c r="P58" s="35" t="s">
        <v>104</v>
      </c>
      <c r="Q58" s="35" t="s">
        <v>108</v>
      </c>
      <c r="R58" s="36" t="e">
        <v>#VALUE!</v>
      </c>
      <c r="S58" s="35" t="s">
        <v>86</v>
      </c>
      <c r="T58" s="35">
        <v>0.0</v>
      </c>
      <c r="U58" s="37" t="s">
        <v>67</v>
      </c>
      <c r="V58" s="38"/>
      <c r="W58" s="38"/>
      <c r="X58" s="27"/>
      <c r="Y58" s="39"/>
      <c r="Z58" s="39"/>
      <c r="AA58" s="39"/>
      <c r="AB58" s="27"/>
      <c r="AC58" s="27">
        <f t="shared" si="1"/>
        <v>0</v>
      </c>
      <c r="AD58" s="41">
        <f t="shared" si="44"/>
        <v>9169.548</v>
      </c>
      <c r="AE58" s="42"/>
      <c r="AF58" s="60" t="s">
        <v>109</v>
      </c>
      <c r="AG58" s="43">
        <f t="shared" si="40"/>
        <v>15679.92708</v>
      </c>
      <c r="AH58" s="29"/>
      <c r="AI58" s="29"/>
      <c r="AJ58" s="29"/>
      <c r="AK58" s="29"/>
      <c r="AL58" s="27"/>
      <c r="AM58" s="44"/>
      <c r="AN58" s="47"/>
      <c r="AO58" s="37"/>
      <c r="AP58" s="47"/>
      <c r="AQ58" s="43">
        <f t="shared" si="41"/>
        <v>16505.1864</v>
      </c>
      <c r="AR58" s="43">
        <f t="shared" si="2"/>
        <v>825.25932</v>
      </c>
      <c r="AS58" s="43">
        <f t="shared" si="3"/>
        <v>2888.40762</v>
      </c>
      <c r="AT58" s="48">
        <f t="shared" si="4"/>
        <v>12791.51946</v>
      </c>
      <c r="AU58" s="49">
        <f t="shared" si="20"/>
        <v>12791.51946</v>
      </c>
      <c r="AV58" s="48"/>
      <c r="AW58" s="34">
        <f t="shared" si="5"/>
        <v>55708.462</v>
      </c>
      <c r="AX58" s="50">
        <f t="shared" si="6"/>
        <v>3621.97146</v>
      </c>
      <c r="AY58" s="43"/>
      <c r="AZ58" s="27"/>
      <c r="BA58" s="48">
        <f t="shared" si="42"/>
        <v>12791.51946</v>
      </c>
      <c r="BB58" s="27"/>
      <c r="BC58" s="27"/>
      <c r="BD58" s="51"/>
      <c r="BE58" s="52"/>
      <c r="BF58" s="27" t="s">
        <v>269</v>
      </c>
      <c r="BG58" s="53" t="s">
        <v>271</v>
      </c>
      <c r="BH58" s="53" t="str">
        <f>'[1]2023'!Q172</f>
        <v>#REF!</v>
      </c>
      <c r="BI58" s="27"/>
      <c r="BJ58" s="27"/>
      <c r="BK58" s="27" t="s">
        <v>76</v>
      </c>
      <c r="BL58" s="27"/>
    </row>
    <row r="59" ht="14.25" customHeight="1">
      <c r="A59" s="26" t="s">
        <v>111</v>
      </c>
      <c r="B59" s="26" t="s">
        <v>56</v>
      </c>
      <c r="C59" s="26" t="s">
        <v>57</v>
      </c>
      <c r="D59" s="26" t="s">
        <v>71</v>
      </c>
      <c r="E59" s="27" t="s">
        <v>272</v>
      </c>
      <c r="F59" s="28" t="s">
        <v>273</v>
      </c>
      <c r="G59" s="29" t="s">
        <v>256</v>
      </c>
      <c r="H59" s="30">
        <v>44980.0</v>
      </c>
      <c r="I59" s="30">
        <v>45345.0</v>
      </c>
      <c r="J59" s="31" t="s">
        <v>274</v>
      </c>
      <c r="K59" s="26" t="s">
        <v>62</v>
      </c>
      <c r="L59" s="32" t="s">
        <v>75</v>
      </c>
      <c r="M59" s="33">
        <v>28729.18</v>
      </c>
      <c r="N59" s="34">
        <v>30680.0</v>
      </c>
      <c r="O59" s="27" t="s">
        <v>76</v>
      </c>
      <c r="P59" s="35" t="s">
        <v>142</v>
      </c>
      <c r="Q59" s="35" t="s">
        <v>108</v>
      </c>
      <c r="R59" s="36" t="e">
        <v>#VALUE!</v>
      </c>
      <c r="S59" s="35" t="s">
        <v>86</v>
      </c>
      <c r="T59" s="35">
        <v>0.0</v>
      </c>
      <c r="U59" s="37" t="s">
        <v>115</v>
      </c>
      <c r="V59" s="38">
        <v>1180000.0</v>
      </c>
      <c r="W59" s="38" t="s">
        <v>275</v>
      </c>
      <c r="X59" s="27">
        <v>2022.0</v>
      </c>
      <c r="Y59" s="39" t="s">
        <v>276</v>
      </c>
      <c r="Z59" s="79" t="s">
        <v>277</v>
      </c>
      <c r="AA59" s="39"/>
      <c r="AB59" s="27"/>
      <c r="AC59" s="27">
        <f t="shared" si="1"/>
        <v>0</v>
      </c>
      <c r="AD59" s="41">
        <f t="shared" si="44"/>
        <v>4309.377</v>
      </c>
      <c r="AE59" s="42">
        <v>500.0</v>
      </c>
      <c r="AF59" s="27" t="s">
        <v>75</v>
      </c>
      <c r="AG59" s="43">
        <f>IF(O59="Paid",IF(A59="Alwataniya",(M59*21%)-((M59*21%)*5%),IF((A59="GIG"),(M59*25%)-((M59*25%)*5%),IF((A59="Allianz"),(M59*30%)-((M59*30%)*5%),0))),0)</f>
        <v>6823.18025</v>
      </c>
      <c r="AH59" s="29" t="s">
        <v>75</v>
      </c>
      <c r="AI59" s="61" t="s">
        <v>278</v>
      </c>
      <c r="AJ59" s="40"/>
      <c r="AK59" s="62" t="s">
        <v>63</v>
      </c>
      <c r="AL59" s="27"/>
      <c r="AM59" s="44"/>
      <c r="AN59" s="68"/>
      <c r="AO59" s="46"/>
      <c r="AP59" s="47"/>
      <c r="AQ59" s="43">
        <f t="shared" si="41"/>
        <v>7182.295</v>
      </c>
      <c r="AR59" s="43">
        <f t="shared" si="2"/>
        <v>359.11475</v>
      </c>
      <c r="AS59" s="43">
        <f t="shared" si="3"/>
        <v>1256.901625</v>
      </c>
      <c r="AT59" s="48">
        <f t="shared" si="4"/>
        <v>5566.278625</v>
      </c>
      <c r="AU59" s="49">
        <f t="shared" si="20"/>
        <v>5566.278625</v>
      </c>
      <c r="AV59" s="48"/>
      <c r="AW59" s="34">
        <f t="shared" si="5"/>
        <v>25870.623</v>
      </c>
      <c r="AX59" s="50">
        <f t="shared" si="6"/>
        <v>756.901625</v>
      </c>
      <c r="AY59" s="43"/>
      <c r="AZ59" s="27"/>
      <c r="BA59" s="48">
        <f t="shared" si="42"/>
        <v>5566.278625</v>
      </c>
      <c r="BB59" s="27"/>
      <c r="BC59" s="27"/>
      <c r="BD59" s="51"/>
      <c r="BE59" s="52"/>
      <c r="BF59" s="27" t="s">
        <v>272</v>
      </c>
      <c r="BG59" s="58" t="s">
        <v>279</v>
      </c>
      <c r="BH59" s="53" t="str">
        <f>'[1]2023'!Q227</f>
        <v>#REF!</v>
      </c>
      <c r="BI59" s="27"/>
      <c r="BJ59" s="27"/>
      <c r="BK59" s="27" t="s">
        <v>76</v>
      </c>
      <c r="BL59" s="27">
        <v>1180000.0</v>
      </c>
    </row>
    <row r="60" ht="14.25" customHeight="1">
      <c r="A60" s="26" t="s">
        <v>55</v>
      </c>
      <c r="B60" s="26" t="s">
        <v>56</v>
      </c>
      <c r="C60" s="26" t="s">
        <v>57</v>
      </c>
      <c r="D60" s="26" t="s">
        <v>81</v>
      </c>
      <c r="E60" s="27" t="s">
        <v>280</v>
      </c>
      <c r="F60" s="26" t="s">
        <v>281</v>
      </c>
      <c r="G60" s="29" t="s">
        <v>256</v>
      </c>
      <c r="H60" s="30">
        <v>44980.0</v>
      </c>
      <c r="I60" s="30">
        <v>45345.0</v>
      </c>
      <c r="J60" s="31">
        <v>0.0</v>
      </c>
      <c r="K60" s="26" t="s">
        <v>62</v>
      </c>
      <c r="L60" s="32" t="s">
        <v>75</v>
      </c>
      <c r="M60" s="33">
        <v>17111.25</v>
      </c>
      <c r="N60" s="34">
        <v>18261.81</v>
      </c>
      <c r="O60" s="27" t="s">
        <v>76</v>
      </c>
      <c r="P60" s="35" t="s">
        <v>122</v>
      </c>
      <c r="Q60" s="35">
        <v>0.0</v>
      </c>
      <c r="R60" s="36" t="e">
        <v>#VALUE!</v>
      </c>
      <c r="S60" s="35" t="s">
        <v>86</v>
      </c>
      <c r="T60" s="35">
        <v>0.0</v>
      </c>
      <c r="U60" s="37" t="s">
        <v>67</v>
      </c>
      <c r="V60" s="38"/>
      <c r="W60" s="38"/>
      <c r="X60" s="27"/>
      <c r="Y60" s="39"/>
      <c r="Z60" s="39"/>
      <c r="AA60" s="39"/>
      <c r="AB60" s="27"/>
      <c r="AC60" s="27">
        <f t="shared" si="1"/>
        <v>0</v>
      </c>
      <c r="AD60" s="41">
        <f t="shared" si="44"/>
        <v>2566.6875</v>
      </c>
      <c r="AE60" s="42"/>
      <c r="AF60" s="27"/>
      <c r="AG60" s="43">
        <f t="shared" ref="AG60:AG61" si="45">IF(O60="Paid",IF(A60="Alwataniya",(M60*21%)-((M60*21%)*5%),IF((A60="GIG"),(M60*25%)-((M60*25%)*5%),IF((A60="Allianz"),(M60*27%)-((M60*27%)*5%),0))),0)</f>
        <v>4389.035625</v>
      </c>
      <c r="AH60" s="29"/>
      <c r="AI60" s="29"/>
      <c r="AJ60" s="29"/>
      <c r="AK60" s="29"/>
      <c r="AL60" s="27"/>
      <c r="AM60" s="44"/>
      <c r="AN60" s="47"/>
      <c r="AO60" s="46"/>
      <c r="AP60" s="47"/>
      <c r="AQ60" s="43">
        <f t="shared" si="41"/>
        <v>4620.0375</v>
      </c>
      <c r="AR60" s="43">
        <f t="shared" si="2"/>
        <v>231.001875</v>
      </c>
      <c r="AS60" s="43">
        <f t="shared" si="3"/>
        <v>808.5065625</v>
      </c>
      <c r="AT60" s="48">
        <f t="shared" si="4"/>
        <v>3580.529063</v>
      </c>
      <c r="AU60" s="49">
        <f t="shared" si="20"/>
        <v>3580.529063</v>
      </c>
      <c r="AV60" s="48"/>
      <c r="AW60" s="34">
        <f t="shared" si="5"/>
        <v>15695.1225</v>
      </c>
      <c r="AX60" s="50">
        <f t="shared" si="6"/>
        <v>1013.841563</v>
      </c>
      <c r="AY60" s="43"/>
      <c r="AZ60" s="27"/>
      <c r="BA60" s="48">
        <f t="shared" si="42"/>
        <v>3580.529063</v>
      </c>
      <c r="BB60" s="27"/>
      <c r="BC60" s="27"/>
      <c r="BD60" s="51"/>
      <c r="BE60" s="52"/>
      <c r="BF60" s="27" t="s">
        <v>280</v>
      </c>
      <c r="BG60" s="53">
        <v>44929.0</v>
      </c>
      <c r="BH60" s="53" t="str">
        <f t="shared" ref="BH60:BH61" si="46">'[1]2023'!Q240</f>
        <v>#REF!</v>
      </c>
      <c r="BI60" s="27"/>
      <c r="BJ60" s="27"/>
      <c r="BK60" s="27" t="s">
        <v>76</v>
      </c>
      <c r="BL60" s="27"/>
    </row>
    <row r="61" ht="14.25" customHeight="1">
      <c r="A61" s="26" t="s">
        <v>55</v>
      </c>
      <c r="B61" s="26" t="s">
        <v>56</v>
      </c>
      <c r="C61" s="26" t="s">
        <v>57</v>
      </c>
      <c r="D61" s="26" t="s">
        <v>71</v>
      </c>
      <c r="E61" s="27" t="s">
        <v>282</v>
      </c>
      <c r="F61" s="28" t="s">
        <v>283</v>
      </c>
      <c r="G61" s="29" t="s">
        <v>256</v>
      </c>
      <c r="H61" s="30">
        <v>44980.0</v>
      </c>
      <c r="I61" s="30">
        <v>45345.0</v>
      </c>
      <c r="J61" s="31" t="s">
        <v>284</v>
      </c>
      <c r="K61" s="26" t="s">
        <v>62</v>
      </c>
      <c r="L61" s="32" t="s">
        <v>212</v>
      </c>
      <c r="M61" s="33">
        <v>19912.5</v>
      </c>
      <c r="N61" s="34">
        <v>21231.35</v>
      </c>
      <c r="O61" s="27" t="s">
        <v>76</v>
      </c>
      <c r="P61" s="35" t="s">
        <v>122</v>
      </c>
      <c r="Q61" s="35" t="s">
        <v>65</v>
      </c>
      <c r="R61" s="36" t="e">
        <v>#VALUE!</v>
      </c>
      <c r="S61" s="35" t="s">
        <v>66</v>
      </c>
      <c r="T61" s="35">
        <v>0.0</v>
      </c>
      <c r="U61" s="37" t="s">
        <v>67</v>
      </c>
      <c r="V61" s="38">
        <v>900000.0</v>
      </c>
      <c r="W61" s="78">
        <v>27898.0</v>
      </c>
      <c r="X61" s="27">
        <v>2019.0</v>
      </c>
      <c r="Y61" s="39"/>
      <c r="Z61" s="79" t="s">
        <v>208</v>
      </c>
      <c r="AA61" s="39"/>
      <c r="AB61" s="27"/>
      <c r="AC61" s="27">
        <f t="shared" si="1"/>
        <v>0</v>
      </c>
      <c r="AD61" s="41"/>
      <c r="AE61" s="42"/>
      <c r="AF61" s="27"/>
      <c r="AG61" s="43">
        <f t="shared" si="45"/>
        <v>5107.55625</v>
      </c>
      <c r="AH61" s="29"/>
      <c r="AI61" s="29"/>
      <c r="AJ61" s="29"/>
      <c r="AK61" s="29"/>
      <c r="AL61" s="27"/>
      <c r="AM61" s="44">
        <f>IF((BD61&lt;=2),AU61*10%,(IF((BD61&lt;=3),AU61*20%,IF((BD61&lt;=4),AU61*20%,IF((BD61&gt;=5),AU61*30%,0)))))</f>
        <v>416.6690625</v>
      </c>
      <c r="AN61" s="63" t="s">
        <v>75</v>
      </c>
      <c r="AO61" s="46"/>
      <c r="AP61" s="47"/>
      <c r="AQ61" s="43">
        <f t="shared" si="41"/>
        <v>5376.375</v>
      </c>
      <c r="AR61" s="43">
        <f t="shared" si="2"/>
        <v>268.81875</v>
      </c>
      <c r="AS61" s="43">
        <f t="shared" si="3"/>
        <v>940.865625</v>
      </c>
      <c r="AT61" s="48">
        <f t="shared" si="4"/>
        <v>4166.690625</v>
      </c>
      <c r="AU61" s="49">
        <f t="shared" si="20"/>
        <v>4166.690625</v>
      </c>
      <c r="AV61" s="48"/>
      <c r="AW61" s="34">
        <f t="shared" si="5"/>
        <v>21231.35</v>
      </c>
      <c r="AX61" s="50">
        <f t="shared" si="6"/>
        <v>3750.021563</v>
      </c>
      <c r="AY61" s="43"/>
      <c r="AZ61" s="27"/>
      <c r="BA61" s="48">
        <f t="shared" si="42"/>
        <v>3750.021563</v>
      </c>
      <c r="BB61" s="27"/>
      <c r="BC61" s="27"/>
      <c r="BD61" s="51"/>
      <c r="BE61" s="52"/>
      <c r="BF61" s="27" t="s">
        <v>282</v>
      </c>
      <c r="BG61" s="53" t="s">
        <v>285</v>
      </c>
      <c r="BH61" s="53" t="str">
        <f t="shared" si="46"/>
        <v>#REF!</v>
      </c>
      <c r="BI61" s="27"/>
      <c r="BJ61" s="27"/>
      <c r="BK61" s="27" t="s">
        <v>76</v>
      </c>
      <c r="BL61" s="27"/>
    </row>
    <row r="62" ht="14.25" customHeight="1">
      <c r="A62" s="26" t="s">
        <v>55</v>
      </c>
      <c r="B62" s="26" t="s">
        <v>56</v>
      </c>
      <c r="C62" s="26" t="s">
        <v>57</v>
      </c>
      <c r="D62" s="26" t="s">
        <v>81</v>
      </c>
      <c r="E62" s="27" t="s">
        <v>286</v>
      </c>
      <c r="F62" s="26" t="s">
        <v>287</v>
      </c>
      <c r="G62" s="29" t="s">
        <v>256</v>
      </c>
      <c r="H62" s="30">
        <v>44980.0</v>
      </c>
      <c r="I62" s="30">
        <v>45345.0</v>
      </c>
      <c r="J62" s="31">
        <v>0.0</v>
      </c>
      <c r="K62" s="26" t="s">
        <v>62</v>
      </c>
      <c r="L62" s="32" t="s">
        <v>63</v>
      </c>
      <c r="M62" s="33">
        <v>26400.0</v>
      </c>
      <c r="N62" s="34">
        <v>28099.6</v>
      </c>
      <c r="O62" s="27" t="s">
        <v>64</v>
      </c>
      <c r="P62" s="35" t="s">
        <v>104</v>
      </c>
      <c r="Q62" s="35" t="s">
        <v>108</v>
      </c>
      <c r="R62" s="36" t="e">
        <v>#VALUE!</v>
      </c>
      <c r="S62" s="35" t="s">
        <v>86</v>
      </c>
      <c r="T62" s="35">
        <v>0.0</v>
      </c>
      <c r="U62" s="37" t="s">
        <v>67</v>
      </c>
      <c r="V62" s="38"/>
      <c r="W62" s="38"/>
      <c r="X62" s="27"/>
      <c r="Y62" s="39"/>
      <c r="Z62" s="39"/>
      <c r="AA62" s="39"/>
      <c r="AB62" s="40"/>
      <c r="AC62" s="27">
        <f t="shared" si="1"/>
        <v>0</v>
      </c>
      <c r="AD62" s="41">
        <f>IF(AND(S62="0",O62="Paid"),(M62*15%)-AC62,0)</f>
        <v>0</v>
      </c>
      <c r="AE62" s="42"/>
      <c r="AF62" s="27"/>
      <c r="AG62" s="43">
        <f>IF(O62="Paid",IF(A62="Alwataniya",(M62*21%)-((M62*21%)*5%),IF((A62="GIG"),(M62*25%)-((M62*25%)*5%),IF((A62="Allianz"),(M62*27%)-((M62*27%)*20%),0))),0)</f>
        <v>0</v>
      </c>
      <c r="AH62" s="29"/>
      <c r="AI62" s="29"/>
      <c r="AJ62" s="29"/>
      <c r="AK62" s="29"/>
      <c r="AL62" s="27"/>
      <c r="AM62" s="44"/>
      <c r="AN62" s="47"/>
      <c r="AO62" s="46"/>
      <c r="AP62" s="47"/>
      <c r="AQ62" s="43" t="b">
        <f>IF(O62="Paid",IF(U62="Motor Plus",(M62*27%),IF(U62="Motor One",(M62*22%),(IF(U62="Golden",(M62*25%),(IF(U62="Classic",(M62*15%),(IF(U62="Wethaq",(M62*28%),IF(U62="Alwataniya",(M62*21%))*0)))))))))</f>
        <v>0</v>
      </c>
      <c r="AR62" s="43">
        <f t="shared" si="2"/>
        <v>0</v>
      </c>
      <c r="AS62" s="43">
        <f t="shared" si="3"/>
        <v>0</v>
      </c>
      <c r="AT62" s="48">
        <f t="shared" si="4"/>
        <v>0</v>
      </c>
      <c r="AU62" s="49">
        <f t="shared" si="20"/>
        <v>0</v>
      </c>
      <c r="AV62" s="48"/>
      <c r="AW62" s="34">
        <f t="shared" si="5"/>
        <v>28099.6</v>
      </c>
      <c r="AX62" s="50">
        <f t="shared" si="6"/>
        <v>0</v>
      </c>
      <c r="AY62" s="43"/>
      <c r="AZ62" s="27"/>
      <c r="BA62" s="48">
        <f t="shared" si="42"/>
        <v>0</v>
      </c>
      <c r="BB62" s="27"/>
      <c r="BC62" s="27"/>
      <c r="BD62" s="51"/>
      <c r="BE62" s="52"/>
      <c r="BF62" s="27" t="s">
        <v>286</v>
      </c>
      <c r="BG62" s="53" t="s">
        <v>288</v>
      </c>
      <c r="BH62" s="53" t="str">
        <f>'[1]2023'!Q285</f>
        <v>#REF!</v>
      </c>
      <c r="BI62" s="27"/>
      <c r="BJ62" s="27"/>
      <c r="BK62" s="27" t="s">
        <v>64</v>
      </c>
      <c r="BL62" s="27"/>
    </row>
    <row r="63" ht="14.25" customHeight="1">
      <c r="A63" s="26" t="s">
        <v>55</v>
      </c>
      <c r="B63" s="26" t="s">
        <v>56</v>
      </c>
      <c r="C63" s="26" t="s">
        <v>57</v>
      </c>
      <c r="D63" s="26" t="s">
        <v>81</v>
      </c>
      <c r="E63" s="27" t="s">
        <v>289</v>
      </c>
      <c r="F63" s="26" t="s">
        <v>290</v>
      </c>
      <c r="G63" s="29" t="s">
        <v>177</v>
      </c>
      <c r="H63" s="30">
        <v>44981.0</v>
      </c>
      <c r="I63" s="30">
        <v>45346.0</v>
      </c>
      <c r="J63" s="31">
        <v>0.0</v>
      </c>
      <c r="K63" s="26" t="s">
        <v>62</v>
      </c>
      <c r="L63" s="32" t="s">
        <v>75</v>
      </c>
      <c r="M63" s="83">
        <v>22715.0</v>
      </c>
      <c r="N63" s="34">
        <v>24196.19</v>
      </c>
      <c r="O63" s="27" t="s">
        <v>76</v>
      </c>
      <c r="P63" s="35" t="s">
        <v>122</v>
      </c>
      <c r="Q63" s="35" t="s">
        <v>90</v>
      </c>
      <c r="R63" s="36" t="e">
        <v>#VALUE!</v>
      </c>
      <c r="S63" s="35" t="s">
        <v>86</v>
      </c>
      <c r="T63" s="35">
        <v>0.0</v>
      </c>
      <c r="U63" s="37" t="s">
        <v>67</v>
      </c>
      <c r="V63" s="38"/>
      <c r="W63" s="38"/>
      <c r="X63" s="27"/>
      <c r="Y63" s="39"/>
      <c r="Z63" s="39"/>
      <c r="AA63" s="39"/>
      <c r="AB63" s="27"/>
      <c r="AC63" s="27">
        <f t="shared" si="1"/>
        <v>0</v>
      </c>
      <c r="AD63" s="41">
        <f t="shared" ref="AD63:AD66" si="47">IF(AND(S63="0",O63="Paid"),M63*15%,0)</f>
        <v>3407.25</v>
      </c>
      <c r="AE63" s="42"/>
      <c r="AF63" s="27"/>
      <c r="AG63" s="43">
        <f t="shared" ref="AG63:AG87" si="48">IF(O63="Paid",IF(A63="Alwataniya",(M63*21%)-((M63*21%)*5%),IF((A63="GIG"),(M63*25%)-((M63*25%)*5%),IF((A63="Allianz"),(M63*27%)-((M63*27%)*5%),0))),0)</f>
        <v>5826.3975</v>
      </c>
      <c r="AH63" s="29"/>
      <c r="AI63" s="29"/>
      <c r="AJ63" s="29"/>
      <c r="AK63" s="29"/>
      <c r="AL63" s="27"/>
      <c r="AM63" s="44"/>
      <c r="AN63" s="47"/>
      <c r="AO63" s="37"/>
      <c r="AP63" s="47"/>
      <c r="AQ63" s="43">
        <f t="shared" ref="AQ63:AQ71" si="49">IF(U63="Motor Plus",(M63*27%),IF(U63="Motor One",(M63*22%),(IF(U63="Golden",(M63*25%),(IF(U63="Classic",(M63*15%),(IF(U63="Wethaq",(M63*28%),IF(U63="Alwataniya",(M63*21%))*0))))))))</f>
        <v>6133.05</v>
      </c>
      <c r="AR63" s="43">
        <f t="shared" si="2"/>
        <v>306.6525</v>
      </c>
      <c r="AS63" s="43">
        <f t="shared" si="3"/>
        <v>1073.28375</v>
      </c>
      <c r="AT63" s="48">
        <f t="shared" si="4"/>
        <v>4753.11375</v>
      </c>
      <c r="AU63" s="49">
        <f t="shared" si="20"/>
        <v>4753.11375</v>
      </c>
      <c r="AV63" s="48"/>
      <c r="AW63" s="34">
        <f t="shared" si="5"/>
        <v>20788.94</v>
      </c>
      <c r="AX63" s="50">
        <f t="shared" si="6"/>
        <v>1345.86375</v>
      </c>
      <c r="AY63" s="43"/>
      <c r="AZ63" s="27"/>
      <c r="BA63" s="48">
        <f t="shared" si="42"/>
        <v>4753.11375</v>
      </c>
      <c r="BB63" s="27"/>
      <c r="BC63" s="27"/>
      <c r="BD63" s="51"/>
      <c r="BE63" s="52"/>
      <c r="BF63" s="27" t="s">
        <v>289</v>
      </c>
      <c r="BG63" s="58" t="s">
        <v>291</v>
      </c>
      <c r="BH63" s="53" t="str">
        <f>'[1]2023'!Q176</f>
        <v>#REF!</v>
      </c>
      <c r="BI63" s="27"/>
      <c r="BJ63" s="27"/>
      <c r="BK63" s="27" t="s">
        <v>76</v>
      </c>
      <c r="BL63" s="27"/>
    </row>
    <row r="64" ht="14.25" customHeight="1">
      <c r="A64" s="26" t="s">
        <v>55</v>
      </c>
      <c r="B64" s="26" t="s">
        <v>56</v>
      </c>
      <c r="C64" s="26" t="s">
        <v>57</v>
      </c>
      <c r="D64" s="26" t="s">
        <v>81</v>
      </c>
      <c r="E64" s="27" t="s">
        <v>292</v>
      </c>
      <c r="F64" s="26" t="s">
        <v>293</v>
      </c>
      <c r="G64" s="29" t="s">
        <v>177</v>
      </c>
      <c r="H64" s="30">
        <v>44981.0</v>
      </c>
      <c r="I64" s="30">
        <v>45346.0</v>
      </c>
      <c r="J64" s="31">
        <v>0.0</v>
      </c>
      <c r="K64" s="26" t="s">
        <v>62</v>
      </c>
      <c r="L64" s="69">
        <v>45174.0</v>
      </c>
      <c r="M64" s="33">
        <v>29684.38</v>
      </c>
      <c r="N64" s="34">
        <v>31576.76</v>
      </c>
      <c r="O64" s="27" t="s">
        <v>76</v>
      </c>
      <c r="P64" s="35" t="s">
        <v>142</v>
      </c>
      <c r="Q64" s="35" t="s">
        <v>90</v>
      </c>
      <c r="R64" s="36" t="e">
        <v>#VALUE!</v>
      </c>
      <c r="S64" s="35" t="s">
        <v>86</v>
      </c>
      <c r="T64" s="35">
        <v>0.0</v>
      </c>
      <c r="U64" s="37" t="s">
        <v>67</v>
      </c>
      <c r="V64" s="38"/>
      <c r="W64" s="38"/>
      <c r="X64" s="27"/>
      <c r="Y64" s="39"/>
      <c r="Z64" s="39"/>
      <c r="AA64" s="39"/>
      <c r="AB64" s="27"/>
      <c r="AC64" s="27">
        <f t="shared" si="1"/>
        <v>0</v>
      </c>
      <c r="AD64" s="41">
        <f t="shared" si="47"/>
        <v>4452.657</v>
      </c>
      <c r="AE64" s="42"/>
      <c r="AF64" s="29">
        <v>45020.0</v>
      </c>
      <c r="AG64" s="43">
        <f t="shared" si="48"/>
        <v>7614.04347</v>
      </c>
      <c r="AH64" s="29"/>
      <c r="AI64" s="29"/>
      <c r="AJ64" s="29"/>
      <c r="AK64" s="29"/>
      <c r="AL64" s="27"/>
      <c r="AM64" s="44"/>
      <c r="AN64" s="47"/>
      <c r="AO64" s="46"/>
      <c r="AP64" s="47"/>
      <c r="AQ64" s="43">
        <f t="shared" si="49"/>
        <v>8014.7826</v>
      </c>
      <c r="AR64" s="43">
        <f t="shared" si="2"/>
        <v>400.73913</v>
      </c>
      <c r="AS64" s="43">
        <f t="shared" si="3"/>
        <v>1402.586955</v>
      </c>
      <c r="AT64" s="48">
        <f t="shared" si="4"/>
        <v>6211.456515</v>
      </c>
      <c r="AU64" s="49">
        <f t="shared" si="20"/>
        <v>6211.456515</v>
      </c>
      <c r="AV64" s="48"/>
      <c r="AW64" s="34">
        <f t="shared" si="5"/>
        <v>27124.103</v>
      </c>
      <c r="AX64" s="50">
        <f t="shared" si="6"/>
        <v>1758.799515</v>
      </c>
      <c r="AY64" s="43"/>
      <c r="AZ64" s="27"/>
      <c r="BA64" s="48">
        <f t="shared" si="42"/>
        <v>6211.456515</v>
      </c>
      <c r="BB64" s="27"/>
      <c r="BC64" s="27"/>
      <c r="BD64" s="51"/>
      <c r="BE64" s="52"/>
      <c r="BF64" s="27" t="s">
        <v>292</v>
      </c>
      <c r="BG64" s="58" t="s">
        <v>266</v>
      </c>
      <c r="BH64" s="53" t="str">
        <f>'[1]2023'!Q245</f>
        <v>#REF!</v>
      </c>
      <c r="BI64" s="27"/>
      <c r="BJ64" s="27"/>
      <c r="BK64" s="27" t="s">
        <v>76</v>
      </c>
      <c r="BL64" s="27"/>
    </row>
    <row r="65" ht="14.25" customHeight="1">
      <c r="A65" s="26" t="s">
        <v>55</v>
      </c>
      <c r="B65" s="26" t="s">
        <v>56</v>
      </c>
      <c r="C65" s="26" t="s">
        <v>57</v>
      </c>
      <c r="D65" s="26" t="s">
        <v>81</v>
      </c>
      <c r="E65" s="27" t="s">
        <v>294</v>
      </c>
      <c r="F65" s="26" t="s">
        <v>295</v>
      </c>
      <c r="G65" s="29" t="s">
        <v>177</v>
      </c>
      <c r="H65" s="30">
        <v>44981.0</v>
      </c>
      <c r="I65" s="30">
        <v>45346.0</v>
      </c>
      <c r="J65" s="31">
        <v>0.0</v>
      </c>
      <c r="K65" s="26" t="s">
        <v>62</v>
      </c>
      <c r="L65" s="32" t="s">
        <v>75</v>
      </c>
      <c r="M65" s="33">
        <v>33000.0</v>
      </c>
      <c r="N65" s="34">
        <v>35088.0</v>
      </c>
      <c r="O65" s="27" t="s">
        <v>76</v>
      </c>
      <c r="P65" s="35" t="s">
        <v>122</v>
      </c>
      <c r="Q65" s="35" t="s">
        <v>108</v>
      </c>
      <c r="R65" s="36" t="e">
        <v>#VALUE!</v>
      </c>
      <c r="S65" s="35" t="s">
        <v>86</v>
      </c>
      <c r="T65" s="35">
        <v>0.0</v>
      </c>
      <c r="U65" s="37" t="s">
        <v>67</v>
      </c>
      <c r="V65" s="38"/>
      <c r="W65" s="38"/>
      <c r="X65" s="27"/>
      <c r="Y65" s="39"/>
      <c r="Z65" s="39"/>
      <c r="AA65" s="39"/>
      <c r="AB65" s="40"/>
      <c r="AC65" s="27">
        <f t="shared" si="1"/>
        <v>0</v>
      </c>
      <c r="AD65" s="41">
        <f t="shared" si="47"/>
        <v>4950</v>
      </c>
      <c r="AE65" s="42"/>
      <c r="AF65" s="27" t="s">
        <v>296</v>
      </c>
      <c r="AG65" s="43">
        <f t="shared" si="48"/>
        <v>8464.5</v>
      </c>
      <c r="AH65" s="29"/>
      <c r="AI65" s="29"/>
      <c r="AJ65" s="29"/>
      <c r="AK65" s="29"/>
      <c r="AL65" s="27"/>
      <c r="AM65" s="44"/>
      <c r="AN65" s="47"/>
      <c r="AO65" s="46"/>
      <c r="AP65" s="47"/>
      <c r="AQ65" s="43">
        <f t="shared" si="49"/>
        <v>8910</v>
      </c>
      <c r="AR65" s="43">
        <f t="shared" si="2"/>
        <v>445.5</v>
      </c>
      <c r="AS65" s="43">
        <f t="shared" si="3"/>
        <v>1559.25</v>
      </c>
      <c r="AT65" s="48">
        <f t="shared" si="4"/>
        <v>6905.25</v>
      </c>
      <c r="AU65" s="49">
        <f t="shared" si="20"/>
        <v>6905.25</v>
      </c>
      <c r="AV65" s="48"/>
      <c r="AW65" s="34">
        <f t="shared" si="5"/>
        <v>30138</v>
      </c>
      <c r="AX65" s="50">
        <f t="shared" si="6"/>
        <v>1955.25</v>
      </c>
      <c r="AY65" s="84"/>
      <c r="AZ65" s="27"/>
      <c r="BA65" s="48">
        <f t="shared" si="42"/>
        <v>6905.25</v>
      </c>
      <c r="BB65" s="27"/>
      <c r="BC65" s="27"/>
      <c r="BD65" s="51"/>
      <c r="BE65" s="52"/>
      <c r="BF65" s="27" t="s">
        <v>294</v>
      </c>
      <c r="BG65" s="53">
        <v>0.0</v>
      </c>
      <c r="BH65" s="53" t="str">
        <f>'[1]2023'!Q381</f>
        <v>#REF!</v>
      </c>
      <c r="BI65" s="27"/>
      <c r="BJ65" s="27"/>
      <c r="BK65" s="27" t="s">
        <v>76</v>
      </c>
      <c r="BL65" s="27"/>
    </row>
    <row r="66" ht="14.25" customHeight="1">
      <c r="A66" s="26" t="s">
        <v>55</v>
      </c>
      <c r="B66" s="26" t="s">
        <v>56</v>
      </c>
      <c r="C66" s="26" t="s">
        <v>57</v>
      </c>
      <c r="D66" s="26" t="s">
        <v>81</v>
      </c>
      <c r="E66" s="27" t="s">
        <v>297</v>
      </c>
      <c r="F66" s="26" t="s">
        <v>298</v>
      </c>
      <c r="G66" s="29" t="s">
        <v>299</v>
      </c>
      <c r="H66" s="30">
        <v>44982.0</v>
      </c>
      <c r="I66" s="30">
        <v>45347.0</v>
      </c>
      <c r="J66" s="31">
        <v>0.0</v>
      </c>
      <c r="K66" s="26" t="s">
        <v>62</v>
      </c>
      <c r="L66" s="32" t="s">
        <v>75</v>
      </c>
      <c r="M66" s="33">
        <v>15045.0</v>
      </c>
      <c r="N66" s="34">
        <v>16073.66</v>
      </c>
      <c r="O66" s="27" t="s">
        <v>76</v>
      </c>
      <c r="P66" s="35" t="s">
        <v>89</v>
      </c>
      <c r="Q66" s="35" t="s">
        <v>90</v>
      </c>
      <c r="R66" s="36" t="e">
        <v>#VALUE!</v>
      </c>
      <c r="S66" s="35" t="s">
        <v>86</v>
      </c>
      <c r="T66" s="35">
        <v>0.0</v>
      </c>
      <c r="U66" s="37" t="s">
        <v>67</v>
      </c>
      <c r="V66" s="38"/>
      <c r="W66" s="38"/>
      <c r="X66" s="27"/>
      <c r="Y66" s="39"/>
      <c r="Z66" s="39"/>
      <c r="AA66" s="39"/>
      <c r="AB66" s="27"/>
      <c r="AC66" s="27">
        <f t="shared" si="1"/>
        <v>0</v>
      </c>
      <c r="AD66" s="41">
        <f t="shared" si="47"/>
        <v>2256.75</v>
      </c>
      <c r="AE66" s="42"/>
      <c r="AF66" s="27"/>
      <c r="AG66" s="43">
        <f t="shared" si="48"/>
        <v>3859.0425</v>
      </c>
      <c r="AH66" s="29"/>
      <c r="AI66" s="29"/>
      <c r="AJ66" s="29"/>
      <c r="AK66" s="29"/>
      <c r="AL66" s="27"/>
      <c r="AM66" s="44"/>
      <c r="AN66" s="68"/>
      <c r="AO66" s="37"/>
      <c r="AP66" s="68"/>
      <c r="AQ66" s="43">
        <f t="shared" si="49"/>
        <v>4062.15</v>
      </c>
      <c r="AR66" s="43">
        <f t="shared" si="2"/>
        <v>203.1075</v>
      </c>
      <c r="AS66" s="43">
        <f t="shared" si="3"/>
        <v>710.87625</v>
      </c>
      <c r="AT66" s="48">
        <f t="shared" si="4"/>
        <v>3148.16625</v>
      </c>
      <c r="AU66" s="49">
        <f t="shared" si="20"/>
        <v>3148.16625</v>
      </c>
      <c r="AV66" s="48"/>
      <c r="AW66" s="34">
        <f t="shared" si="5"/>
        <v>13816.91</v>
      </c>
      <c r="AX66" s="50">
        <f t="shared" si="6"/>
        <v>891.41625</v>
      </c>
      <c r="AY66" s="43"/>
      <c r="AZ66" s="27"/>
      <c r="BA66" s="48">
        <f t="shared" si="42"/>
        <v>3148.16625</v>
      </c>
      <c r="BB66" s="27"/>
      <c r="BC66" s="27"/>
      <c r="BD66" s="51"/>
      <c r="BE66" s="52"/>
      <c r="BF66" s="27" t="s">
        <v>297</v>
      </c>
      <c r="BG66" s="53" t="s">
        <v>300</v>
      </c>
      <c r="BH66" s="53" t="str">
        <f>'[1]2023'!Q185</f>
        <v>#REF!</v>
      </c>
      <c r="BI66" s="27"/>
      <c r="BJ66" s="27"/>
      <c r="BK66" s="27" t="s">
        <v>76</v>
      </c>
      <c r="BL66" s="27"/>
    </row>
    <row r="67" ht="14.25" customHeight="1">
      <c r="A67" s="26" t="s">
        <v>55</v>
      </c>
      <c r="B67" s="26" t="s">
        <v>56</v>
      </c>
      <c r="C67" s="26" t="s">
        <v>57</v>
      </c>
      <c r="D67" s="26" t="s">
        <v>81</v>
      </c>
      <c r="E67" s="27" t="s">
        <v>301</v>
      </c>
      <c r="F67" s="26" t="s">
        <v>302</v>
      </c>
      <c r="G67" s="29" t="s">
        <v>299</v>
      </c>
      <c r="H67" s="30">
        <v>44982.0</v>
      </c>
      <c r="I67" s="30">
        <v>45347.0</v>
      </c>
      <c r="J67" s="31">
        <v>0.0</v>
      </c>
      <c r="K67" s="26" t="s">
        <v>62</v>
      </c>
      <c r="L67" s="32" t="s">
        <v>75</v>
      </c>
      <c r="M67" s="33">
        <v>14160.0</v>
      </c>
      <c r="N67" s="34">
        <v>15136.44</v>
      </c>
      <c r="O67" s="27" t="s">
        <v>76</v>
      </c>
      <c r="P67" s="35" t="s">
        <v>122</v>
      </c>
      <c r="Q67" s="35" t="s">
        <v>65</v>
      </c>
      <c r="R67" s="36" t="e">
        <v>#VALUE!</v>
      </c>
      <c r="S67" s="35" t="s">
        <v>86</v>
      </c>
      <c r="T67" s="35">
        <v>0.0</v>
      </c>
      <c r="U67" s="37" t="s">
        <v>67</v>
      </c>
      <c r="V67" s="38"/>
      <c r="W67" s="38"/>
      <c r="X67" s="27"/>
      <c r="Y67" s="39"/>
      <c r="Z67" s="39"/>
      <c r="AA67" s="39"/>
      <c r="AB67" s="27"/>
      <c r="AC67" s="27">
        <f t="shared" si="1"/>
        <v>0</v>
      </c>
      <c r="AD67" s="41"/>
      <c r="AE67" s="42"/>
      <c r="AF67" s="27"/>
      <c r="AG67" s="43">
        <f t="shared" si="48"/>
        <v>3632.04</v>
      </c>
      <c r="AH67" s="29"/>
      <c r="AI67" s="29"/>
      <c r="AJ67" s="29"/>
      <c r="AK67" s="29"/>
      <c r="AL67" s="27"/>
      <c r="AM67" s="44"/>
      <c r="AN67" s="47"/>
      <c r="AO67" s="46"/>
      <c r="AP67" s="47"/>
      <c r="AQ67" s="43">
        <f t="shared" si="49"/>
        <v>3823.2</v>
      </c>
      <c r="AR67" s="43">
        <f t="shared" si="2"/>
        <v>191.16</v>
      </c>
      <c r="AS67" s="43">
        <f t="shared" si="3"/>
        <v>669.06</v>
      </c>
      <c r="AT67" s="48">
        <f t="shared" si="4"/>
        <v>2962.98</v>
      </c>
      <c r="AU67" s="49">
        <f t="shared" si="20"/>
        <v>2962.98</v>
      </c>
      <c r="AV67" s="48"/>
      <c r="AW67" s="34">
        <f t="shared" si="5"/>
        <v>15136.44</v>
      </c>
      <c r="AX67" s="50">
        <f t="shared" si="6"/>
        <v>2962.98</v>
      </c>
      <c r="AY67" s="43"/>
      <c r="AZ67" s="27"/>
      <c r="BA67" s="48">
        <f t="shared" si="42"/>
        <v>2962.98</v>
      </c>
      <c r="BB67" s="27"/>
      <c r="BC67" s="27"/>
      <c r="BD67" s="51"/>
      <c r="BE67" s="52"/>
      <c r="BF67" s="27" t="s">
        <v>301</v>
      </c>
      <c r="BG67" s="53" t="s">
        <v>123</v>
      </c>
      <c r="BH67" s="53" t="str">
        <f>'[1]2023'!Q196</f>
        <v>#REF!</v>
      </c>
      <c r="BI67" s="27"/>
      <c r="BJ67" s="27"/>
      <c r="BK67" s="27" t="s">
        <v>76</v>
      </c>
      <c r="BL67" s="27"/>
    </row>
    <row r="68" ht="14.25" customHeight="1">
      <c r="A68" s="26" t="s">
        <v>55</v>
      </c>
      <c r="B68" s="26" t="s">
        <v>56</v>
      </c>
      <c r="C68" s="26" t="s">
        <v>57</v>
      </c>
      <c r="D68" s="26" t="s">
        <v>81</v>
      </c>
      <c r="E68" s="27" t="s">
        <v>303</v>
      </c>
      <c r="F68" s="26" t="s">
        <v>304</v>
      </c>
      <c r="G68" s="29" t="s">
        <v>299</v>
      </c>
      <c r="H68" s="30">
        <v>44982.0</v>
      </c>
      <c r="I68" s="30">
        <v>45347.0</v>
      </c>
      <c r="J68" s="31">
        <v>0.0</v>
      </c>
      <c r="K68" s="26" t="s">
        <v>62</v>
      </c>
      <c r="L68" s="32" t="s">
        <v>305</v>
      </c>
      <c r="M68" s="33">
        <v>19912.5</v>
      </c>
      <c r="N68" s="34">
        <v>21229.35</v>
      </c>
      <c r="O68" s="27" t="s">
        <v>76</v>
      </c>
      <c r="P68" s="35" t="s">
        <v>142</v>
      </c>
      <c r="Q68" s="35" t="s">
        <v>90</v>
      </c>
      <c r="R68" s="36" t="e">
        <v>#VALUE!</v>
      </c>
      <c r="S68" s="35" t="s">
        <v>86</v>
      </c>
      <c r="T68" s="35">
        <v>0.0</v>
      </c>
      <c r="U68" s="37" t="s">
        <v>67</v>
      </c>
      <c r="V68" s="38"/>
      <c r="W68" s="38"/>
      <c r="X68" s="27"/>
      <c r="Y68" s="39"/>
      <c r="Z68" s="39"/>
      <c r="AA68" s="39"/>
      <c r="AB68" s="27"/>
      <c r="AC68" s="27">
        <f t="shared" si="1"/>
        <v>0</v>
      </c>
      <c r="AD68" s="41">
        <f t="shared" ref="AD68:AD71" si="50">IF(AND(S68="0",O68="Paid"),M68*15%,0)</f>
        <v>2986.875</v>
      </c>
      <c r="AE68" s="42"/>
      <c r="AF68" s="27" t="s">
        <v>306</v>
      </c>
      <c r="AG68" s="43">
        <f t="shared" si="48"/>
        <v>5107.55625</v>
      </c>
      <c r="AH68" s="29"/>
      <c r="AI68" s="29"/>
      <c r="AJ68" s="29"/>
      <c r="AK68" s="29"/>
      <c r="AL68" s="27"/>
      <c r="AM68" s="44"/>
      <c r="AN68" s="47"/>
      <c r="AO68" s="46"/>
      <c r="AP68" s="47"/>
      <c r="AQ68" s="43">
        <f t="shared" si="49"/>
        <v>5376.375</v>
      </c>
      <c r="AR68" s="43">
        <f t="shared" si="2"/>
        <v>268.81875</v>
      </c>
      <c r="AS68" s="43">
        <f t="shared" si="3"/>
        <v>940.865625</v>
      </c>
      <c r="AT68" s="48">
        <f t="shared" si="4"/>
        <v>4166.690625</v>
      </c>
      <c r="AU68" s="49">
        <f t="shared" si="20"/>
        <v>4166.690625</v>
      </c>
      <c r="AV68" s="48"/>
      <c r="AW68" s="82">
        <f t="shared" si="5"/>
        <v>18242.475</v>
      </c>
      <c r="AX68" s="50">
        <f t="shared" si="6"/>
        <v>1179.815625</v>
      </c>
      <c r="AY68" s="43"/>
      <c r="AZ68" s="27"/>
      <c r="BA68" s="48">
        <f t="shared" si="42"/>
        <v>4166.690625</v>
      </c>
      <c r="BB68" s="27"/>
      <c r="BC68" s="27"/>
      <c r="BD68" s="51"/>
      <c r="BE68" s="52"/>
      <c r="BF68" s="27" t="s">
        <v>303</v>
      </c>
      <c r="BG68" s="53">
        <v>0.0</v>
      </c>
      <c r="BH68" s="53" t="str">
        <f>'[1]2023'!Q238</f>
        <v>#REF!</v>
      </c>
      <c r="BI68" s="27"/>
      <c r="BJ68" s="27"/>
      <c r="BK68" s="27" t="s">
        <v>76</v>
      </c>
      <c r="BL68" s="27"/>
    </row>
    <row r="69" ht="14.25" customHeight="1">
      <c r="A69" s="26" t="s">
        <v>55</v>
      </c>
      <c r="B69" s="26" t="s">
        <v>56</v>
      </c>
      <c r="C69" s="26" t="s">
        <v>57</v>
      </c>
      <c r="D69" s="26" t="s">
        <v>81</v>
      </c>
      <c r="E69" s="27" t="s">
        <v>307</v>
      </c>
      <c r="F69" s="28" t="s">
        <v>308</v>
      </c>
      <c r="G69" s="29">
        <v>44982.0</v>
      </c>
      <c r="H69" s="30">
        <v>44982.0</v>
      </c>
      <c r="I69" s="30">
        <v>45347.0</v>
      </c>
      <c r="J69" s="31" t="s">
        <v>309</v>
      </c>
      <c r="K69" s="26" t="s">
        <v>62</v>
      </c>
      <c r="L69" s="32" t="s">
        <v>75</v>
      </c>
      <c r="M69" s="33">
        <v>20303.02</v>
      </c>
      <c r="N69" s="34">
        <v>21641.9</v>
      </c>
      <c r="O69" s="27" t="s">
        <v>76</v>
      </c>
      <c r="P69" s="35" t="s">
        <v>95</v>
      </c>
      <c r="Q69" s="35">
        <v>0.0</v>
      </c>
      <c r="R69" s="36">
        <v>44982.0</v>
      </c>
      <c r="S69" s="35" t="s">
        <v>86</v>
      </c>
      <c r="T69" s="35">
        <v>0.0</v>
      </c>
      <c r="U69" s="37" t="s">
        <v>67</v>
      </c>
      <c r="V69" s="38"/>
      <c r="W69" s="38"/>
      <c r="X69" s="27"/>
      <c r="Y69" s="39"/>
      <c r="Z69" s="39"/>
      <c r="AA69" s="39"/>
      <c r="AB69" s="40"/>
      <c r="AC69" s="27">
        <f t="shared" si="1"/>
        <v>0</v>
      </c>
      <c r="AD69" s="41">
        <f t="shared" si="50"/>
        <v>3045.453</v>
      </c>
      <c r="AE69" s="42"/>
      <c r="AF69" s="27"/>
      <c r="AG69" s="43">
        <f t="shared" si="48"/>
        <v>5207.72463</v>
      </c>
      <c r="AH69" s="29"/>
      <c r="AI69" s="29"/>
      <c r="AJ69" s="29"/>
      <c r="AK69" s="29"/>
      <c r="AL69" s="27"/>
      <c r="AM69" s="44"/>
      <c r="AN69" s="47"/>
      <c r="AO69" s="46"/>
      <c r="AP69" s="47"/>
      <c r="AQ69" s="43">
        <f t="shared" si="49"/>
        <v>5481.8154</v>
      </c>
      <c r="AR69" s="43">
        <f t="shared" si="2"/>
        <v>274.09077</v>
      </c>
      <c r="AS69" s="43">
        <f t="shared" si="3"/>
        <v>959.317695</v>
      </c>
      <c r="AT69" s="48">
        <f t="shared" si="4"/>
        <v>4248.406935</v>
      </c>
      <c r="AU69" s="49">
        <f t="shared" si="20"/>
        <v>4248.406935</v>
      </c>
      <c r="AV69" s="48"/>
      <c r="AW69" s="34">
        <f t="shared" si="5"/>
        <v>18596.447</v>
      </c>
      <c r="AX69" s="50">
        <f t="shared" si="6"/>
        <v>1202.953935</v>
      </c>
      <c r="AY69" s="43"/>
      <c r="AZ69" s="27"/>
      <c r="BA69" s="48">
        <f t="shared" si="42"/>
        <v>4248.406935</v>
      </c>
      <c r="BB69" s="27"/>
      <c r="BC69" s="27"/>
      <c r="BD69" s="51"/>
      <c r="BE69" s="52"/>
      <c r="BF69" s="27" t="s">
        <v>307</v>
      </c>
      <c r="BG69" s="58" t="s">
        <v>310</v>
      </c>
      <c r="BH69" s="53" t="str">
        <f>'[1]2023'!Q278</f>
        <v>#REF!</v>
      </c>
      <c r="BI69" s="27"/>
      <c r="BJ69" s="27"/>
      <c r="BK69" s="27" t="s">
        <v>76</v>
      </c>
      <c r="BL69" s="64" t="s">
        <v>311</v>
      </c>
    </row>
    <row r="70" ht="14.25" customHeight="1">
      <c r="A70" s="26" t="s">
        <v>55</v>
      </c>
      <c r="B70" s="26" t="s">
        <v>56</v>
      </c>
      <c r="C70" s="26" t="s">
        <v>57</v>
      </c>
      <c r="D70" s="26" t="s">
        <v>81</v>
      </c>
      <c r="E70" s="27" t="s">
        <v>312</v>
      </c>
      <c r="F70" s="26" t="s">
        <v>313</v>
      </c>
      <c r="G70" s="29" t="s">
        <v>285</v>
      </c>
      <c r="H70" s="30">
        <v>44983.0</v>
      </c>
      <c r="I70" s="30">
        <v>45348.0</v>
      </c>
      <c r="J70" s="31">
        <v>0.0</v>
      </c>
      <c r="K70" s="26" t="s">
        <v>62</v>
      </c>
      <c r="L70" s="32" t="s">
        <v>75</v>
      </c>
      <c r="M70" s="33">
        <v>17875.0</v>
      </c>
      <c r="N70" s="34">
        <v>19070.63</v>
      </c>
      <c r="O70" s="27" t="s">
        <v>76</v>
      </c>
      <c r="P70" s="35" t="s">
        <v>122</v>
      </c>
      <c r="Q70" s="35" t="s">
        <v>90</v>
      </c>
      <c r="R70" s="36" t="e">
        <v>#VALUE!</v>
      </c>
      <c r="S70" s="35" t="s">
        <v>86</v>
      </c>
      <c r="T70" s="35">
        <v>0.0</v>
      </c>
      <c r="U70" s="37" t="s">
        <v>67</v>
      </c>
      <c r="V70" s="38"/>
      <c r="W70" s="38"/>
      <c r="X70" s="27"/>
      <c r="Y70" s="39"/>
      <c r="Z70" s="39"/>
      <c r="AA70" s="39"/>
      <c r="AB70" s="27"/>
      <c r="AC70" s="27">
        <f t="shared" si="1"/>
        <v>0</v>
      </c>
      <c r="AD70" s="41">
        <f t="shared" si="50"/>
        <v>2681.25</v>
      </c>
      <c r="AE70" s="42"/>
      <c r="AF70" s="27"/>
      <c r="AG70" s="43">
        <f t="shared" si="48"/>
        <v>4584.9375</v>
      </c>
      <c r="AH70" s="29"/>
      <c r="AI70" s="29"/>
      <c r="AJ70" s="29"/>
      <c r="AK70" s="29"/>
      <c r="AL70" s="27"/>
      <c r="AM70" s="44"/>
      <c r="AN70" s="47"/>
      <c r="AO70" s="37"/>
      <c r="AP70" s="47"/>
      <c r="AQ70" s="43">
        <f t="shared" si="49"/>
        <v>4826.25</v>
      </c>
      <c r="AR70" s="43">
        <f t="shared" si="2"/>
        <v>241.3125</v>
      </c>
      <c r="AS70" s="43">
        <f t="shared" si="3"/>
        <v>844.59375</v>
      </c>
      <c r="AT70" s="48">
        <f t="shared" si="4"/>
        <v>3740.34375</v>
      </c>
      <c r="AU70" s="49">
        <f t="shared" si="20"/>
        <v>3740.34375</v>
      </c>
      <c r="AV70" s="48"/>
      <c r="AW70" s="34">
        <f t="shared" si="5"/>
        <v>16389.38</v>
      </c>
      <c r="AX70" s="50">
        <f t="shared" si="6"/>
        <v>1059.09375</v>
      </c>
      <c r="AY70" s="43"/>
      <c r="AZ70" s="27"/>
      <c r="BA70" s="48">
        <f t="shared" si="42"/>
        <v>3740.34375</v>
      </c>
      <c r="BB70" s="27"/>
      <c r="BC70" s="27"/>
      <c r="BD70" s="51"/>
      <c r="BE70" s="52"/>
      <c r="BF70" s="27" t="s">
        <v>312</v>
      </c>
      <c r="BG70" s="53">
        <v>0.0</v>
      </c>
      <c r="BH70" s="53" t="str">
        <f>'[1]2023'!Q129</f>
        <v>#REF!</v>
      </c>
      <c r="BI70" s="27"/>
      <c r="BJ70" s="27"/>
      <c r="BK70" s="27" t="s">
        <v>76</v>
      </c>
      <c r="BL70" s="27"/>
    </row>
    <row r="71" ht="14.25" customHeight="1">
      <c r="A71" s="26" t="s">
        <v>55</v>
      </c>
      <c r="B71" s="26" t="s">
        <v>56</v>
      </c>
      <c r="C71" s="26" t="s">
        <v>57</v>
      </c>
      <c r="D71" s="26" t="s">
        <v>81</v>
      </c>
      <c r="E71" s="27" t="s">
        <v>314</v>
      </c>
      <c r="F71" s="26" t="s">
        <v>315</v>
      </c>
      <c r="G71" s="29" t="s">
        <v>285</v>
      </c>
      <c r="H71" s="30">
        <v>44983.0</v>
      </c>
      <c r="I71" s="30">
        <v>45348.0</v>
      </c>
      <c r="J71" s="31">
        <v>0.0</v>
      </c>
      <c r="K71" s="26" t="s">
        <v>62</v>
      </c>
      <c r="L71" s="32" t="s">
        <v>75</v>
      </c>
      <c r="M71" s="33">
        <v>15600.0</v>
      </c>
      <c r="N71" s="34">
        <v>16661.4</v>
      </c>
      <c r="O71" s="27" t="s">
        <v>76</v>
      </c>
      <c r="P71" s="35" t="s">
        <v>122</v>
      </c>
      <c r="Q71" s="35">
        <v>0.0</v>
      </c>
      <c r="R71" s="36" t="e">
        <v>#VALUE!</v>
      </c>
      <c r="S71" s="35" t="s">
        <v>86</v>
      </c>
      <c r="T71" s="35">
        <v>0.0</v>
      </c>
      <c r="U71" s="37" t="s">
        <v>67</v>
      </c>
      <c r="V71" s="38"/>
      <c r="W71" s="38"/>
      <c r="X71" s="27"/>
      <c r="Y71" s="39"/>
      <c r="Z71" s="39"/>
      <c r="AA71" s="39"/>
      <c r="AB71" s="40"/>
      <c r="AC71" s="27">
        <f t="shared" si="1"/>
        <v>0</v>
      </c>
      <c r="AD71" s="41">
        <f t="shared" si="50"/>
        <v>2340</v>
      </c>
      <c r="AE71" s="42"/>
      <c r="AF71" s="27"/>
      <c r="AG71" s="43">
        <f t="shared" si="48"/>
        <v>4001.4</v>
      </c>
      <c r="AH71" s="29"/>
      <c r="AI71" s="29"/>
      <c r="AJ71" s="29"/>
      <c r="AK71" s="29"/>
      <c r="AL71" s="27"/>
      <c r="AM71" s="44"/>
      <c r="AN71" s="47"/>
      <c r="AO71" s="46"/>
      <c r="AP71" s="47"/>
      <c r="AQ71" s="43">
        <f t="shared" si="49"/>
        <v>4212</v>
      </c>
      <c r="AR71" s="43">
        <f t="shared" si="2"/>
        <v>210.6</v>
      </c>
      <c r="AS71" s="43">
        <f t="shared" si="3"/>
        <v>737.1</v>
      </c>
      <c r="AT71" s="48">
        <f t="shared" si="4"/>
        <v>3264.3</v>
      </c>
      <c r="AU71" s="49">
        <f t="shared" si="20"/>
        <v>3264.3</v>
      </c>
      <c r="AV71" s="48"/>
      <c r="AW71" s="34">
        <f t="shared" si="5"/>
        <v>14321.4</v>
      </c>
      <c r="AX71" s="50">
        <f t="shared" si="6"/>
        <v>924.3</v>
      </c>
      <c r="AY71" s="43"/>
      <c r="AZ71" s="27"/>
      <c r="BA71" s="48">
        <f t="shared" si="42"/>
        <v>3264.3</v>
      </c>
      <c r="BB71" s="27"/>
      <c r="BC71" s="27"/>
      <c r="BD71" s="51"/>
      <c r="BE71" s="52"/>
      <c r="BF71" s="27" t="s">
        <v>314</v>
      </c>
      <c r="BG71" s="53">
        <v>44994.0</v>
      </c>
      <c r="BH71" s="53" t="str">
        <f>'[1]2023'!Q286</f>
        <v>#REF!</v>
      </c>
      <c r="BI71" s="27"/>
      <c r="BJ71" s="27"/>
      <c r="BK71" s="27" t="s">
        <v>76</v>
      </c>
      <c r="BL71" s="27"/>
    </row>
    <row r="72" ht="14.25" customHeight="1">
      <c r="A72" s="26" t="s">
        <v>55</v>
      </c>
      <c r="B72" s="26" t="s">
        <v>56</v>
      </c>
      <c r="C72" s="26" t="s">
        <v>57</v>
      </c>
      <c r="D72" s="26" t="s">
        <v>81</v>
      </c>
      <c r="E72" s="27" t="s">
        <v>316</v>
      </c>
      <c r="F72" s="26" t="s">
        <v>317</v>
      </c>
      <c r="G72" s="29" t="s">
        <v>212</v>
      </c>
      <c r="H72" s="30">
        <v>44984.0</v>
      </c>
      <c r="I72" s="30">
        <v>45349.0</v>
      </c>
      <c r="J72" s="31">
        <v>0.0</v>
      </c>
      <c r="K72" s="26" t="s">
        <v>62</v>
      </c>
      <c r="L72" s="32" t="s">
        <v>63</v>
      </c>
      <c r="M72" s="33">
        <v>59000.0</v>
      </c>
      <c r="N72" s="34">
        <v>62622.0</v>
      </c>
      <c r="O72" s="27" t="s">
        <v>64</v>
      </c>
      <c r="P72" s="35">
        <v>0.0</v>
      </c>
      <c r="Q72" s="35">
        <v>0.0</v>
      </c>
      <c r="R72" s="36" t="e">
        <v>#VALUE!</v>
      </c>
      <c r="S72" s="35" t="s">
        <v>86</v>
      </c>
      <c r="T72" s="35">
        <v>0.0</v>
      </c>
      <c r="U72" s="37" t="s">
        <v>67</v>
      </c>
      <c r="V72" s="38"/>
      <c r="W72" s="38"/>
      <c r="X72" s="27"/>
      <c r="Y72" s="39"/>
      <c r="Z72" s="39"/>
      <c r="AA72" s="39"/>
      <c r="AB72" s="27"/>
      <c r="AC72" s="27">
        <f t="shared" si="1"/>
        <v>0</v>
      </c>
      <c r="AD72" s="41">
        <f>IF(AND(S72="0",O72="Paid"),(M72*15%)-AC72,0)</f>
        <v>0</v>
      </c>
      <c r="AE72" s="42"/>
      <c r="AF72" s="27"/>
      <c r="AG72" s="43">
        <f t="shared" si="48"/>
        <v>0</v>
      </c>
      <c r="AH72" s="29"/>
      <c r="AI72" s="29"/>
      <c r="AJ72" s="29"/>
      <c r="AK72" s="29"/>
      <c r="AL72" s="27"/>
      <c r="AM72" s="44"/>
      <c r="AN72" s="47"/>
      <c r="AO72" s="37"/>
      <c r="AP72" s="47"/>
      <c r="AQ72" s="43" t="b">
        <f>IF(O72="Paid",IF(U72="Motor Plus",(M72*27%),IF(U72="Motor One",(M72*22%),(IF(U72="Golden",(M72*25%),(IF(U72="Classic",(M72*15%),(IF(U72="Wethaq",(M72*28%),IF(U72="Alwataniya",(M72*21%))*0)))))))))</f>
        <v>0</v>
      </c>
      <c r="AR72" s="43">
        <f t="shared" si="2"/>
        <v>0</v>
      </c>
      <c r="AS72" s="43">
        <f t="shared" si="3"/>
        <v>0</v>
      </c>
      <c r="AT72" s="48">
        <f t="shared" si="4"/>
        <v>0</v>
      </c>
      <c r="AU72" s="49">
        <f t="shared" si="20"/>
        <v>0</v>
      </c>
      <c r="AV72" s="48"/>
      <c r="AW72" s="34">
        <f t="shared" si="5"/>
        <v>62622</v>
      </c>
      <c r="AX72" s="50">
        <f t="shared" si="6"/>
        <v>0</v>
      </c>
      <c r="AY72" s="43"/>
      <c r="AZ72" s="27"/>
      <c r="BA72" s="48">
        <f t="shared" si="42"/>
        <v>0</v>
      </c>
      <c r="BB72" s="27"/>
      <c r="BC72" s="27"/>
      <c r="BD72" s="51"/>
      <c r="BE72" s="52"/>
      <c r="BF72" s="27" t="s">
        <v>316</v>
      </c>
      <c r="BG72" s="53">
        <v>0.0</v>
      </c>
      <c r="BH72" s="53" t="str">
        <f>'[1]2023'!Q140</f>
        <v>#REF!</v>
      </c>
      <c r="BI72" s="27"/>
      <c r="BJ72" s="27"/>
      <c r="BK72" s="27" t="s">
        <v>64</v>
      </c>
      <c r="BL72" s="27"/>
    </row>
    <row r="73" ht="14.25" customHeight="1">
      <c r="A73" s="26" t="s">
        <v>55</v>
      </c>
      <c r="B73" s="26" t="s">
        <v>56</v>
      </c>
      <c r="C73" s="26" t="s">
        <v>57</v>
      </c>
      <c r="D73" s="26" t="s">
        <v>81</v>
      </c>
      <c r="E73" s="27" t="s">
        <v>318</v>
      </c>
      <c r="F73" s="26" t="s">
        <v>319</v>
      </c>
      <c r="G73" s="29" t="s">
        <v>212</v>
      </c>
      <c r="H73" s="30">
        <v>44984.0</v>
      </c>
      <c r="I73" s="30">
        <v>45349.0</v>
      </c>
      <c r="J73" s="31">
        <v>0.0</v>
      </c>
      <c r="K73" s="26" t="s">
        <v>62</v>
      </c>
      <c r="L73" s="32" t="s">
        <v>75</v>
      </c>
      <c r="M73" s="33">
        <v>12390.0</v>
      </c>
      <c r="N73" s="34">
        <v>13262.01</v>
      </c>
      <c r="O73" s="27" t="s">
        <v>76</v>
      </c>
      <c r="P73" s="35" t="s">
        <v>95</v>
      </c>
      <c r="Q73" s="35" t="s">
        <v>90</v>
      </c>
      <c r="R73" s="36" t="e">
        <v>#VALUE!</v>
      </c>
      <c r="S73" s="35" t="s">
        <v>86</v>
      </c>
      <c r="T73" s="35">
        <v>0.0</v>
      </c>
      <c r="U73" s="37" t="s">
        <v>67</v>
      </c>
      <c r="V73" s="38"/>
      <c r="W73" s="38"/>
      <c r="X73" s="27"/>
      <c r="Y73" s="39"/>
      <c r="Z73" s="39"/>
      <c r="AA73" s="39"/>
      <c r="AB73" s="27"/>
      <c r="AC73" s="27">
        <f t="shared" si="1"/>
        <v>0</v>
      </c>
      <c r="AD73" s="41">
        <f t="shared" ref="AD73:AD81" si="51">IF(AND(S73="0",O73="Paid"),M73*15%,0)</f>
        <v>1858.5</v>
      </c>
      <c r="AE73" s="42"/>
      <c r="AF73" s="27"/>
      <c r="AG73" s="43">
        <f t="shared" si="48"/>
        <v>3178.035</v>
      </c>
      <c r="AH73" s="29"/>
      <c r="AI73" s="29"/>
      <c r="AJ73" s="29"/>
      <c r="AK73" s="29"/>
      <c r="AL73" s="27"/>
      <c r="AM73" s="44"/>
      <c r="AN73" s="47"/>
      <c r="AO73" s="37"/>
      <c r="AP73" s="47"/>
      <c r="AQ73" s="43">
        <f t="shared" ref="AQ73:AQ87" si="52">IF(U73="Motor Plus",(M73*27%),IF(U73="Motor One",(M73*22%),(IF(U73="Golden",(M73*25%),(IF(U73="Classic",(M73*15%),(IF(U73="Wethaq",(M73*28%),IF(U73="Alwataniya",(M73*21%))*0))))))))</f>
        <v>3345.3</v>
      </c>
      <c r="AR73" s="43">
        <f t="shared" si="2"/>
        <v>167.265</v>
      </c>
      <c r="AS73" s="43">
        <f t="shared" si="3"/>
        <v>585.4275</v>
      </c>
      <c r="AT73" s="48">
        <f t="shared" si="4"/>
        <v>2592.6075</v>
      </c>
      <c r="AU73" s="49">
        <f t="shared" si="20"/>
        <v>2592.6075</v>
      </c>
      <c r="AV73" s="48"/>
      <c r="AW73" s="34">
        <f t="shared" si="5"/>
        <v>11403.51</v>
      </c>
      <c r="AX73" s="50">
        <f t="shared" si="6"/>
        <v>734.1075</v>
      </c>
      <c r="AY73" s="43"/>
      <c r="AZ73" s="27"/>
      <c r="BA73" s="48">
        <f t="shared" si="42"/>
        <v>2592.6075</v>
      </c>
      <c r="BB73" s="27"/>
      <c r="BC73" s="27"/>
      <c r="BD73" s="51"/>
      <c r="BE73" s="52"/>
      <c r="BF73" s="27" t="s">
        <v>318</v>
      </c>
      <c r="BG73" s="53" t="s">
        <v>320</v>
      </c>
      <c r="BH73" s="53" t="str">
        <f>'[1]2023'!Q174</f>
        <v>#REF!</v>
      </c>
      <c r="BI73" s="27"/>
      <c r="BJ73" s="27"/>
      <c r="BK73" s="27" t="s">
        <v>76</v>
      </c>
      <c r="BL73" s="27"/>
    </row>
    <row r="74" ht="14.25" customHeight="1">
      <c r="A74" s="26" t="s">
        <v>55</v>
      </c>
      <c r="B74" s="26" t="s">
        <v>56</v>
      </c>
      <c r="C74" s="26" t="s">
        <v>57</v>
      </c>
      <c r="D74" s="26" t="s">
        <v>81</v>
      </c>
      <c r="E74" s="27" t="s">
        <v>321</v>
      </c>
      <c r="F74" s="26" t="s">
        <v>322</v>
      </c>
      <c r="G74" s="29" t="s">
        <v>212</v>
      </c>
      <c r="H74" s="30">
        <v>44984.0</v>
      </c>
      <c r="I74" s="30">
        <v>45349.0</v>
      </c>
      <c r="J74" s="31">
        <v>0.0</v>
      </c>
      <c r="K74" s="26" t="s">
        <v>62</v>
      </c>
      <c r="L74" s="32" t="s">
        <v>75</v>
      </c>
      <c r="M74" s="33">
        <v>27140.0</v>
      </c>
      <c r="N74" s="34">
        <v>28882.26</v>
      </c>
      <c r="O74" s="27" t="s">
        <v>76</v>
      </c>
      <c r="P74" s="35" t="s">
        <v>89</v>
      </c>
      <c r="Q74" s="35" t="s">
        <v>90</v>
      </c>
      <c r="R74" s="36" t="e">
        <v>#VALUE!</v>
      </c>
      <c r="S74" s="35" t="s">
        <v>86</v>
      </c>
      <c r="T74" s="35">
        <v>0.0</v>
      </c>
      <c r="U74" s="37" t="s">
        <v>67</v>
      </c>
      <c r="V74" s="38"/>
      <c r="W74" s="38"/>
      <c r="X74" s="27"/>
      <c r="Y74" s="39"/>
      <c r="Z74" s="39"/>
      <c r="AA74" s="39"/>
      <c r="AB74" s="27"/>
      <c r="AC74" s="27">
        <f t="shared" si="1"/>
        <v>0</v>
      </c>
      <c r="AD74" s="41">
        <f t="shared" si="51"/>
        <v>4071</v>
      </c>
      <c r="AE74" s="42"/>
      <c r="AF74" s="59"/>
      <c r="AG74" s="43">
        <f t="shared" si="48"/>
        <v>6961.41</v>
      </c>
      <c r="AH74" s="29"/>
      <c r="AI74" s="29"/>
      <c r="AJ74" s="29"/>
      <c r="AK74" s="29"/>
      <c r="AL74" s="27"/>
      <c r="AM74" s="44"/>
      <c r="AN74" s="47"/>
      <c r="AO74" s="37"/>
      <c r="AP74" s="47"/>
      <c r="AQ74" s="43">
        <f t="shared" si="52"/>
        <v>7327.8</v>
      </c>
      <c r="AR74" s="43">
        <f t="shared" si="2"/>
        <v>366.39</v>
      </c>
      <c r="AS74" s="43">
        <f t="shared" si="3"/>
        <v>1282.365</v>
      </c>
      <c r="AT74" s="48">
        <f t="shared" si="4"/>
        <v>5679.045</v>
      </c>
      <c r="AU74" s="49">
        <f t="shared" si="20"/>
        <v>5679.045</v>
      </c>
      <c r="AV74" s="48"/>
      <c r="AW74" s="34">
        <f t="shared" si="5"/>
        <v>24811.26</v>
      </c>
      <c r="AX74" s="50">
        <f t="shared" si="6"/>
        <v>1608.045</v>
      </c>
      <c r="AY74" s="43"/>
      <c r="AZ74" s="27"/>
      <c r="BA74" s="48">
        <f t="shared" si="42"/>
        <v>5679.045</v>
      </c>
      <c r="BB74" s="27"/>
      <c r="BC74" s="27"/>
      <c r="BD74" s="51"/>
      <c r="BE74" s="52"/>
      <c r="BF74" s="27" t="s">
        <v>321</v>
      </c>
      <c r="BG74" s="58" t="s">
        <v>323</v>
      </c>
      <c r="BH74" s="53" t="str">
        <f>'[1]2023'!Q177</f>
        <v>#REF!</v>
      </c>
      <c r="BI74" s="27"/>
      <c r="BJ74" s="27"/>
      <c r="BK74" s="27" t="s">
        <v>76</v>
      </c>
      <c r="BL74" s="27"/>
    </row>
    <row r="75" ht="14.25" customHeight="1">
      <c r="A75" s="26" t="s">
        <v>55</v>
      </c>
      <c r="B75" s="26" t="s">
        <v>56</v>
      </c>
      <c r="C75" s="26" t="s">
        <v>57</v>
      </c>
      <c r="D75" s="26" t="s">
        <v>81</v>
      </c>
      <c r="E75" s="27" t="s">
        <v>324</v>
      </c>
      <c r="F75" s="26" t="s">
        <v>325</v>
      </c>
      <c r="G75" s="29" t="s">
        <v>212</v>
      </c>
      <c r="H75" s="30">
        <v>44984.0</v>
      </c>
      <c r="I75" s="30">
        <v>45349.0</v>
      </c>
      <c r="J75" s="31">
        <v>0.0</v>
      </c>
      <c r="K75" s="26" t="s">
        <v>62</v>
      </c>
      <c r="L75" s="32" t="s">
        <v>75</v>
      </c>
      <c r="M75" s="33">
        <v>15300.0</v>
      </c>
      <c r="N75" s="34">
        <v>16343.7</v>
      </c>
      <c r="O75" s="27" t="s">
        <v>76</v>
      </c>
      <c r="P75" s="35" t="s">
        <v>89</v>
      </c>
      <c r="Q75" s="35" t="s">
        <v>85</v>
      </c>
      <c r="R75" s="36" t="e">
        <v>#VALUE!</v>
      </c>
      <c r="S75" s="35" t="s">
        <v>86</v>
      </c>
      <c r="T75" s="35">
        <v>0.0</v>
      </c>
      <c r="U75" s="37" t="s">
        <v>67</v>
      </c>
      <c r="V75" s="38"/>
      <c r="W75" s="38"/>
      <c r="X75" s="27"/>
      <c r="Y75" s="39"/>
      <c r="Z75" s="39"/>
      <c r="AA75" s="39"/>
      <c r="AB75" s="27"/>
      <c r="AC75" s="27">
        <f t="shared" si="1"/>
        <v>0</v>
      </c>
      <c r="AD75" s="41">
        <f t="shared" si="51"/>
        <v>2295</v>
      </c>
      <c r="AE75" s="42"/>
      <c r="AF75" s="29">
        <v>45049.0</v>
      </c>
      <c r="AG75" s="43">
        <f t="shared" si="48"/>
        <v>3924.45</v>
      </c>
      <c r="AH75" s="29"/>
      <c r="AI75" s="29"/>
      <c r="AJ75" s="29"/>
      <c r="AK75" s="29"/>
      <c r="AL75" s="27"/>
      <c r="AM75" s="44"/>
      <c r="AN75" s="47"/>
      <c r="AO75" s="46"/>
      <c r="AP75" s="47"/>
      <c r="AQ75" s="43">
        <f t="shared" si="52"/>
        <v>4131</v>
      </c>
      <c r="AR75" s="43">
        <f t="shared" si="2"/>
        <v>206.55</v>
      </c>
      <c r="AS75" s="43">
        <f t="shared" si="3"/>
        <v>722.925</v>
      </c>
      <c r="AT75" s="48">
        <f t="shared" si="4"/>
        <v>3201.525</v>
      </c>
      <c r="AU75" s="49">
        <f t="shared" si="20"/>
        <v>3201.525</v>
      </c>
      <c r="AV75" s="48"/>
      <c r="AW75" s="34">
        <f t="shared" si="5"/>
        <v>14048.7</v>
      </c>
      <c r="AX75" s="50">
        <f t="shared" si="6"/>
        <v>906.525</v>
      </c>
      <c r="AY75" s="43"/>
      <c r="AZ75" s="27"/>
      <c r="BA75" s="48">
        <f t="shared" si="42"/>
        <v>3201.525</v>
      </c>
      <c r="BB75" s="27"/>
      <c r="BC75" s="27"/>
      <c r="BD75" s="51"/>
      <c r="BE75" s="52"/>
      <c r="BF75" s="27" t="s">
        <v>324</v>
      </c>
      <c r="BG75" s="58" t="s">
        <v>326</v>
      </c>
      <c r="BH75" s="53" t="str">
        <f>'[1]2023'!Q194</f>
        <v>#REF!</v>
      </c>
      <c r="BI75" s="27"/>
      <c r="BJ75" s="27"/>
      <c r="BK75" s="27" t="s">
        <v>76</v>
      </c>
      <c r="BL75" s="27" t="s">
        <v>138</v>
      </c>
    </row>
    <row r="76" ht="14.25" customHeight="1">
      <c r="A76" s="26" t="s">
        <v>55</v>
      </c>
      <c r="B76" s="26" t="s">
        <v>56</v>
      </c>
      <c r="C76" s="26" t="s">
        <v>57</v>
      </c>
      <c r="D76" s="26" t="s">
        <v>81</v>
      </c>
      <c r="E76" s="27" t="s">
        <v>327</v>
      </c>
      <c r="F76" s="26" t="s">
        <v>328</v>
      </c>
      <c r="G76" s="29" t="s">
        <v>212</v>
      </c>
      <c r="H76" s="30">
        <v>44984.0</v>
      </c>
      <c r="I76" s="30">
        <v>45349.0</v>
      </c>
      <c r="J76" s="31">
        <v>0.0</v>
      </c>
      <c r="K76" s="26" t="s">
        <v>62</v>
      </c>
      <c r="L76" s="32" t="s">
        <v>75</v>
      </c>
      <c r="M76" s="33">
        <v>18880.0</v>
      </c>
      <c r="N76" s="34">
        <v>20134.92</v>
      </c>
      <c r="O76" s="27" t="s">
        <v>76</v>
      </c>
      <c r="P76" s="35" t="s">
        <v>122</v>
      </c>
      <c r="Q76" s="35" t="s">
        <v>90</v>
      </c>
      <c r="R76" s="36" t="e">
        <v>#VALUE!</v>
      </c>
      <c r="S76" s="35" t="s">
        <v>86</v>
      </c>
      <c r="T76" s="35">
        <v>0.0</v>
      </c>
      <c r="U76" s="37" t="s">
        <v>67</v>
      </c>
      <c r="V76" s="38"/>
      <c r="W76" s="38"/>
      <c r="X76" s="27"/>
      <c r="Y76" s="39"/>
      <c r="Z76" s="39"/>
      <c r="AA76" s="39"/>
      <c r="AB76" s="27"/>
      <c r="AC76" s="27">
        <f t="shared" si="1"/>
        <v>0</v>
      </c>
      <c r="AD76" s="41">
        <f t="shared" si="51"/>
        <v>2832</v>
      </c>
      <c r="AE76" s="42"/>
      <c r="AF76" s="27"/>
      <c r="AG76" s="43">
        <f t="shared" si="48"/>
        <v>4842.72</v>
      </c>
      <c r="AH76" s="29"/>
      <c r="AI76" s="29"/>
      <c r="AJ76" s="29"/>
      <c r="AK76" s="29"/>
      <c r="AL76" s="27"/>
      <c r="AM76" s="44"/>
      <c r="AN76" s="47"/>
      <c r="AO76" s="46"/>
      <c r="AP76" s="47"/>
      <c r="AQ76" s="43">
        <f t="shared" si="52"/>
        <v>5097.6</v>
      </c>
      <c r="AR76" s="43">
        <f t="shared" si="2"/>
        <v>254.88</v>
      </c>
      <c r="AS76" s="43">
        <f t="shared" si="3"/>
        <v>892.08</v>
      </c>
      <c r="AT76" s="48">
        <f t="shared" si="4"/>
        <v>3950.64</v>
      </c>
      <c r="AU76" s="49">
        <f t="shared" si="20"/>
        <v>3950.64</v>
      </c>
      <c r="AV76" s="48"/>
      <c r="AW76" s="34">
        <f t="shared" si="5"/>
        <v>17302.92</v>
      </c>
      <c r="AX76" s="50">
        <f t="shared" si="6"/>
        <v>1118.64</v>
      </c>
      <c r="AY76" s="43"/>
      <c r="AZ76" s="27"/>
      <c r="BA76" s="48">
        <f t="shared" si="42"/>
        <v>3950.64</v>
      </c>
      <c r="BB76" s="27"/>
      <c r="BC76" s="27"/>
      <c r="BD76" s="51"/>
      <c r="BE76" s="52"/>
      <c r="BF76" s="27" t="s">
        <v>327</v>
      </c>
      <c r="BG76" s="53" t="s">
        <v>329</v>
      </c>
      <c r="BH76" s="53" t="str">
        <f>'[1]2023'!Q251</f>
        <v>#REF!</v>
      </c>
      <c r="BI76" s="27"/>
      <c r="BJ76" s="27"/>
      <c r="BK76" s="27" t="s">
        <v>76</v>
      </c>
      <c r="BL76" s="27"/>
    </row>
    <row r="77" ht="14.25" customHeight="1">
      <c r="A77" s="26" t="s">
        <v>55</v>
      </c>
      <c r="B77" s="26" t="s">
        <v>56</v>
      </c>
      <c r="C77" s="26" t="s">
        <v>57</v>
      </c>
      <c r="D77" s="26" t="s">
        <v>81</v>
      </c>
      <c r="E77" s="27" t="s">
        <v>330</v>
      </c>
      <c r="F77" s="26" t="s">
        <v>331</v>
      </c>
      <c r="G77" s="29" t="s">
        <v>212</v>
      </c>
      <c r="H77" s="30">
        <v>44984.0</v>
      </c>
      <c r="I77" s="30">
        <v>45349.0</v>
      </c>
      <c r="J77" s="31">
        <v>0.0</v>
      </c>
      <c r="K77" s="26" t="s">
        <v>62</v>
      </c>
      <c r="L77" s="32" t="s">
        <v>75</v>
      </c>
      <c r="M77" s="33">
        <v>18585.0</v>
      </c>
      <c r="N77" s="34">
        <v>19822.52</v>
      </c>
      <c r="O77" s="27" t="s">
        <v>76</v>
      </c>
      <c r="P77" s="35" t="s">
        <v>122</v>
      </c>
      <c r="Q77" s="35">
        <v>0.0</v>
      </c>
      <c r="R77" s="36" t="e">
        <v>#VALUE!</v>
      </c>
      <c r="S77" s="35" t="s">
        <v>86</v>
      </c>
      <c r="T77" s="35">
        <v>0.0</v>
      </c>
      <c r="U77" s="37" t="s">
        <v>67</v>
      </c>
      <c r="V77" s="38"/>
      <c r="W77" s="38"/>
      <c r="X77" s="27"/>
      <c r="Y77" s="39"/>
      <c r="Z77" s="39"/>
      <c r="AA77" s="39"/>
      <c r="AB77" s="27"/>
      <c r="AC77" s="27">
        <f t="shared" si="1"/>
        <v>0</v>
      </c>
      <c r="AD77" s="41">
        <f t="shared" si="51"/>
        <v>2787.75</v>
      </c>
      <c r="AE77" s="42"/>
      <c r="AF77" s="27"/>
      <c r="AG77" s="43">
        <f t="shared" si="48"/>
        <v>4767.0525</v>
      </c>
      <c r="AH77" s="29"/>
      <c r="AI77" s="29"/>
      <c r="AJ77" s="29"/>
      <c r="AK77" s="29"/>
      <c r="AL77" s="27"/>
      <c r="AM77" s="44"/>
      <c r="AN77" s="47"/>
      <c r="AO77" s="46"/>
      <c r="AP77" s="47"/>
      <c r="AQ77" s="43">
        <f t="shared" si="52"/>
        <v>5017.95</v>
      </c>
      <c r="AR77" s="43">
        <f t="shared" si="2"/>
        <v>250.8975</v>
      </c>
      <c r="AS77" s="43">
        <f t="shared" si="3"/>
        <v>878.14125</v>
      </c>
      <c r="AT77" s="48">
        <f t="shared" si="4"/>
        <v>3888.91125</v>
      </c>
      <c r="AU77" s="49">
        <f t="shared" si="20"/>
        <v>3888.91125</v>
      </c>
      <c r="AV77" s="48"/>
      <c r="AW77" s="34">
        <f t="shared" si="5"/>
        <v>17034.77</v>
      </c>
      <c r="AX77" s="50">
        <f t="shared" si="6"/>
        <v>1101.16125</v>
      </c>
      <c r="AY77" s="43"/>
      <c r="AZ77" s="27"/>
      <c r="BA77" s="48">
        <f t="shared" si="42"/>
        <v>3888.91125</v>
      </c>
      <c r="BB77" s="27"/>
      <c r="BC77" s="27"/>
      <c r="BD77" s="51"/>
      <c r="BE77" s="52"/>
      <c r="BF77" s="27" t="s">
        <v>330</v>
      </c>
      <c r="BG77" s="53" t="s">
        <v>256</v>
      </c>
      <c r="BH77" s="53" t="str">
        <f>'[1]2023'!Q253</f>
        <v>#REF!</v>
      </c>
      <c r="BI77" s="27"/>
      <c r="BJ77" s="27"/>
      <c r="BK77" s="27" t="s">
        <v>76</v>
      </c>
      <c r="BL77" s="27"/>
    </row>
    <row r="78" ht="14.25" customHeight="1">
      <c r="A78" s="26" t="s">
        <v>55</v>
      </c>
      <c r="B78" s="26" t="s">
        <v>56</v>
      </c>
      <c r="C78" s="26" t="s">
        <v>57</v>
      </c>
      <c r="D78" s="26" t="s">
        <v>71</v>
      </c>
      <c r="E78" s="27" t="s">
        <v>332</v>
      </c>
      <c r="F78" s="28" t="s">
        <v>333</v>
      </c>
      <c r="G78" s="29" t="s">
        <v>212</v>
      </c>
      <c r="H78" s="30">
        <v>44984.0</v>
      </c>
      <c r="I78" s="30">
        <v>45349.0</v>
      </c>
      <c r="J78" s="31" t="s">
        <v>334</v>
      </c>
      <c r="K78" s="26" t="s">
        <v>62</v>
      </c>
      <c r="L78" s="32" t="s">
        <v>335</v>
      </c>
      <c r="M78" s="33">
        <v>43875.0</v>
      </c>
      <c r="N78" s="34">
        <v>46604.63</v>
      </c>
      <c r="O78" s="27" t="s">
        <v>76</v>
      </c>
      <c r="P78" s="35" t="s">
        <v>142</v>
      </c>
      <c r="Q78" s="35" t="s">
        <v>108</v>
      </c>
      <c r="R78" s="36" t="e">
        <v>#VALUE!</v>
      </c>
      <c r="S78" s="35" t="s">
        <v>86</v>
      </c>
      <c r="T78" s="35">
        <v>0.0</v>
      </c>
      <c r="U78" s="37" t="s">
        <v>67</v>
      </c>
      <c r="V78" s="38">
        <v>1350000.0</v>
      </c>
      <c r="W78" s="78">
        <v>56756.0</v>
      </c>
      <c r="X78" s="27">
        <v>2022.0</v>
      </c>
      <c r="Y78" s="39"/>
      <c r="Z78" s="79" t="s">
        <v>336</v>
      </c>
      <c r="AA78" s="39"/>
      <c r="AB78" s="40"/>
      <c r="AC78" s="27">
        <f t="shared" si="1"/>
        <v>0</v>
      </c>
      <c r="AD78" s="41">
        <f t="shared" si="51"/>
        <v>6581.25</v>
      </c>
      <c r="AE78" s="42">
        <v>650.0</v>
      </c>
      <c r="AF78" s="27" t="s">
        <v>75</v>
      </c>
      <c r="AG78" s="43">
        <f t="shared" si="48"/>
        <v>11253.9375</v>
      </c>
      <c r="AH78" s="29"/>
      <c r="AI78" s="29"/>
      <c r="AJ78" s="29"/>
      <c r="AK78" s="29"/>
      <c r="AL78" s="77"/>
      <c r="AM78" s="44"/>
      <c r="AN78" s="47"/>
      <c r="AO78" s="46"/>
      <c r="AP78" s="47"/>
      <c r="AQ78" s="43">
        <f t="shared" si="52"/>
        <v>11846.25</v>
      </c>
      <c r="AR78" s="43">
        <f t="shared" si="2"/>
        <v>592.3125</v>
      </c>
      <c r="AS78" s="43">
        <f t="shared" si="3"/>
        <v>2073.09375</v>
      </c>
      <c r="AT78" s="48">
        <f t="shared" si="4"/>
        <v>9180.84375</v>
      </c>
      <c r="AU78" s="49">
        <f t="shared" si="20"/>
        <v>9180.84375</v>
      </c>
      <c r="AV78" s="48"/>
      <c r="AW78" s="85">
        <f t="shared" si="5"/>
        <v>39373.38</v>
      </c>
      <c r="AX78" s="50">
        <f t="shared" si="6"/>
        <v>1949.59375</v>
      </c>
      <c r="AY78" s="43"/>
      <c r="AZ78" s="27"/>
      <c r="BA78" s="48">
        <f t="shared" si="42"/>
        <v>9180.84375</v>
      </c>
      <c r="BB78" s="27"/>
      <c r="BC78" s="27"/>
      <c r="BD78" s="51"/>
      <c r="BE78" s="52"/>
      <c r="BF78" s="27" t="s">
        <v>332</v>
      </c>
      <c r="BG78" s="58" t="s">
        <v>337</v>
      </c>
      <c r="BH78" s="53" t="str">
        <f>'[1]2023'!Q292</f>
        <v>#REF!</v>
      </c>
      <c r="BI78" s="27"/>
      <c r="BJ78" s="27"/>
      <c r="BK78" s="27" t="s">
        <v>76</v>
      </c>
      <c r="BL78" s="86">
        <v>1350000.0</v>
      </c>
    </row>
    <row r="79" ht="14.25" customHeight="1">
      <c r="A79" s="26" t="s">
        <v>55</v>
      </c>
      <c r="B79" s="26" t="s">
        <v>56</v>
      </c>
      <c r="C79" s="26" t="s">
        <v>57</v>
      </c>
      <c r="D79" s="26" t="s">
        <v>81</v>
      </c>
      <c r="E79" s="27" t="s">
        <v>338</v>
      </c>
      <c r="F79" s="26" t="s">
        <v>339</v>
      </c>
      <c r="G79" s="29" t="s">
        <v>206</v>
      </c>
      <c r="H79" s="30">
        <v>44985.0</v>
      </c>
      <c r="I79" s="30">
        <v>45350.0</v>
      </c>
      <c r="J79" s="31">
        <v>0.0</v>
      </c>
      <c r="K79" s="26" t="s">
        <v>62</v>
      </c>
      <c r="L79" s="32" t="s">
        <v>75</v>
      </c>
      <c r="M79" s="33">
        <v>28320.0</v>
      </c>
      <c r="N79" s="34">
        <v>30131.88</v>
      </c>
      <c r="O79" s="27" t="s">
        <v>76</v>
      </c>
      <c r="P79" s="35" t="s">
        <v>104</v>
      </c>
      <c r="Q79" s="35" t="s">
        <v>90</v>
      </c>
      <c r="R79" s="36" t="e">
        <v>#VALUE!</v>
      </c>
      <c r="S79" s="35" t="s">
        <v>86</v>
      </c>
      <c r="T79" s="35">
        <v>0.0</v>
      </c>
      <c r="U79" s="37" t="s">
        <v>67</v>
      </c>
      <c r="V79" s="38"/>
      <c r="W79" s="38"/>
      <c r="X79" s="27"/>
      <c r="Y79" s="39"/>
      <c r="Z79" s="39"/>
      <c r="AA79" s="39"/>
      <c r="AB79" s="27"/>
      <c r="AC79" s="27">
        <f t="shared" si="1"/>
        <v>0</v>
      </c>
      <c r="AD79" s="41">
        <f t="shared" si="51"/>
        <v>4248</v>
      </c>
      <c r="AE79" s="42"/>
      <c r="AF79" s="27"/>
      <c r="AG79" s="43">
        <f t="shared" si="48"/>
        <v>7264.08</v>
      </c>
      <c r="AH79" s="29"/>
      <c r="AI79" s="29"/>
      <c r="AJ79" s="29"/>
      <c r="AK79" s="29"/>
      <c r="AL79" s="27"/>
      <c r="AM79" s="44"/>
      <c r="AN79" s="47"/>
      <c r="AO79" s="46"/>
      <c r="AP79" s="47"/>
      <c r="AQ79" s="43">
        <f t="shared" si="52"/>
        <v>7646.4</v>
      </c>
      <c r="AR79" s="43">
        <f t="shared" si="2"/>
        <v>382.32</v>
      </c>
      <c r="AS79" s="43">
        <f t="shared" si="3"/>
        <v>1338.12</v>
      </c>
      <c r="AT79" s="48">
        <f t="shared" si="4"/>
        <v>5925.96</v>
      </c>
      <c r="AU79" s="49">
        <f t="shared" si="20"/>
        <v>5925.96</v>
      </c>
      <c r="AV79" s="48"/>
      <c r="AW79" s="34">
        <f t="shared" si="5"/>
        <v>25883.88</v>
      </c>
      <c r="AX79" s="50">
        <f t="shared" si="6"/>
        <v>1677.96</v>
      </c>
      <c r="AY79" s="43"/>
      <c r="AZ79" s="27"/>
      <c r="BA79" s="48">
        <f t="shared" si="42"/>
        <v>5925.96</v>
      </c>
      <c r="BB79" s="27"/>
      <c r="BC79" s="27"/>
      <c r="BD79" s="51"/>
      <c r="BE79" s="52"/>
      <c r="BF79" s="27" t="s">
        <v>338</v>
      </c>
      <c r="BG79" s="53" t="s">
        <v>206</v>
      </c>
      <c r="BH79" s="53" t="str">
        <f>'[1]2023'!Q237</f>
        <v>#REF!</v>
      </c>
      <c r="BI79" s="27"/>
      <c r="BJ79" s="27"/>
      <c r="BK79" s="27" t="s">
        <v>76</v>
      </c>
      <c r="BL79" s="27"/>
    </row>
    <row r="80" ht="14.25" customHeight="1">
      <c r="A80" s="26" t="s">
        <v>55</v>
      </c>
      <c r="B80" s="26" t="s">
        <v>56</v>
      </c>
      <c r="C80" s="26" t="s">
        <v>57</v>
      </c>
      <c r="D80" s="26" t="s">
        <v>81</v>
      </c>
      <c r="E80" s="27" t="s">
        <v>340</v>
      </c>
      <c r="F80" s="26" t="s">
        <v>341</v>
      </c>
      <c r="G80" s="29" t="s">
        <v>206</v>
      </c>
      <c r="H80" s="30">
        <v>44985.0</v>
      </c>
      <c r="I80" s="30">
        <v>45350.0</v>
      </c>
      <c r="J80" s="31">
        <v>0.0</v>
      </c>
      <c r="K80" s="26" t="s">
        <v>62</v>
      </c>
      <c r="L80" s="32" t="s">
        <v>75</v>
      </c>
      <c r="M80" s="33">
        <v>22000.0</v>
      </c>
      <c r="N80" s="34">
        <v>23439.0</v>
      </c>
      <c r="O80" s="27" t="s">
        <v>76</v>
      </c>
      <c r="P80" s="35" t="s">
        <v>89</v>
      </c>
      <c r="Q80" s="35" t="s">
        <v>108</v>
      </c>
      <c r="R80" s="36" t="e">
        <v>#VALUE!</v>
      </c>
      <c r="S80" s="35" t="s">
        <v>86</v>
      </c>
      <c r="T80" s="35">
        <v>0.0</v>
      </c>
      <c r="U80" s="37" t="s">
        <v>67</v>
      </c>
      <c r="V80" s="38"/>
      <c r="W80" s="38"/>
      <c r="X80" s="27"/>
      <c r="Y80" s="39"/>
      <c r="Z80" s="39"/>
      <c r="AA80" s="39"/>
      <c r="AB80" s="27"/>
      <c r="AC80" s="27">
        <f t="shared" si="1"/>
        <v>0</v>
      </c>
      <c r="AD80" s="41">
        <f t="shared" si="51"/>
        <v>3300</v>
      </c>
      <c r="AE80" s="42"/>
      <c r="AF80" s="27" t="s">
        <v>296</v>
      </c>
      <c r="AG80" s="43">
        <f t="shared" si="48"/>
        <v>5643</v>
      </c>
      <c r="AH80" s="29"/>
      <c r="AI80" s="29"/>
      <c r="AJ80" s="29"/>
      <c r="AK80" s="29"/>
      <c r="AL80" s="27"/>
      <c r="AM80" s="44"/>
      <c r="AN80" s="47"/>
      <c r="AO80" s="46"/>
      <c r="AP80" s="47"/>
      <c r="AQ80" s="43">
        <f t="shared" si="52"/>
        <v>5940</v>
      </c>
      <c r="AR80" s="43">
        <f t="shared" si="2"/>
        <v>297</v>
      </c>
      <c r="AS80" s="43">
        <f t="shared" si="3"/>
        <v>1039.5</v>
      </c>
      <c r="AT80" s="48">
        <f t="shared" si="4"/>
        <v>4603.5</v>
      </c>
      <c r="AU80" s="49">
        <f t="shared" si="20"/>
        <v>4603.5</v>
      </c>
      <c r="AV80" s="48"/>
      <c r="AW80" s="34">
        <f t="shared" si="5"/>
        <v>20139</v>
      </c>
      <c r="AX80" s="50">
        <f t="shared" si="6"/>
        <v>1303.5</v>
      </c>
      <c r="AY80" s="84"/>
      <c r="AZ80" s="27"/>
      <c r="BA80" s="48">
        <f t="shared" si="42"/>
        <v>4603.5</v>
      </c>
      <c r="BB80" s="27"/>
      <c r="BC80" s="27"/>
      <c r="BD80" s="51"/>
      <c r="BE80" s="52"/>
      <c r="BF80" s="27" t="s">
        <v>340</v>
      </c>
      <c r="BG80" s="53">
        <v>0.0</v>
      </c>
      <c r="BH80" s="53" t="str">
        <f>'[1]2023'!Q250</f>
        <v>#REF!</v>
      </c>
      <c r="BI80" s="27"/>
      <c r="BJ80" s="27"/>
      <c r="BK80" s="27" t="s">
        <v>76</v>
      </c>
      <c r="BL80" s="27"/>
    </row>
    <row r="81" ht="14.25" customHeight="1">
      <c r="A81" s="26" t="s">
        <v>55</v>
      </c>
      <c r="B81" s="26" t="s">
        <v>56</v>
      </c>
      <c r="C81" s="26" t="s">
        <v>57</v>
      </c>
      <c r="D81" s="26" t="s">
        <v>81</v>
      </c>
      <c r="E81" s="27" t="s">
        <v>342</v>
      </c>
      <c r="F81" s="26" t="s">
        <v>343</v>
      </c>
      <c r="G81" s="29" t="s">
        <v>206</v>
      </c>
      <c r="H81" s="30">
        <v>44985.0</v>
      </c>
      <c r="I81" s="30">
        <v>45350.0</v>
      </c>
      <c r="J81" s="31">
        <v>0.0</v>
      </c>
      <c r="K81" s="26" t="s">
        <v>62</v>
      </c>
      <c r="L81" s="32" t="s">
        <v>75</v>
      </c>
      <c r="M81" s="33">
        <v>14160.0</v>
      </c>
      <c r="N81" s="34">
        <v>15139.44</v>
      </c>
      <c r="O81" s="27" t="s">
        <v>76</v>
      </c>
      <c r="P81" s="35" t="s">
        <v>122</v>
      </c>
      <c r="Q81" s="35" t="s">
        <v>85</v>
      </c>
      <c r="R81" s="36" t="e">
        <v>#VALUE!</v>
      </c>
      <c r="S81" s="35" t="s">
        <v>86</v>
      </c>
      <c r="T81" s="35">
        <v>0.0</v>
      </c>
      <c r="U81" s="37" t="s">
        <v>67</v>
      </c>
      <c r="V81" s="38"/>
      <c r="W81" s="38"/>
      <c r="X81" s="27"/>
      <c r="Y81" s="39"/>
      <c r="Z81" s="39"/>
      <c r="AA81" s="39"/>
      <c r="AB81" s="27"/>
      <c r="AC81" s="27">
        <f t="shared" si="1"/>
        <v>0</v>
      </c>
      <c r="AD81" s="41">
        <f t="shared" si="51"/>
        <v>2124</v>
      </c>
      <c r="AE81" s="42"/>
      <c r="AF81" s="29">
        <v>45049.0</v>
      </c>
      <c r="AG81" s="43">
        <f t="shared" si="48"/>
        <v>3632.04</v>
      </c>
      <c r="AH81" s="29"/>
      <c r="AI81" s="29"/>
      <c r="AJ81" s="29"/>
      <c r="AK81" s="29"/>
      <c r="AL81" s="27"/>
      <c r="AM81" s="44"/>
      <c r="AN81" s="47"/>
      <c r="AO81" s="46"/>
      <c r="AP81" s="47"/>
      <c r="AQ81" s="43">
        <f t="shared" si="52"/>
        <v>3823.2</v>
      </c>
      <c r="AR81" s="43">
        <f t="shared" si="2"/>
        <v>191.16</v>
      </c>
      <c r="AS81" s="43">
        <f t="shared" si="3"/>
        <v>669.06</v>
      </c>
      <c r="AT81" s="48">
        <f t="shared" si="4"/>
        <v>2962.98</v>
      </c>
      <c r="AU81" s="49">
        <f t="shared" si="20"/>
        <v>2962.98</v>
      </c>
      <c r="AV81" s="48"/>
      <c r="AW81" s="34">
        <f t="shared" si="5"/>
        <v>13015.44</v>
      </c>
      <c r="AX81" s="50">
        <f t="shared" si="6"/>
        <v>838.98</v>
      </c>
      <c r="AY81" s="43"/>
      <c r="AZ81" s="27"/>
      <c r="BA81" s="48">
        <f t="shared" si="42"/>
        <v>2962.98</v>
      </c>
      <c r="BB81" s="27"/>
      <c r="BC81" s="27"/>
      <c r="BD81" s="51"/>
      <c r="BE81" s="52"/>
      <c r="BF81" s="27" t="s">
        <v>342</v>
      </c>
      <c r="BG81" s="53" t="s">
        <v>344</v>
      </c>
      <c r="BH81" s="53" t="str">
        <f>'[1]2023'!Q252</f>
        <v>#REF!</v>
      </c>
      <c r="BI81" s="27"/>
      <c r="BJ81" s="27"/>
      <c r="BK81" s="27" t="s">
        <v>76</v>
      </c>
      <c r="BL81" s="27" t="s">
        <v>138</v>
      </c>
    </row>
    <row r="82" ht="14.25" customHeight="1">
      <c r="A82" s="26" t="s">
        <v>55</v>
      </c>
      <c r="B82" s="26" t="s">
        <v>56</v>
      </c>
      <c r="C82" s="26" t="s">
        <v>57</v>
      </c>
      <c r="D82" s="26" t="s">
        <v>81</v>
      </c>
      <c r="E82" s="27" t="s">
        <v>345</v>
      </c>
      <c r="F82" s="28" t="s">
        <v>346</v>
      </c>
      <c r="G82" s="29">
        <v>44985.0</v>
      </c>
      <c r="H82" s="30">
        <v>44985.0</v>
      </c>
      <c r="I82" s="30">
        <v>45350.0</v>
      </c>
      <c r="J82" s="31" t="s">
        <v>347</v>
      </c>
      <c r="K82" s="26" t="s">
        <v>62</v>
      </c>
      <c r="L82" s="32" t="s">
        <v>75</v>
      </c>
      <c r="M82" s="33">
        <v>16150.0</v>
      </c>
      <c r="N82" s="34">
        <v>17243.85</v>
      </c>
      <c r="O82" s="27" t="s">
        <v>76</v>
      </c>
      <c r="P82" s="35" t="s">
        <v>95</v>
      </c>
      <c r="Q82" s="35" t="s">
        <v>65</v>
      </c>
      <c r="R82" s="36">
        <v>44985.0</v>
      </c>
      <c r="S82" s="35" t="s">
        <v>86</v>
      </c>
      <c r="T82" s="35">
        <v>0.0</v>
      </c>
      <c r="U82" s="37" t="s">
        <v>67</v>
      </c>
      <c r="V82" s="38"/>
      <c r="W82" s="38"/>
      <c r="X82" s="27"/>
      <c r="Y82" s="39"/>
      <c r="Z82" s="39"/>
      <c r="AA82" s="39"/>
      <c r="AB82" s="40"/>
      <c r="AC82" s="27">
        <f t="shared" si="1"/>
        <v>0</v>
      </c>
      <c r="AD82" s="41"/>
      <c r="AE82" s="42"/>
      <c r="AF82" s="27"/>
      <c r="AG82" s="43">
        <f t="shared" si="48"/>
        <v>4142.475</v>
      </c>
      <c r="AH82" s="29"/>
      <c r="AI82" s="29"/>
      <c r="AJ82" s="29"/>
      <c r="AK82" s="29"/>
      <c r="AL82" s="27"/>
      <c r="AM82" s="44"/>
      <c r="AN82" s="47"/>
      <c r="AO82" s="46"/>
      <c r="AP82" s="47"/>
      <c r="AQ82" s="43">
        <f t="shared" si="52"/>
        <v>4360.5</v>
      </c>
      <c r="AR82" s="43">
        <f t="shared" si="2"/>
        <v>218.025</v>
      </c>
      <c r="AS82" s="43">
        <f t="shared" si="3"/>
        <v>763.0875</v>
      </c>
      <c r="AT82" s="48">
        <f t="shared" si="4"/>
        <v>3379.3875</v>
      </c>
      <c r="AU82" s="49">
        <f t="shared" si="20"/>
        <v>3379.3875</v>
      </c>
      <c r="AV82" s="48"/>
      <c r="AW82" s="34">
        <f t="shared" si="5"/>
        <v>17243.85</v>
      </c>
      <c r="AX82" s="50">
        <f t="shared" si="6"/>
        <v>3379.3875</v>
      </c>
      <c r="AY82" s="43"/>
      <c r="AZ82" s="27"/>
      <c r="BA82" s="48">
        <f t="shared" si="42"/>
        <v>3379.3875</v>
      </c>
      <c r="BB82" s="27"/>
      <c r="BC82" s="27"/>
      <c r="BD82" s="51"/>
      <c r="BE82" s="52"/>
      <c r="BF82" s="27" t="s">
        <v>345</v>
      </c>
      <c r="BG82" s="58" t="s">
        <v>348</v>
      </c>
      <c r="BH82" s="53" t="str">
        <f>'[1]2023'!Q279</f>
        <v>#REF!</v>
      </c>
      <c r="BI82" s="27"/>
      <c r="BJ82" s="27"/>
      <c r="BK82" s="27" t="s">
        <v>76</v>
      </c>
      <c r="BL82" s="27"/>
    </row>
    <row r="83" ht="14.25" customHeight="1">
      <c r="A83" s="26" t="s">
        <v>55</v>
      </c>
      <c r="B83" s="26" t="s">
        <v>56</v>
      </c>
      <c r="C83" s="26" t="s">
        <v>57</v>
      </c>
      <c r="D83" s="26" t="s">
        <v>81</v>
      </c>
      <c r="E83" s="27" t="s">
        <v>349</v>
      </c>
      <c r="F83" s="26" t="s">
        <v>350</v>
      </c>
      <c r="G83" s="29">
        <v>44986.0</v>
      </c>
      <c r="H83" s="30">
        <v>44986.0</v>
      </c>
      <c r="I83" s="30">
        <v>45351.0</v>
      </c>
      <c r="J83" s="31" t="s">
        <v>351</v>
      </c>
      <c r="K83" s="26" t="s">
        <v>352</v>
      </c>
      <c r="L83" s="32" t="s">
        <v>75</v>
      </c>
      <c r="M83" s="33">
        <v>17600.0</v>
      </c>
      <c r="N83" s="34">
        <v>18779.4</v>
      </c>
      <c r="O83" s="27" t="s">
        <v>76</v>
      </c>
      <c r="P83" s="35" t="s">
        <v>89</v>
      </c>
      <c r="Q83" s="35" t="s">
        <v>108</v>
      </c>
      <c r="R83" s="36">
        <v>44986.0</v>
      </c>
      <c r="S83" s="35" t="s">
        <v>86</v>
      </c>
      <c r="T83" s="35">
        <v>0.0</v>
      </c>
      <c r="U83" s="37" t="s">
        <v>67</v>
      </c>
      <c r="V83" s="38"/>
      <c r="W83" s="38"/>
      <c r="X83" s="27"/>
      <c r="Y83" s="39"/>
      <c r="Z83" s="39"/>
      <c r="AA83" s="39"/>
      <c r="AB83" s="40"/>
      <c r="AC83" s="27">
        <f t="shared" si="1"/>
        <v>0</v>
      </c>
      <c r="AD83" s="41">
        <f t="shared" ref="AD83:AD85" si="53">IF(AND(S83="0",O83="Paid"),M83*15%,0)</f>
        <v>2640</v>
      </c>
      <c r="AE83" s="42"/>
      <c r="AF83" s="27" t="s">
        <v>296</v>
      </c>
      <c r="AG83" s="43">
        <f t="shared" si="48"/>
        <v>4514.4</v>
      </c>
      <c r="AH83" s="29"/>
      <c r="AI83" s="29"/>
      <c r="AJ83" s="29"/>
      <c r="AK83" s="29"/>
      <c r="AL83" s="27"/>
      <c r="AM83" s="44"/>
      <c r="AN83" s="47"/>
      <c r="AO83" s="46"/>
      <c r="AP83" s="47"/>
      <c r="AQ83" s="43">
        <f t="shared" si="52"/>
        <v>4752</v>
      </c>
      <c r="AR83" s="43">
        <f t="shared" si="2"/>
        <v>237.6</v>
      </c>
      <c r="AS83" s="43">
        <f t="shared" si="3"/>
        <v>831.6</v>
      </c>
      <c r="AT83" s="48">
        <f t="shared" si="4"/>
        <v>3682.8</v>
      </c>
      <c r="AU83" s="49">
        <f t="shared" si="20"/>
        <v>3682.8</v>
      </c>
      <c r="AV83" s="48"/>
      <c r="AW83" s="34">
        <f t="shared" si="5"/>
        <v>16139.4</v>
      </c>
      <c r="AX83" s="50">
        <f t="shared" si="6"/>
        <v>1042.8</v>
      </c>
      <c r="AY83" s="84"/>
      <c r="AZ83" s="27"/>
      <c r="BA83" s="48">
        <f t="shared" si="42"/>
        <v>3682.8</v>
      </c>
      <c r="BB83" s="27"/>
      <c r="BC83" s="27"/>
      <c r="BD83" s="51"/>
      <c r="BE83" s="52"/>
      <c r="BF83" s="27" t="s">
        <v>349</v>
      </c>
      <c r="BG83" s="53">
        <v>44929.0</v>
      </c>
      <c r="BH83" s="53" t="str">
        <f>'[1]2023'!Q263</f>
        <v>#REF!</v>
      </c>
      <c r="BI83" s="27"/>
      <c r="BJ83" s="27"/>
      <c r="BK83" s="27" t="s">
        <v>76</v>
      </c>
      <c r="BL83" s="27"/>
    </row>
    <row r="84" ht="14.25" customHeight="1">
      <c r="A84" s="26" t="s">
        <v>55</v>
      </c>
      <c r="B84" s="26" t="s">
        <v>56</v>
      </c>
      <c r="C84" s="26" t="s">
        <v>57</v>
      </c>
      <c r="D84" s="26" t="s">
        <v>81</v>
      </c>
      <c r="E84" s="27" t="s">
        <v>353</v>
      </c>
      <c r="F84" s="28" t="s">
        <v>354</v>
      </c>
      <c r="G84" s="29">
        <v>44986.0</v>
      </c>
      <c r="H84" s="30">
        <v>44986.0</v>
      </c>
      <c r="I84" s="30">
        <v>45351.0</v>
      </c>
      <c r="J84" s="31" t="s">
        <v>355</v>
      </c>
      <c r="K84" s="26" t="s">
        <v>352</v>
      </c>
      <c r="L84" s="32" t="s">
        <v>75</v>
      </c>
      <c r="M84" s="33">
        <v>25960.0</v>
      </c>
      <c r="N84" s="34">
        <v>27632.64</v>
      </c>
      <c r="O84" s="27" t="s">
        <v>76</v>
      </c>
      <c r="P84" s="35" t="s">
        <v>122</v>
      </c>
      <c r="Q84" s="35" t="s">
        <v>85</v>
      </c>
      <c r="R84" s="36">
        <v>44986.0</v>
      </c>
      <c r="S84" s="35" t="s">
        <v>86</v>
      </c>
      <c r="T84" s="35">
        <v>0.0</v>
      </c>
      <c r="U84" s="37" t="s">
        <v>67</v>
      </c>
      <c r="V84" s="38"/>
      <c r="W84" s="38"/>
      <c r="X84" s="27"/>
      <c r="Y84" s="39"/>
      <c r="Z84" s="39"/>
      <c r="AA84" s="39"/>
      <c r="AB84" s="40"/>
      <c r="AC84" s="27">
        <f t="shared" si="1"/>
        <v>0</v>
      </c>
      <c r="AD84" s="41">
        <f t="shared" si="53"/>
        <v>3894</v>
      </c>
      <c r="AE84" s="42"/>
      <c r="AF84" s="87">
        <v>45020.0</v>
      </c>
      <c r="AG84" s="43">
        <f t="shared" si="48"/>
        <v>6658.74</v>
      </c>
      <c r="AH84" s="29"/>
      <c r="AI84" s="29"/>
      <c r="AJ84" s="29"/>
      <c r="AK84" s="29"/>
      <c r="AL84" s="27"/>
      <c r="AM84" s="44"/>
      <c r="AN84" s="47"/>
      <c r="AO84" s="46"/>
      <c r="AP84" s="47"/>
      <c r="AQ84" s="43">
        <f t="shared" si="52"/>
        <v>7009.2</v>
      </c>
      <c r="AR84" s="43">
        <f t="shared" si="2"/>
        <v>350.46</v>
      </c>
      <c r="AS84" s="43">
        <f t="shared" si="3"/>
        <v>1226.61</v>
      </c>
      <c r="AT84" s="48">
        <f t="shared" si="4"/>
        <v>5432.13</v>
      </c>
      <c r="AU84" s="49">
        <f t="shared" si="20"/>
        <v>5432.13</v>
      </c>
      <c r="AV84" s="48"/>
      <c r="AW84" s="34">
        <f t="shared" si="5"/>
        <v>23738.64</v>
      </c>
      <c r="AX84" s="50">
        <f t="shared" si="6"/>
        <v>1538.13</v>
      </c>
      <c r="AY84" s="43"/>
      <c r="AZ84" s="27"/>
      <c r="BA84" s="48">
        <f t="shared" si="42"/>
        <v>5432.13</v>
      </c>
      <c r="BB84" s="27"/>
      <c r="BC84" s="27"/>
      <c r="BD84" s="51"/>
      <c r="BE84" s="52"/>
      <c r="BF84" s="27" t="s">
        <v>353</v>
      </c>
      <c r="BG84" s="53">
        <v>45049.0</v>
      </c>
      <c r="BH84" s="53" t="str">
        <f t="shared" ref="BH84:BH85" si="54">'[1]2023'!Q267</f>
        <v>#REF!</v>
      </c>
      <c r="BI84" s="27"/>
      <c r="BJ84" s="27"/>
      <c r="BK84" s="27" t="s">
        <v>76</v>
      </c>
      <c r="BL84" s="27"/>
    </row>
    <row r="85" ht="14.25" customHeight="1">
      <c r="A85" s="26" t="s">
        <v>55</v>
      </c>
      <c r="B85" s="26" t="s">
        <v>56</v>
      </c>
      <c r="C85" s="26" t="s">
        <v>57</v>
      </c>
      <c r="D85" s="26" t="s">
        <v>81</v>
      </c>
      <c r="E85" s="27" t="s">
        <v>356</v>
      </c>
      <c r="F85" s="28" t="s">
        <v>357</v>
      </c>
      <c r="G85" s="29">
        <v>44986.0</v>
      </c>
      <c r="H85" s="30">
        <v>44986.0</v>
      </c>
      <c r="I85" s="30">
        <v>45351.0</v>
      </c>
      <c r="J85" s="31" t="s">
        <v>358</v>
      </c>
      <c r="K85" s="26" t="s">
        <v>352</v>
      </c>
      <c r="L85" s="32" t="s">
        <v>305</v>
      </c>
      <c r="M85" s="33">
        <v>29500.0</v>
      </c>
      <c r="N85" s="34">
        <v>31381.5</v>
      </c>
      <c r="O85" s="27" t="s">
        <v>76</v>
      </c>
      <c r="P85" s="35" t="s">
        <v>142</v>
      </c>
      <c r="Q85" s="35" t="s">
        <v>90</v>
      </c>
      <c r="R85" s="36">
        <v>44986.0</v>
      </c>
      <c r="S85" s="35" t="s">
        <v>86</v>
      </c>
      <c r="T85" s="35">
        <v>0.0</v>
      </c>
      <c r="U85" s="37" t="s">
        <v>67</v>
      </c>
      <c r="V85" s="38"/>
      <c r="W85" s="38"/>
      <c r="X85" s="27"/>
      <c r="Y85" s="39"/>
      <c r="Z85" s="79" t="s">
        <v>208</v>
      </c>
      <c r="AA85" s="39"/>
      <c r="AB85" s="40"/>
      <c r="AC85" s="27">
        <f t="shared" si="1"/>
        <v>0</v>
      </c>
      <c r="AD85" s="41">
        <f t="shared" si="53"/>
        <v>4425</v>
      </c>
      <c r="AE85" s="42"/>
      <c r="AF85" s="27" t="s">
        <v>306</v>
      </c>
      <c r="AG85" s="43">
        <f t="shared" si="48"/>
        <v>7566.75</v>
      </c>
      <c r="AH85" s="29"/>
      <c r="AI85" s="29"/>
      <c r="AJ85" s="29"/>
      <c r="AK85" s="29"/>
      <c r="AL85" s="27"/>
      <c r="AM85" s="44"/>
      <c r="AN85" s="47"/>
      <c r="AO85" s="46"/>
      <c r="AP85" s="47"/>
      <c r="AQ85" s="43">
        <f t="shared" si="52"/>
        <v>7965</v>
      </c>
      <c r="AR85" s="43">
        <f t="shared" si="2"/>
        <v>398.25</v>
      </c>
      <c r="AS85" s="43">
        <f t="shared" si="3"/>
        <v>1393.875</v>
      </c>
      <c r="AT85" s="48">
        <f t="shared" si="4"/>
        <v>6172.875</v>
      </c>
      <c r="AU85" s="49">
        <f t="shared" si="20"/>
        <v>6172.875</v>
      </c>
      <c r="AV85" s="48"/>
      <c r="AW85" s="82">
        <f t="shared" si="5"/>
        <v>26956.5</v>
      </c>
      <c r="AX85" s="50">
        <f t="shared" si="6"/>
        <v>1747.875</v>
      </c>
      <c r="AY85" s="43"/>
      <c r="AZ85" s="27"/>
      <c r="BA85" s="48">
        <f t="shared" si="42"/>
        <v>6172.875</v>
      </c>
      <c r="BB85" s="27"/>
      <c r="BC85" s="27"/>
      <c r="BD85" s="51"/>
      <c r="BE85" s="52"/>
      <c r="BF85" s="27" t="s">
        <v>356</v>
      </c>
      <c r="BG85" s="53">
        <v>0.0</v>
      </c>
      <c r="BH85" s="53" t="str">
        <f t="shared" si="54"/>
        <v>#REF!</v>
      </c>
      <c r="BI85" s="27"/>
      <c r="BJ85" s="27"/>
      <c r="BK85" s="27" t="s">
        <v>76</v>
      </c>
      <c r="BL85" s="27"/>
    </row>
    <row r="86" ht="14.25" customHeight="1">
      <c r="A86" s="26" t="s">
        <v>55</v>
      </c>
      <c r="B86" s="26" t="s">
        <v>56</v>
      </c>
      <c r="C86" s="26" t="s">
        <v>57</v>
      </c>
      <c r="D86" s="26" t="s">
        <v>81</v>
      </c>
      <c r="E86" s="27" t="s">
        <v>359</v>
      </c>
      <c r="F86" s="28" t="s">
        <v>360</v>
      </c>
      <c r="G86" s="29">
        <v>44986.0</v>
      </c>
      <c r="H86" s="30">
        <v>44986.0</v>
      </c>
      <c r="I86" s="30">
        <v>45351.0</v>
      </c>
      <c r="J86" s="88" t="s">
        <v>361</v>
      </c>
      <c r="K86" s="26" t="s">
        <v>362</v>
      </c>
      <c r="L86" s="89">
        <v>45144.0</v>
      </c>
      <c r="M86" s="33">
        <v>17700.0</v>
      </c>
      <c r="N86" s="34">
        <v>18885.3</v>
      </c>
      <c r="O86" s="27" t="s">
        <v>76</v>
      </c>
      <c r="P86" s="35" t="s">
        <v>122</v>
      </c>
      <c r="Q86" s="35" t="s">
        <v>85</v>
      </c>
      <c r="R86" s="36">
        <v>44986.0</v>
      </c>
      <c r="S86" s="35" t="s">
        <v>86</v>
      </c>
      <c r="T86" s="35">
        <v>0.0</v>
      </c>
      <c r="U86" s="37" t="s">
        <v>67</v>
      </c>
      <c r="V86" s="38"/>
      <c r="W86" s="38"/>
      <c r="X86" s="27"/>
      <c r="Y86" s="39"/>
      <c r="Z86" s="39"/>
      <c r="AA86" s="39"/>
      <c r="AB86" s="40"/>
      <c r="AC86" s="27">
        <f t="shared" si="1"/>
        <v>0</v>
      </c>
      <c r="AD86" s="41">
        <f>IF(AND(S86="0",O86="Paid"),(M86*15%)-AC86,0)</f>
        <v>2655</v>
      </c>
      <c r="AE86" s="42"/>
      <c r="AF86" s="67"/>
      <c r="AG86" s="43">
        <f t="shared" si="48"/>
        <v>4540.05</v>
      </c>
      <c r="AH86" s="29"/>
      <c r="AI86" s="29"/>
      <c r="AJ86" s="29"/>
      <c r="AK86" s="29"/>
      <c r="AL86" s="27"/>
      <c r="AM86" s="44"/>
      <c r="AN86" s="47"/>
      <c r="AO86" s="46"/>
      <c r="AP86" s="47"/>
      <c r="AQ86" s="43">
        <f t="shared" si="52"/>
        <v>4779</v>
      </c>
      <c r="AR86" s="43">
        <f t="shared" si="2"/>
        <v>238.95</v>
      </c>
      <c r="AS86" s="43">
        <f t="shared" si="3"/>
        <v>836.325</v>
      </c>
      <c r="AT86" s="48">
        <f t="shared" si="4"/>
        <v>3703.725</v>
      </c>
      <c r="AU86" s="49">
        <f t="shared" si="20"/>
        <v>3703.725</v>
      </c>
      <c r="AV86" s="48"/>
      <c r="AW86" s="34">
        <f t="shared" si="5"/>
        <v>16230.3</v>
      </c>
      <c r="AX86" s="50">
        <f t="shared" si="6"/>
        <v>1048.725</v>
      </c>
      <c r="AY86" s="43"/>
      <c r="AZ86" s="47"/>
      <c r="BA86" s="48">
        <f t="shared" si="42"/>
        <v>3703.725</v>
      </c>
      <c r="BB86" s="27"/>
      <c r="BC86" s="27"/>
      <c r="BD86" s="51"/>
      <c r="BE86" s="52"/>
      <c r="BF86" s="27" t="s">
        <v>359</v>
      </c>
      <c r="BG86" s="53">
        <v>0.0</v>
      </c>
      <c r="BH86" s="53" t="str">
        <f>'[1]2023'!Q1035</f>
        <v>#REF!</v>
      </c>
      <c r="BI86" s="27"/>
      <c r="BJ86" s="27"/>
      <c r="BK86" s="27" t="s">
        <v>76</v>
      </c>
      <c r="BL86" s="27"/>
    </row>
    <row r="87" ht="14.25" customHeight="1">
      <c r="A87" s="26" t="s">
        <v>55</v>
      </c>
      <c r="B87" s="26" t="s">
        <v>56</v>
      </c>
      <c r="C87" s="26" t="s">
        <v>57</v>
      </c>
      <c r="D87" s="26" t="s">
        <v>81</v>
      </c>
      <c r="E87" s="27" t="s">
        <v>363</v>
      </c>
      <c r="F87" s="26" t="s">
        <v>364</v>
      </c>
      <c r="G87" s="29">
        <v>44987.0</v>
      </c>
      <c r="H87" s="30">
        <v>44987.0</v>
      </c>
      <c r="I87" s="30">
        <v>45352.0</v>
      </c>
      <c r="J87" s="31">
        <v>0.0</v>
      </c>
      <c r="K87" s="26" t="s">
        <v>62</v>
      </c>
      <c r="L87" s="73" t="s">
        <v>75</v>
      </c>
      <c r="M87" s="33">
        <v>25960.0</v>
      </c>
      <c r="N87" s="34">
        <v>27632.64</v>
      </c>
      <c r="O87" s="27" t="s">
        <v>76</v>
      </c>
      <c r="P87" s="35" t="s">
        <v>104</v>
      </c>
      <c r="Q87" s="35" t="s">
        <v>65</v>
      </c>
      <c r="R87" s="36">
        <v>44987.0</v>
      </c>
      <c r="S87" s="35" t="s">
        <v>78</v>
      </c>
      <c r="T87" s="54" t="s">
        <v>163</v>
      </c>
      <c r="U87" s="37" t="s">
        <v>67</v>
      </c>
      <c r="V87" s="38"/>
      <c r="W87" s="38"/>
      <c r="X87" s="27"/>
      <c r="Y87" s="39"/>
      <c r="Z87" s="39"/>
      <c r="AA87" s="39"/>
      <c r="AB87" s="27"/>
      <c r="AC87" s="27">
        <f t="shared" si="1"/>
        <v>0</v>
      </c>
      <c r="AD87" s="41"/>
      <c r="AE87" s="42"/>
      <c r="AF87" s="27"/>
      <c r="AG87" s="43">
        <f t="shared" si="48"/>
        <v>6658.74</v>
      </c>
      <c r="AH87" s="29"/>
      <c r="AI87" s="29"/>
      <c r="AJ87" s="29"/>
      <c r="AK87" s="75"/>
      <c r="AL87" s="44"/>
      <c r="AM87" s="44"/>
      <c r="AN87" s="47"/>
      <c r="AO87" s="70">
        <f>M87*15%</f>
        <v>3894</v>
      </c>
      <c r="AP87" s="71">
        <v>45267.0</v>
      </c>
      <c r="AQ87" s="43">
        <f t="shared" si="52"/>
        <v>7009.2</v>
      </c>
      <c r="AR87" s="43">
        <f t="shared" si="2"/>
        <v>350.46</v>
      </c>
      <c r="AS87" s="43">
        <f t="shared" si="3"/>
        <v>1226.61</v>
      </c>
      <c r="AT87" s="48">
        <f t="shared" si="4"/>
        <v>5432.13</v>
      </c>
      <c r="AU87" s="49">
        <f t="shared" si="20"/>
        <v>5432.13</v>
      </c>
      <c r="AV87" s="48"/>
      <c r="AW87" s="34">
        <f t="shared" si="5"/>
        <v>27632.64</v>
      </c>
      <c r="AX87" s="50">
        <f t="shared" si="6"/>
        <v>1538.13</v>
      </c>
      <c r="AY87" s="48"/>
      <c r="AZ87" s="27"/>
      <c r="BA87" s="48">
        <f t="shared" si="42"/>
        <v>1538.13</v>
      </c>
      <c r="BB87" s="27"/>
      <c r="BC87" s="27"/>
      <c r="BD87" s="51"/>
      <c r="BE87" s="52"/>
      <c r="BF87" s="27" t="s">
        <v>363</v>
      </c>
      <c r="BG87" s="58" t="s">
        <v>365</v>
      </c>
      <c r="BH87" s="53" t="str">
        <f>'[1]2023'!Q122</f>
        <v>#REF!</v>
      </c>
      <c r="BI87" s="27"/>
      <c r="BJ87" s="27"/>
      <c r="BK87" s="27" t="s">
        <v>76</v>
      </c>
      <c r="BL87" s="27"/>
    </row>
    <row r="88" ht="14.25" customHeight="1">
      <c r="A88" s="26" t="s">
        <v>55</v>
      </c>
      <c r="B88" s="26" t="s">
        <v>56</v>
      </c>
      <c r="C88" s="26" t="s">
        <v>57</v>
      </c>
      <c r="D88" s="26" t="s">
        <v>81</v>
      </c>
      <c r="E88" s="27" t="s">
        <v>366</v>
      </c>
      <c r="F88" s="26" t="s">
        <v>367</v>
      </c>
      <c r="G88" s="29">
        <v>44987.0</v>
      </c>
      <c r="H88" s="30">
        <v>44987.0</v>
      </c>
      <c r="I88" s="30">
        <v>45352.0</v>
      </c>
      <c r="J88" s="31">
        <v>0.0</v>
      </c>
      <c r="K88" s="26" t="s">
        <v>62</v>
      </c>
      <c r="L88" s="73" t="s">
        <v>63</v>
      </c>
      <c r="M88" s="33">
        <v>19621.88</v>
      </c>
      <c r="N88" s="34">
        <v>20920.56</v>
      </c>
      <c r="O88" s="27" t="s">
        <v>64</v>
      </c>
      <c r="P88" s="35">
        <v>0.0</v>
      </c>
      <c r="Q88" s="35" t="s">
        <v>90</v>
      </c>
      <c r="R88" s="36">
        <v>44987.0</v>
      </c>
      <c r="S88" s="35" t="s">
        <v>86</v>
      </c>
      <c r="T88" s="35">
        <v>0.0</v>
      </c>
      <c r="U88" s="37" t="s">
        <v>67</v>
      </c>
      <c r="V88" s="38"/>
      <c r="W88" s="38"/>
      <c r="X88" s="27"/>
      <c r="Y88" s="39"/>
      <c r="Z88" s="39"/>
      <c r="AA88" s="39"/>
      <c r="AB88" s="27"/>
      <c r="AC88" s="27">
        <f t="shared" si="1"/>
        <v>0</v>
      </c>
      <c r="AD88" s="41">
        <f>IF(AND(S88="0",O88="Paid"),(M88*15%)-AC88,0)</f>
        <v>0</v>
      </c>
      <c r="AE88" s="42"/>
      <c r="AF88" s="27"/>
      <c r="AG88" s="43">
        <f>IF(O88="Paid",IF(A88="Alwataniya",(M88*21%)-((M88*21%)*5%),IF((A88="GIG"),(M88*25%)-((M88*25%)*5%),IF((A88="Allianz"),(M88*27%)-((M88*27%)*20%),0))),0)</f>
        <v>0</v>
      </c>
      <c r="AH88" s="29"/>
      <c r="AI88" s="29"/>
      <c r="AJ88" s="29"/>
      <c r="AK88" s="75"/>
      <c r="AL88" s="44"/>
      <c r="AM88" s="44"/>
      <c r="AN88" s="47"/>
      <c r="AO88" s="37"/>
      <c r="AP88" s="47"/>
      <c r="AQ88" s="43" t="b">
        <f>IF(O88="Paid",IF(U88="Motor Plus",(M88*27%),IF(U88="Motor One",(M88*22%),(IF(U88="Golden",(M88*25%),(IF(U88="Classic",(M88*15%),(IF(U88="Wethaq",(M88*28%),IF(U88="Alwataniya",(M88*21%))*0)))))))))</f>
        <v>0</v>
      </c>
      <c r="AR88" s="43">
        <f t="shared" si="2"/>
        <v>0</v>
      </c>
      <c r="AS88" s="43">
        <f t="shared" si="3"/>
        <v>0</v>
      </c>
      <c r="AT88" s="48">
        <f t="shared" si="4"/>
        <v>0</v>
      </c>
      <c r="AU88" s="49">
        <f t="shared" si="20"/>
        <v>0</v>
      </c>
      <c r="AV88" s="48"/>
      <c r="AW88" s="34">
        <f t="shared" si="5"/>
        <v>20920.56</v>
      </c>
      <c r="AX88" s="50">
        <f t="shared" si="6"/>
        <v>0</v>
      </c>
      <c r="AY88" s="48"/>
      <c r="AZ88" s="27"/>
      <c r="BA88" s="48">
        <f t="shared" si="42"/>
        <v>0</v>
      </c>
      <c r="BB88" s="27"/>
      <c r="BC88" s="27"/>
      <c r="BD88" s="51"/>
      <c r="BE88" s="52"/>
      <c r="BF88" s="27" t="s">
        <v>366</v>
      </c>
      <c r="BG88" s="53">
        <v>0.0</v>
      </c>
      <c r="BH88" s="53" t="str">
        <f>'[1]2023'!Q128</f>
        <v>#REF!</v>
      </c>
      <c r="BI88" s="27"/>
      <c r="BJ88" s="27"/>
      <c r="BK88" s="27" t="s">
        <v>64</v>
      </c>
      <c r="BL88" s="27"/>
    </row>
    <row r="89" ht="14.25" customHeight="1">
      <c r="A89" s="26" t="s">
        <v>55</v>
      </c>
      <c r="B89" s="26" t="s">
        <v>56</v>
      </c>
      <c r="C89" s="26" t="s">
        <v>57</v>
      </c>
      <c r="D89" s="26" t="s">
        <v>81</v>
      </c>
      <c r="E89" s="27" t="s">
        <v>368</v>
      </c>
      <c r="F89" s="26" t="s">
        <v>369</v>
      </c>
      <c r="G89" s="29">
        <v>44987.0</v>
      </c>
      <c r="H89" s="30">
        <v>44987.0</v>
      </c>
      <c r="I89" s="30">
        <v>45352.0</v>
      </c>
      <c r="J89" s="31">
        <v>0.0</v>
      </c>
      <c r="K89" s="26" t="s">
        <v>62</v>
      </c>
      <c r="L89" s="32" t="s">
        <v>75</v>
      </c>
      <c r="M89" s="33">
        <v>26647.5</v>
      </c>
      <c r="N89" s="34">
        <v>28360.72</v>
      </c>
      <c r="O89" s="27" t="s">
        <v>76</v>
      </c>
      <c r="P89" s="35">
        <v>0.0</v>
      </c>
      <c r="Q89" s="35" t="s">
        <v>65</v>
      </c>
      <c r="R89" s="36">
        <v>44987.0</v>
      </c>
      <c r="S89" s="35" t="s">
        <v>86</v>
      </c>
      <c r="T89" s="35">
        <v>0.0</v>
      </c>
      <c r="U89" s="37" t="s">
        <v>67</v>
      </c>
      <c r="V89" s="38"/>
      <c r="W89" s="38"/>
      <c r="X89" s="27"/>
      <c r="Y89" s="39"/>
      <c r="Z89" s="39"/>
      <c r="AA89" s="39"/>
      <c r="AB89" s="27"/>
      <c r="AC89" s="27">
        <f t="shared" si="1"/>
        <v>0</v>
      </c>
      <c r="AD89" s="41"/>
      <c r="AE89" s="42"/>
      <c r="AF89" s="27"/>
      <c r="AG89" s="43">
        <f t="shared" ref="AG89:AG114" si="55">IF(O89="Paid",IF(A89="Alwataniya",(M89*21%)-((M89*21%)*5%),IF((A89="GIG"),(M89*25%)-((M89*25%)*5%),IF((A89="Allianz"),(M89*27%)-((M89*27%)*5%),0))),0)</f>
        <v>6835.08375</v>
      </c>
      <c r="AH89" s="29"/>
      <c r="AI89" s="29"/>
      <c r="AJ89" s="29"/>
      <c r="AK89" s="29"/>
      <c r="AL89" s="27"/>
      <c r="AM89" s="44"/>
      <c r="AN89" s="47"/>
      <c r="AO89" s="37"/>
      <c r="AP89" s="47"/>
      <c r="AQ89" s="43">
        <f t="shared" ref="AQ89:AQ97" si="56">IF(U89="Motor Plus",(M89*27%),IF(U89="Motor One",(M89*22%),(IF(U89="Golden",(M89*25%),(IF(U89="Classic",(M89*15%),(IF(U89="Wethaq",(M89*28%),IF(U89="Alwataniya",(M89*21%))*0))))))))</f>
        <v>7194.825</v>
      </c>
      <c r="AR89" s="43">
        <f t="shared" si="2"/>
        <v>359.74125</v>
      </c>
      <c r="AS89" s="43">
        <f t="shared" si="3"/>
        <v>1259.094375</v>
      </c>
      <c r="AT89" s="48">
        <f t="shared" si="4"/>
        <v>5575.989375</v>
      </c>
      <c r="AU89" s="49">
        <f t="shared" si="20"/>
        <v>5575.989375</v>
      </c>
      <c r="AV89" s="48"/>
      <c r="AW89" s="34">
        <f t="shared" si="5"/>
        <v>28360.72</v>
      </c>
      <c r="AX89" s="50">
        <f t="shared" si="6"/>
        <v>5575.989375</v>
      </c>
      <c r="AY89" s="43"/>
      <c r="AZ89" s="27"/>
      <c r="BA89" s="48">
        <f t="shared" si="42"/>
        <v>5575.989375</v>
      </c>
      <c r="BB89" s="27"/>
      <c r="BC89" s="27"/>
      <c r="BD89" s="51"/>
      <c r="BE89" s="52"/>
      <c r="BF89" s="80" t="s">
        <v>368</v>
      </c>
      <c r="BG89" s="53">
        <v>0.0</v>
      </c>
      <c r="BH89" s="53" t="str">
        <f>'[1]2023'!Q154</f>
        <v>#REF!</v>
      </c>
      <c r="BI89" s="27"/>
      <c r="BJ89" s="27"/>
      <c r="BK89" s="27" t="s">
        <v>76</v>
      </c>
      <c r="BL89" s="27"/>
    </row>
    <row r="90" ht="14.25" customHeight="1">
      <c r="A90" s="26" t="s">
        <v>55</v>
      </c>
      <c r="B90" s="26" t="s">
        <v>56</v>
      </c>
      <c r="C90" s="26" t="s">
        <v>57</v>
      </c>
      <c r="D90" s="26" t="s">
        <v>81</v>
      </c>
      <c r="E90" s="27" t="s">
        <v>370</v>
      </c>
      <c r="F90" s="26" t="s">
        <v>371</v>
      </c>
      <c r="G90" s="29">
        <v>44987.0</v>
      </c>
      <c r="H90" s="30">
        <v>44987.0</v>
      </c>
      <c r="I90" s="30">
        <v>45352.0</v>
      </c>
      <c r="J90" s="31">
        <v>0.0</v>
      </c>
      <c r="K90" s="26" t="s">
        <v>62</v>
      </c>
      <c r="L90" s="32" t="s">
        <v>75</v>
      </c>
      <c r="M90" s="33">
        <v>12906.25</v>
      </c>
      <c r="N90" s="34">
        <v>13808.72</v>
      </c>
      <c r="O90" s="27" t="s">
        <v>76</v>
      </c>
      <c r="P90" s="35" t="s">
        <v>104</v>
      </c>
      <c r="Q90" s="35" t="s">
        <v>90</v>
      </c>
      <c r="R90" s="36">
        <v>44987.0</v>
      </c>
      <c r="S90" s="35" t="s">
        <v>86</v>
      </c>
      <c r="T90" s="35">
        <v>0.0</v>
      </c>
      <c r="U90" s="37" t="s">
        <v>67</v>
      </c>
      <c r="V90" s="38"/>
      <c r="W90" s="38"/>
      <c r="X90" s="27"/>
      <c r="Y90" s="39"/>
      <c r="Z90" s="39"/>
      <c r="AA90" s="39"/>
      <c r="AB90" s="27"/>
      <c r="AC90" s="27">
        <f t="shared" si="1"/>
        <v>0</v>
      </c>
      <c r="AD90" s="41">
        <f t="shared" ref="AD90:AD91" si="57">IF(AND(S90="0",O90="Paid"),M90*15%,0)</f>
        <v>1935.9375</v>
      </c>
      <c r="AE90" s="42"/>
      <c r="AF90" s="59"/>
      <c r="AG90" s="43">
        <f t="shared" si="55"/>
        <v>3310.453125</v>
      </c>
      <c r="AH90" s="29"/>
      <c r="AI90" s="29"/>
      <c r="AJ90" s="29"/>
      <c r="AK90" s="29"/>
      <c r="AL90" s="27"/>
      <c r="AM90" s="44"/>
      <c r="AN90" s="47"/>
      <c r="AO90" s="37"/>
      <c r="AP90" s="47"/>
      <c r="AQ90" s="43">
        <f t="shared" si="56"/>
        <v>3484.6875</v>
      </c>
      <c r="AR90" s="43">
        <f t="shared" si="2"/>
        <v>174.234375</v>
      </c>
      <c r="AS90" s="43">
        <f t="shared" si="3"/>
        <v>609.8203125</v>
      </c>
      <c r="AT90" s="48">
        <f t="shared" si="4"/>
        <v>2700.632813</v>
      </c>
      <c r="AU90" s="49">
        <f t="shared" si="20"/>
        <v>2700.632813</v>
      </c>
      <c r="AV90" s="48"/>
      <c r="AW90" s="34">
        <f t="shared" si="5"/>
        <v>11872.7825</v>
      </c>
      <c r="AX90" s="50">
        <f t="shared" si="6"/>
        <v>764.6953125</v>
      </c>
      <c r="AY90" s="43"/>
      <c r="AZ90" s="27"/>
      <c r="BA90" s="48">
        <f t="shared" si="42"/>
        <v>2700.632813</v>
      </c>
      <c r="BB90" s="27"/>
      <c r="BC90" s="27"/>
      <c r="BD90" s="51"/>
      <c r="BE90" s="52"/>
      <c r="BF90" s="27" t="s">
        <v>370</v>
      </c>
      <c r="BG90" s="58" t="s">
        <v>372</v>
      </c>
      <c r="BH90" s="53" t="str">
        <f>'[1]2023'!Q163</f>
        <v>#REF!</v>
      </c>
      <c r="BI90" s="27"/>
      <c r="BJ90" s="27"/>
      <c r="BK90" s="27" t="s">
        <v>76</v>
      </c>
      <c r="BL90" s="27"/>
    </row>
    <row r="91" ht="14.25" customHeight="1">
      <c r="A91" s="26" t="s">
        <v>55</v>
      </c>
      <c r="B91" s="26" t="s">
        <v>56</v>
      </c>
      <c r="C91" s="26" t="s">
        <v>57</v>
      </c>
      <c r="D91" s="26" t="s">
        <v>81</v>
      </c>
      <c r="E91" s="27" t="s">
        <v>373</v>
      </c>
      <c r="F91" s="26" t="s">
        <v>374</v>
      </c>
      <c r="G91" s="29">
        <v>44987.0</v>
      </c>
      <c r="H91" s="30">
        <v>44987.0</v>
      </c>
      <c r="I91" s="30">
        <v>45352.0</v>
      </c>
      <c r="J91" s="31">
        <v>0.0</v>
      </c>
      <c r="K91" s="26" t="s">
        <v>62</v>
      </c>
      <c r="L91" s="32" t="s">
        <v>75</v>
      </c>
      <c r="M91" s="33">
        <v>12390.0</v>
      </c>
      <c r="N91" s="34">
        <v>13262.01</v>
      </c>
      <c r="O91" s="27" t="s">
        <v>76</v>
      </c>
      <c r="P91" s="35" t="s">
        <v>89</v>
      </c>
      <c r="Q91" s="35" t="s">
        <v>90</v>
      </c>
      <c r="R91" s="36">
        <v>44987.0</v>
      </c>
      <c r="S91" s="35" t="s">
        <v>86</v>
      </c>
      <c r="T91" s="35">
        <v>0.0</v>
      </c>
      <c r="U91" s="37" t="s">
        <v>67</v>
      </c>
      <c r="V91" s="38"/>
      <c r="W91" s="38"/>
      <c r="X91" s="27"/>
      <c r="Y91" s="39"/>
      <c r="Z91" s="39"/>
      <c r="AA91" s="39"/>
      <c r="AB91" s="27"/>
      <c r="AC91" s="27">
        <f t="shared" si="1"/>
        <v>0</v>
      </c>
      <c r="AD91" s="41">
        <f t="shared" si="57"/>
        <v>1858.5</v>
      </c>
      <c r="AE91" s="42"/>
      <c r="AF91" s="59"/>
      <c r="AG91" s="43">
        <f t="shared" si="55"/>
        <v>3178.035</v>
      </c>
      <c r="AH91" s="29"/>
      <c r="AI91" s="29"/>
      <c r="AJ91" s="29"/>
      <c r="AK91" s="29"/>
      <c r="AL91" s="27"/>
      <c r="AM91" s="44"/>
      <c r="AN91" s="47"/>
      <c r="AO91" s="46"/>
      <c r="AP91" s="47"/>
      <c r="AQ91" s="43">
        <f t="shared" si="56"/>
        <v>3345.3</v>
      </c>
      <c r="AR91" s="43">
        <f t="shared" si="2"/>
        <v>167.265</v>
      </c>
      <c r="AS91" s="43">
        <f t="shared" si="3"/>
        <v>585.4275</v>
      </c>
      <c r="AT91" s="48">
        <f t="shared" si="4"/>
        <v>2592.6075</v>
      </c>
      <c r="AU91" s="49">
        <f t="shared" si="20"/>
        <v>2592.6075</v>
      </c>
      <c r="AV91" s="48"/>
      <c r="AW91" s="34">
        <f t="shared" si="5"/>
        <v>11403.51</v>
      </c>
      <c r="AX91" s="50">
        <f t="shared" si="6"/>
        <v>734.1075</v>
      </c>
      <c r="AY91" s="43"/>
      <c r="AZ91" s="27"/>
      <c r="BA91" s="48">
        <f t="shared" si="42"/>
        <v>2592.6075</v>
      </c>
      <c r="BB91" s="27"/>
      <c r="BC91" s="27"/>
      <c r="BD91" s="51"/>
      <c r="BE91" s="52"/>
      <c r="BF91" s="27" t="s">
        <v>373</v>
      </c>
      <c r="BG91" s="53" t="s">
        <v>89</v>
      </c>
      <c r="BH91" s="53" t="str">
        <f>'[1]2023'!Q201</f>
        <v>#REF!</v>
      </c>
      <c r="BI91" s="27"/>
      <c r="BJ91" s="27"/>
      <c r="BK91" s="27" t="s">
        <v>76</v>
      </c>
      <c r="BL91" s="27"/>
    </row>
    <row r="92" ht="14.25" customHeight="1">
      <c r="A92" s="26" t="s">
        <v>55</v>
      </c>
      <c r="B92" s="26" t="s">
        <v>56</v>
      </c>
      <c r="C92" s="26" t="s">
        <v>57</v>
      </c>
      <c r="D92" s="26" t="s">
        <v>81</v>
      </c>
      <c r="E92" s="27" t="s">
        <v>375</v>
      </c>
      <c r="F92" s="28" t="s">
        <v>376</v>
      </c>
      <c r="G92" s="29">
        <v>44987.0</v>
      </c>
      <c r="H92" s="30">
        <v>44987.0</v>
      </c>
      <c r="I92" s="30">
        <v>45352.0</v>
      </c>
      <c r="J92" s="31" t="s">
        <v>377</v>
      </c>
      <c r="K92" s="26" t="s">
        <v>352</v>
      </c>
      <c r="L92" s="32" t="s">
        <v>75</v>
      </c>
      <c r="M92" s="33">
        <v>17598.75</v>
      </c>
      <c r="N92" s="34">
        <v>18779.08</v>
      </c>
      <c r="O92" s="27" t="s">
        <v>76</v>
      </c>
      <c r="P92" s="35" t="s">
        <v>89</v>
      </c>
      <c r="Q92" s="35" t="s">
        <v>65</v>
      </c>
      <c r="R92" s="36">
        <v>44987.0</v>
      </c>
      <c r="S92" s="35" t="s">
        <v>86</v>
      </c>
      <c r="T92" s="35">
        <v>0.0</v>
      </c>
      <c r="U92" s="37" t="s">
        <v>67</v>
      </c>
      <c r="V92" s="38"/>
      <c r="W92" s="38"/>
      <c r="X92" s="27"/>
      <c r="Y92" s="39"/>
      <c r="Z92" s="39"/>
      <c r="AA92" s="39"/>
      <c r="AB92" s="40"/>
      <c r="AC92" s="27">
        <f t="shared" si="1"/>
        <v>0</v>
      </c>
      <c r="AD92" s="41"/>
      <c r="AE92" s="42"/>
      <c r="AF92" s="27"/>
      <c r="AG92" s="43">
        <f t="shared" si="55"/>
        <v>4514.079375</v>
      </c>
      <c r="AH92" s="29"/>
      <c r="AI92" s="29"/>
      <c r="AJ92" s="29"/>
      <c r="AK92" s="29"/>
      <c r="AL92" s="27"/>
      <c r="AM92" s="44"/>
      <c r="AN92" s="47"/>
      <c r="AO92" s="46"/>
      <c r="AP92" s="47"/>
      <c r="AQ92" s="43">
        <f t="shared" si="56"/>
        <v>4751.6625</v>
      </c>
      <c r="AR92" s="43">
        <f t="shared" si="2"/>
        <v>237.583125</v>
      </c>
      <c r="AS92" s="43">
        <f t="shared" si="3"/>
        <v>831.5409375</v>
      </c>
      <c r="AT92" s="48">
        <f t="shared" si="4"/>
        <v>3682.538438</v>
      </c>
      <c r="AU92" s="49">
        <f t="shared" si="20"/>
        <v>3682.538438</v>
      </c>
      <c r="AV92" s="48"/>
      <c r="AW92" s="34">
        <f t="shared" si="5"/>
        <v>18779.08</v>
      </c>
      <c r="AX92" s="50">
        <f t="shared" si="6"/>
        <v>3682.538438</v>
      </c>
      <c r="AY92" s="43"/>
      <c r="AZ92" s="27"/>
      <c r="BA92" s="48">
        <f t="shared" si="42"/>
        <v>3682.538438</v>
      </c>
      <c r="BB92" s="27"/>
      <c r="BC92" s="27"/>
      <c r="BD92" s="51"/>
      <c r="BE92" s="52"/>
      <c r="BF92" s="27" t="s">
        <v>375</v>
      </c>
      <c r="BG92" s="53">
        <v>45110.0</v>
      </c>
      <c r="BH92" s="53" t="str">
        <f>'[1]2023'!Q275</f>
        <v>#REF!</v>
      </c>
      <c r="BI92" s="27"/>
      <c r="BJ92" s="27"/>
      <c r="BK92" s="27" t="s">
        <v>76</v>
      </c>
      <c r="BL92" s="27"/>
    </row>
    <row r="93" ht="14.25" customHeight="1">
      <c r="A93" s="26" t="s">
        <v>55</v>
      </c>
      <c r="B93" s="26" t="s">
        <v>56</v>
      </c>
      <c r="C93" s="26" t="s">
        <v>57</v>
      </c>
      <c r="D93" s="26" t="s">
        <v>81</v>
      </c>
      <c r="E93" s="27" t="s">
        <v>378</v>
      </c>
      <c r="F93" s="26" t="s">
        <v>379</v>
      </c>
      <c r="G93" s="29">
        <v>44988.0</v>
      </c>
      <c r="H93" s="30">
        <v>44988.0</v>
      </c>
      <c r="I93" s="30">
        <v>45353.0</v>
      </c>
      <c r="J93" s="31" t="s">
        <v>380</v>
      </c>
      <c r="K93" s="26" t="s">
        <v>352</v>
      </c>
      <c r="L93" s="32" t="s">
        <v>75</v>
      </c>
      <c r="M93" s="33">
        <v>32585.0</v>
      </c>
      <c r="N93" s="34">
        <v>34648.52</v>
      </c>
      <c r="O93" s="27" t="s">
        <v>76</v>
      </c>
      <c r="P93" s="35" t="s">
        <v>89</v>
      </c>
      <c r="Q93" s="35" t="s">
        <v>65</v>
      </c>
      <c r="R93" s="36">
        <v>44988.0</v>
      </c>
      <c r="S93" s="35" t="s">
        <v>86</v>
      </c>
      <c r="T93" s="35">
        <v>0.0</v>
      </c>
      <c r="U93" s="37" t="s">
        <v>67</v>
      </c>
      <c r="V93" s="38"/>
      <c r="W93" s="38"/>
      <c r="X93" s="27"/>
      <c r="Y93" s="39"/>
      <c r="Z93" s="39"/>
      <c r="AA93" s="39"/>
      <c r="AB93" s="27"/>
      <c r="AC93" s="27">
        <f t="shared" si="1"/>
        <v>0</v>
      </c>
      <c r="AD93" s="41"/>
      <c r="AE93" s="42"/>
      <c r="AF93" s="27"/>
      <c r="AG93" s="43">
        <f t="shared" si="55"/>
        <v>8358.0525</v>
      </c>
      <c r="AH93" s="29"/>
      <c r="AI93" s="29"/>
      <c r="AJ93" s="29"/>
      <c r="AK93" s="29"/>
      <c r="AL93" s="27"/>
      <c r="AM93" s="44"/>
      <c r="AN93" s="47"/>
      <c r="AO93" s="37"/>
      <c r="AP93" s="47"/>
      <c r="AQ93" s="43">
        <f t="shared" si="56"/>
        <v>8797.95</v>
      </c>
      <c r="AR93" s="43">
        <f t="shared" si="2"/>
        <v>439.8975</v>
      </c>
      <c r="AS93" s="43">
        <f t="shared" si="3"/>
        <v>1539.64125</v>
      </c>
      <c r="AT93" s="48">
        <f t="shared" si="4"/>
        <v>6818.41125</v>
      </c>
      <c r="AU93" s="49">
        <f t="shared" si="20"/>
        <v>6818.41125</v>
      </c>
      <c r="AV93" s="48"/>
      <c r="AW93" s="34">
        <f t="shared" si="5"/>
        <v>34648.52</v>
      </c>
      <c r="AX93" s="50">
        <f t="shared" si="6"/>
        <v>6818.41125</v>
      </c>
      <c r="AY93" s="43"/>
      <c r="AZ93" s="27"/>
      <c r="BA93" s="48">
        <f t="shared" si="42"/>
        <v>6818.41125</v>
      </c>
      <c r="BB93" s="27"/>
      <c r="BC93" s="27"/>
      <c r="BD93" s="51"/>
      <c r="BE93" s="52"/>
      <c r="BF93" s="27" t="s">
        <v>378</v>
      </c>
      <c r="BG93" s="53" t="s">
        <v>381</v>
      </c>
      <c r="BH93" s="53" t="str">
        <f>'[1]2023'!Q107</f>
        <v>#REF!</v>
      </c>
      <c r="BI93" s="27"/>
      <c r="BJ93" s="27"/>
      <c r="BK93" s="27" t="s">
        <v>76</v>
      </c>
      <c r="BL93" s="27"/>
    </row>
    <row r="94" ht="14.25" customHeight="1">
      <c r="A94" s="26" t="s">
        <v>55</v>
      </c>
      <c r="B94" s="26" t="s">
        <v>56</v>
      </c>
      <c r="C94" s="26" t="s">
        <v>57</v>
      </c>
      <c r="D94" s="26" t="s">
        <v>81</v>
      </c>
      <c r="E94" s="27" t="s">
        <v>382</v>
      </c>
      <c r="F94" s="26" t="s">
        <v>383</v>
      </c>
      <c r="G94" s="29">
        <v>44988.0</v>
      </c>
      <c r="H94" s="30">
        <v>44988.0</v>
      </c>
      <c r="I94" s="30">
        <v>45353.0</v>
      </c>
      <c r="J94" s="31" t="s">
        <v>384</v>
      </c>
      <c r="K94" s="26" t="s">
        <v>352</v>
      </c>
      <c r="L94" s="32" t="s">
        <v>75</v>
      </c>
      <c r="M94" s="33">
        <v>15222.0</v>
      </c>
      <c r="N94" s="34">
        <v>16261.09</v>
      </c>
      <c r="O94" s="27" t="s">
        <v>76</v>
      </c>
      <c r="P94" s="35" t="s">
        <v>89</v>
      </c>
      <c r="Q94" s="35" t="s">
        <v>65</v>
      </c>
      <c r="R94" s="36">
        <v>44988.0</v>
      </c>
      <c r="S94" s="35" t="s">
        <v>86</v>
      </c>
      <c r="T94" s="35">
        <v>0.0</v>
      </c>
      <c r="U94" s="37" t="s">
        <v>67</v>
      </c>
      <c r="V94" s="38"/>
      <c r="W94" s="38"/>
      <c r="X94" s="27"/>
      <c r="Y94" s="39"/>
      <c r="Z94" s="39"/>
      <c r="AA94" s="39"/>
      <c r="AB94" s="27"/>
      <c r="AC94" s="27">
        <f t="shared" si="1"/>
        <v>0</v>
      </c>
      <c r="AD94" s="41"/>
      <c r="AE94" s="42"/>
      <c r="AF94" s="27"/>
      <c r="AG94" s="43">
        <f t="shared" si="55"/>
        <v>3904.443</v>
      </c>
      <c r="AH94" s="29"/>
      <c r="AI94" s="29"/>
      <c r="AJ94" s="29"/>
      <c r="AK94" s="29"/>
      <c r="AL94" s="27"/>
      <c r="AM94" s="44"/>
      <c r="AN94" s="47"/>
      <c r="AO94" s="46"/>
      <c r="AP94" s="47"/>
      <c r="AQ94" s="43">
        <f t="shared" si="56"/>
        <v>4109.94</v>
      </c>
      <c r="AR94" s="43">
        <f t="shared" si="2"/>
        <v>205.497</v>
      </c>
      <c r="AS94" s="43">
        <f t="shared" si="3"/>
        <v>719.2395</v>
      </c>
      <c r="AT94" s="48">
        <f t="shared" si="4"/>
        <v>3185.2035</v>
      </c>
      <c r="AU94" s="49">
        <f t="shared" si="20"/>
        <v>3185.2035</v>
      </c>
      <c r="AV94" s="48"/>
      <c r="AW94" s="34">
        <f t="shared" si="5"/>
        <v>16261.09</v>
      </c>
      <c r="AX94" s="50">
        <f t="shared" si="6"/>
        <v>3185.2035</v>
      </c>
      <c r="AY94" s="43"/>
      <c r="AZ94" s="27"/>
      <c r="BA94" s="48">
        <f t="shared" si="42"/>
        <v>3185.2035</v>
      </c>
      <c r="BB94" s="27"/>
      <c r="BC94" s="27"/>
      <c r="BD94" s="51"/>
      <c r="BE94" s="52"/>
      <c r="BF94" s="27" t="s">
        <v>382</v>
      </c>
      <c r="BG94" s="53">
        <v>45049.0</v>
      </c>
      <c r="BH94" s="53" t="str">
        <f t="shared" ref="BH94:BH95" si="58">'[1]2023'!Q192</f>
        <v>#REF!</v>
      </c>
      <c r="BI94" s="27"/>
      <c r="BJ94" s="27"/>
      <c r="BK94" s="27" t="s">
        <v>76</v>
      </c>
      <c r="BL94" s="27"/>
    </row>
    <row r="95" ht="14.25" customHeight="1">
      <c r="A95" s="26" t="s">
        <v>55</v>
      </c>
      <c r="B95" s="26" t="s">
        <v>56</v>
      </c>
      <c r="C95" s="26" t="s">
        <v>57</v>
      </c>
      <c r="D95" s="26" t="s">
        <v>81</v>
      </c>
      <c r="E95" s="27" t="s">
        <v>385</v>
      </c>
      <c r="F95" s="26" t="s">
        <v>386</v>
      </c>
      <c r="G95" s="29">
        <v>44988.0</v>
      </c>
      <c r="H95" s="30">
        <v>44988.0</v>
      </c>
      <c r="I95" s="30">
        <v>45353.0</v>
      </c>
      <c r="J95" s="31">
        <v>0.0</v>
      </c>
      <c r="K95" s="26" t="s">
        <v>352</v>
      </c>
      <c r="L95" s="32" t="s">
        <v>75</v>
      </c>
      <c r="M95" s="33">
        <v>28320.0</v>
      </c>
      <c r="N95" s="34">
        <v>30131.88</v>
      </c>
      <c r="O95" s="27" t="s">
        <v>76</v>
      </c>
      <c r="P95" s="35" t="s">
        <v>122</v>
      </c>
      <c r="Q95" s="35" t="s">
        <v>90</v>
      </c>
      <c r="R95" s="36">
        <v>44988.0</v>
      </c>
      <c r="S95" s="35" t="s">
        <v>86</v>
      </c>
      <c r="T95" s="35">
        <v>0.0</v>
      </c>
      <c r="U95" s="37" t="s">
        <v>67</v>
      </c>
      <c r="V95" s="38"/>
      <c r="W95" s="38"/>
      <c r="X95" s="27"/>
      <c r="Y95" s="39"/>
      <c r="Z95" s="39"/>
      <c r="AA95" s="39"/>
      <c r="AB95" s="27"/>
      <c r="AC95" s="27">
        <f t="shared" si="1"/>
        <v>0</v>
      </c>
      <c r="AD95" s="41">
        <f t="shared" ref="AD95:AD97" si="59">IF(AND(S95="0",O95="Paid"),M95*15%,0)</f>
        <v>4248</v>
      </c>
      <c r="AE95" s="42"/>
      <c r="AF95" s="27"/>
      <c r="AG95" s="43">
        <f t="shared" si="55"/>
        <v>7264.08</v>
      </c>
      <c r="AH95" s="29"/>
      <c r="AI95" s="29"/>
      <c r="AJ95" s="29"/>
      <c r="AK95" s="29"/>
      <c r="AL95" s="27"/>
      <c r="AM95" s="44"/>
      <c r="AN95" s="47"/>
      <c r="AO95" s="46"/>
      <c r="AP95" s="47"/>
      <c r="AQ95" s="43">
        <f t="shared" si="56"/>
        <v>7646.4</v>
      </c>
      <c r="AR95" s="43">
        <f t="shared" si="2"/>
        <v>382.32</v>
      </c>
      <c r="AS95" s="43">
        <f t="shared" si="3"/>
        <v>1338.12</v>
      </c>
      <c r="AT95" s="48">
        <f t="shared" si="4"/>
        <v>5925.96</v>
      </c>
      <c r="AU95" s="49">
        <f t="shared" si="20"/>
        <v>5925.96</v>
      </c>
      <c r="AV95" s="48"/>
      <c r="AW95" s="34">
        <f t="shared" si="5"/>
        <v>25883.88</v>
      </c>
      <c r="AX95" s="50">
        <f t="shared" si="6"/>
        <v>1677.96</v>
      </c>
      <c r="AY95" s="43"/>
      <c r="AZ95" s="27"/>
      <c r="BA95" s="48">
        <f t="shared" si="42"/>
        <v>5925.96</v>
      </c>
      <c r="BB95" s="27"/>
      <c r="BC95" s="27"/>
      <c r="BD95" s="51"/>
      <c r="BE95" s="52"/>
      <c r="BF95" s="27" t="s">
        <v>385</v>
      </c>
      <c r="BG95" s="53" t="s">
        <v>219</v>
      </c>
      <c r="BH95" s="53" t="str">
        <f t="shared" si="58"/>
        <v>#REF!</v>
      </c>
      <c r="BI95" s="27"/>
      <c r="BJ95" s="27"/>
      <c r="BK95" s="27" t="s">
        <v>76</v>
      </c>
      <c r="BL95" s="27"/>
    </row>
    <row r="96" ht="14.25" customHeight="1">
      <c r="A96" s="26" t="s">
        <v>55</v>
      </c>
      <c r="B96" s="26" t="s">
        <v>56</v>
      </c>
      <c r="C96" s="26" t="s">
        <v>57</v>
      </c>
      <c r="D96" s="26" t="s">
        <v>81</v>
      </c>
      <c r="E96" s="27" t="s">
        <v>387</v>
      </c>
      <c r="F96" s="26" t="s">
        <v>388</v>
      </c>
      <c r="G96" s="29">
        <v>44988.0</v>
      </c>
      <c r="H96" s="30">
        <v>44988.0</v>
      </c>
      <c r="I96" s="30">
        <v>45353.0</v>
      </c>
      <c r="J96" s="31" t="s">
        <v>389</v>
      </c>
      <c r="K96" s="26" t="s">
        <v>352</v>
      </c>
      <c r="L96" s="32" t="s">
        <v>75</v>
      </c>
      <c r="M96" s="33">
        <v>15600.0</v>
      </c>
      <c r="N96" s="34">
        <v>16661.4</v>
      </c>
      <c r="O96" s="27" t="s">
        <v>76</v>
      </c>
      <c r="P96" s="35" t="s">
        <v>142</v>
      </c>
      <c r="Q96" s="35" t="s">
        <v>108</v>
      </c>
      <c r="R96" s="36">
        <v>44988.0</v>
      </c>
      <c r="S96" s="35" t="s">
        <v>86</v>
      </c>
      <c r="T96" s="35">
        <v>0.0</v>
      </c>
      <c r="U96" s="37" t="s">
        <v>67</v>
      </c>
      <c r="V96" s="38"/>
      <c r="W96" s="38"/>
      <c r="X96" s="27"/>
      <c r="Y96" s="39"/>
      <c r="Z96" s="39"/>
      <c r="AA96" s="39"/>
      <c r="AB96" s="27"/>
      <c r="AC96" s="27">
        <f t="shared" si="1"/>
        <v>0</v>
      </c>
      <c r="AD96" s="41">
        <f t="shared" si="59"/>
        <v>2340</v>
      </c>
      <c r="AE96" s="42"/>
      <c r="AF96" s="27" t="s">
        <v>296</v>
      </c>
      <c r="AG96" s="43">
        <f t="shared" si="55"/>
        <v>4001.4</v>
      </c>
      <c r="AH96" s="29"/>
      <c r="AI96" s="29"/>
      <c r="AJ96" s="29"/>
      <c r="AK96" s="29"/>
      <c r="AL96" s="90"/>
      <c r="AM96" s="44"/>
      <c r="AN96" s="47"/>
      <c r="AO96" s="46"/>
      <c r="AP96" s="47"/>
      <c r="AQ96" s="43">
        <f t="shared" si="56"/>
        <v>4212</v>
      </c>
      <c r="AR96" s="43">
        <f t="shared" si="2"/>
        <v>210.6</v>
      </c>
      <c r="AS96" s="43">
        <f t="shared" si="3"/>
        <v>737.1</v>
      </c>
      <c r="AT96" s="48">
        <f t="shared" si="4"/>
        <v>3264.3</v>
      </c>
      <c r="AU96" s="49">
        <f t="shared" si="20"/>
        <v>3264.3</v>
      </c>
      <c r="AV96" s="48"/>
      <c r="AW96" s="82">
        <f t="shared" si="5"/>
        <v>14321.4</v>
      </c>
      <c r="AX96" s="50">
        <f t="shared" si="6"/>
        <v>924.3</v>
      </c>
      <c r="AY96" s="84"/>
      <c r="AZ96" s="27"/>
      <c r="BA96" s="48">
        <f t="shared" si="42"/>
        <v>3264.3</v>
      </c>
      <c r="BB96" s="27"/>
      <c r="BC96" s="27"/>
      <c r="BD96" s="51"/>
      <c r="BE96" s="52"/>
      <c r="BF96" s="27" t="s">
        <v>387</v>
      </c>
      <c r="BG96" s="58" t="s">
        <v>390</v>
      </c>
      <c r="BH96" s="53" t="str">
        <f>'[1]2023'!Q195</f>
        <v>#REF!</v>
      </c>
      <c r="BI96" s="27"/>
      <c r="BJ96" s="27"/>
      <c r="BK96" s="27" t="s">
        <v>76</v>
      </c>
      <c r="BL96" s="27"/>
    </row>
    <row r="97" ht="14.25" customHeight="1">
      <c r="A97" s="26" t="s">
        <v>55</v>
      </c>
      <c r="B97" s="26" t="s">
        <v>56</v>
      </c>
      <c r="C97" s="26" t="s">
        <v>57</v>
      </c>
      <c r="D97" s="26" t="s">
        <v>81</v>
      </c>
      <c r="E97" s="27" t="s">
        <v>391</v>
      </c>
      <c r="F97" s="26" t="s">
        <v>392</v>
      </c>
      <c r="G97" s="29">
        <v>44988.0</v>
      </c>
      <c r="H97" s="30">
        <v>44988.0</v>
      </c>
      <c r="I97" s="30">
        <v>45353.0</v>
      </c>
      <c r="J97" s="31">
        <v>0.0</v>
      </c>
      <c r="K97" s="26" t="s">
        <v>352</v>
      </c>
      <c r="L97" s="32" t="s">
        <v>393</v>
      </c>
      <c r="M97" s="33">
        <v>18930.75</v>
      </c>
      <c r="N97" s="34">
        <v>20188.66</v>
      </c>
      <c r="O97" s="27" t="s">
        <v>76</v>
      </c>
      <c r="P97" s="35" t="s">
        <v>142</v>
      </c>
      <c r="Q97" s="35" t="s">
        <v>90</v>
      </c>
      <c r="R97" s="36">
        <v>44988.0</v>
      </c>
      <c r="S97" s="35" t="s">
        <v>86</v>
      </c>
      <c r="T97" s="35">
        <v>0.0</v>
      </c>
      <c r="U97" s="37" t="s">
        <v>67</v>
      </c>
      <c r="V97" s="38"/>
      <c r="W97" s="38"/>
      <c r="X97" s="27"/>
      <c r="Y97" s="39"/>
      <c r="Z97" s="39"/>
      <c r="AA97" s="39"/>
      <c r="AB97" s="27"/>
      <c r="AC97" s="27">
        <f t="shared" si="1"/>
        <v>0</v>
      </c>
      <c r="AD97" s="41">
        <f t="shared" si="59"/>
        <v>2839.6125</v>
      </c>
      <c r="AE97" s="42"/>
      <c r="AF97" s="29">
        <v>45020.0</v>
      </c>
      <c r="AG97" s="43">
        <f t="shared" si="55"/>
        <v>4855.737375</v>
      </c>
      <c r="AH97" s="29"/>
      <c r="AI97" s="29"/>
      <c r="AJ97" s="29"/>
      <c r="AK97" s="29"/>
      <c r="AL97" s="27"/>
      <c r="AM97" s="44"/>
      <c r="AN97" s="47"/>
      <c r="AO97" s="46"/>
      <c r="AP97" s="47"/>
      <c r="AQ97" s="43">
        <f t="shared" si="56"/>
        <v>5111.3025</v>
      </c>
      <c r="AR97" s="43">
        <f t="shared" si="2"/>
        <v>255.565125</v>
      </c>
      <c r="AS97" s="43">
        <f t="shared" si="3"/>
        <v>894.4779375</v>
      </c>
      <c r="AT97" s="48">
        <f t="shared" si="4"/>
        <v>3961.259438</v>
      </c>
      <c r="AU97" s="49">
        <f t="shared" si="20"/>
        <v>3961.259438</v>
      </c>
      <c r="AV97" s="48"/>
      <c r="AW97" s="34">
        <f t="shared" si="5"/>
        <v>17349.0475</v>
      </c>
      <c r="AX97" s="50">
        <f t="shared" si="6"/>
        <v>1121.646938</v>
      </c>
      <c r="AY97" s="43"/>
      <c r="AZ97" s="27"/>
      <c r="BA97" s="48">
        <f t="shared" si="42"/>
        <v>3961.259438</v>
      </c>
      <c r="BB97" s="27"/>
      <c r="BC97" s="27"/>
      <c r="BD97" s="51"/>
      <c r="BE97" s="52"/>
      <c r="BF97" s="27" t="s">
        <v>391</v>
      </c>
      <c r="BG97" s="58" t="s">
        <v>394</v>
      </c>
      <c r="BH97" s="53" t="str">
        <f>'[1]2023'!Q218</f>
        <v>#REF!</v>
      </c>
      <c r="BI97" s="27"/>
      <c r="BJ97" s="27"/>
      <c r="BK97" s="27" t="s">
        <v>76</v>
      </c>
      <c r="BL97" s="27"/>
    </row>
    <row r="98" ht="14.25" customHeight="1">
      <c r="A98" s="26" t="s">
        <v>55</v>
      </c>
      <c r="B98" s="26" t="s">
        <v>56</v>
      </c>
      <c r="C98" s="26" t="s">
        <v>57</v>
      </c>
      <c r="D98" s="26" t="s">
        <v>81</v>
      </c>
      <c r="E98" s="27" t="s">
        <v>395</v>
      </c>
      <c r="F98" s="26" t="s">
        <v>396</v>
      </c>
      <c r="G98" s="29">
        <v>44988.0</v>
      </c>
      <c r="H98" s="30">
        <v>44988.0</v>
      </c>
      <c r="I98" s="30">
        <v>45353.0</v>
      </c>
      <c r="J98" s="31">
        <v>0.0</v>
      </c>
      <c r="K98" s="26" t="s">
        <v>352</v>
      </c>
      <c r="L98" s="32" t="s">
        <v>63</v>
      </c>
      <c r="M98" s="33">
        <v>0.0</v>
      </c>
      <c r="N98" s="34">
        <v>0.0</v>
      </c>
      <c r="O98" s="27" t="s">
        <v>64</v>
      </c>
      <c r="P98" s="35">
        <v>0.0</v>
      </c>
      <c r="Q98" s="35">
        <v>0.0</v>
      </c>
      <c r="R98" s="36">
        <v>44988.0</v>
      </c>
      <c r="S98" s="35" t="s">
        <v>86</v>
      </c>
      <c r="T98" s="35">
        <v>0.0</v>
      </c>
      <c r="U98" s="37" t="s">
        <v>67</v>
      </c>
      <c r="V98" s="38"/>
      <c r="W98" s="38"/>
      <c r="X98" s="27"/>
      <c r="Y98" s="39"/>
      <c r="Z98" s="39"/>
      <c r="AA98" s="39"/>
      <c r="AB98" s="27"/>
      <c r="AC98" s="27">
        <f t="shared" si="1"/>
        <v>0</v>
      </c>
      <c r="AD98" s="41">
        <f>IF(AND(S98="0",O98="Paid"),(M98*15%)-AC98,0)</f>
        <v>0</v>
      </c>
      <c r="AE98" s="42"/>
      <c r="AF98" s="27"/>
      <c r="AG98" s="43">
        <f t="shared" si="55"/>
        <v>0</v>
      </c>
      <c r="AH98" s="29"/>
      <c r="AI98" s="29"/>
      <c r="AJ98" s="29"/>
      <c r="AK98" s="29"/>
      <c r="AL98" s="27"/>
      <c r="AM98" s="44"/>
      <c r="AN98" s="47"/>
      <c r="AO98" s="46"/>
      <c r="AP98" s="47"/>
      <c r="AQ98" s="43" t="b">
        <f>IF(O98="Paid",IF(U98="Motor Plus",(M98*27%),IF(U98="Motor One",(M98*22%),(IF(U98="Golden",(M98*25%),(IF(U98="Classic",(M98*15%),(IF(U98="Wethaq",(M98*28%),IF(U98="Alwataniya",(M98*21%))*0)))))))))</f>
        <v>0</v>
      </c>
      <c r="AR98" s="43">
        <f t="shared" si="2"/>
        <v>0</v>
      </c>
      <c r="AS98" s="43">
        <f t="shared" si="3"/>
        <v>0</v>
      </c>
      <c r="AT98" s="48">
        <f t="shared" si="4"/>
        <v>0</v>
      </c>
      <c r="AU98" s="49">
        <f t="shared" si="20"/>
        <v>0</v>
      </c>
      <c r="AV98" s="48"/>
      <c r="AW98" s="34">
        <f t="shared" si="5"/>
        <v>0</v>
      </c>
      <c r="AX98" s="50">
        <f t="shared" si="6"/>
        <v>0</v>
      </c>
      <c r="AY98" s="43"/>
      <c r="AZ98" s="27"/>
      <c r="BA98" s="48">
        <f t="shared" si="42"/>
        <v>0</v>
      </c>
      <c r="BB98" s="27"/>
      <c r="BC98" s="27"/>
      <c r="BD98" s="51"/>
      <c r="BE98" s="52"/>
      <c r="BF98" s="27" t="s">
        <v>395</v>
      </c>
      <c r="BG98" s="53">
        <v>0.0</v>
      </c>
      <c r="BH98" s="53" t="str">
        <f t="shared" ref="BH98:BH99" si="60">'[1]2023'!Q254</f>
        <v>#REF!</v>
      </c>
      <c r="BI98" s="27"/>
      <c r="BJ98" s="27"/>
      <c r="BK98" s="27" t="s">
        <v>64</v>
      </c>
      <c r="BL98" s="27"/>
    </row>
    <row r="99" ht="14.25" customHeight="1">
      <c r="A99" s="26" t="s">
        <v>55</v>
      </c>
      <c r="B99" s="26" t="s">
        <v>56</v>
      </c>
      <c r="C99" s="26" t="s">
        <v>57</v>
      </c>
      <c r="D99" s="26" t="s">
        <v>81</v>
      </c>
      <c r="E99" s="27" t="s">
        <v>397</v>
      </c>
      <c r="F99" s="26" t="s">
        <v>398</v>
      </c>
      <c r="G99" s="29">
        <v>44988.0</v>
      </c>
      <c r="H99" s="30">
        <v>44988.0</v>
      </c>
      <c r="I99" s="30">
        <v>45353.0</v>
      </c>
      <c r="J99" s="31">
        <v>0.0</v>
      </c>
      <c r="K99" s="26" t="s">
        <v>352</v>
      </c>
      <c r="L99" s="32" t="s">
        <v>75</v>
      </c>
      <c r="M99" s="33">
        <v>8160.0</v>
      </c>
      <c r="N99" s="34">
        <v>8782.44</v>
      </c>
      <c r="O99" s="27" t="s">
        <v>76</v>
      </c>
      <c r="P99" s="35" t="s">
        <v>122</v>
      </c>
      <c r="Q99" s="35" t="s">
        <v>85</v>
      </c>
      <c r="R99" s="36">
        <v>44988.0</v>
      </c>
      <c r="S99" s="35" t="s">
        <v>86</v>
      </c>
      <c r="T99" s="35">
        <v>0.0</v>
      </c>
      <c r="U99" s="37" t="s">
        <v>67</v>
      </c>
      <c r="V99" s="38"/>
      <c r="W99" s="38"/>
      <c r="X99" s="27"/>
      <c r="Y99" s="39"/>
      <c r="Z99" s="39"/>
      <c r="AA99" s="39"/>
      <c r="AB99" s="27"/>
      <c r="AC99" s="27">
        <f t="shared" si="1"/>
        <v>0</v>
      </c>
      <c r="AD99" s="41">
        <f>IF(AND(S99="0",O99="Paid"),M99*15%,0)</f>
        <v>1224</v>
      </c>
      <c r="AE99" s="42"/>
      <c r="AF99" s="87">
        <v>45020.0</v>
      </c>
      <c r="AG99" s="43">
        <f t="shared" si="55"/>
        <v>2093.04</v>
      </c>
      <c r="AH99" s="29"/>
      <c r="AI99" s="29"/>
      <c r="AJ99" s="29"/>
      <c r="AK99" s="29"/>
      <c r="AL99" s="27"/>
      <c r="AM99" s="44"/>
      <c r="AN99" s="47"/>
      <c r="AO99" s="46"/>
      <c r="AP99" s="47"/>
      <c r="AQ99" s="43">
        <f>IF(U99="Motor Plus",(M99*27%),IF(U99="Motor One",(M99*22%),(IF(U99="Golden",(M99*25%),(IF(U99="Classic",(M99*15%),(IF(U99="Wethaq",(M99*28%),IF(U99="Alwataniya",(M99*21%))*0))))))))</f>
        <v>2203.2</v>
      </c>
      <c r="AR99" s="43">
        <f t="shared" si="2"/>
        <v>110.16</v>
      </c>
      <c r="AS99" s="43">
        <f t="shared" si="3"/>
        <v>385.56</v>
      </c>
      <c r="AT99" s="48">
        <f t="shared" si="4"/>
        <v>1707.48</v>
      </c>
      <c r="AU99" s="49">
        <f t="shared" si="20"/>
        <v>1707.48</v>
      </c>
      <c r="AV99" s="48"/>
      <c r="AW99" s="34">
        <f t="shared" si="5"/>
        <v>7558.44</v>
      </c>
      <c r="AX99" s="50">
        <f t="shared" si="6"/>
        <v>483.48</v>
      </c>
      <c r="AY99" s="43"/>
      <c r="AZ99" s="27"/>
      <c r="BA99" s="48">
        <f t="shared" si="42"/>
        <v>1707.48</v>
      </c>
      <c r="BB99" s="27"/>
      <c r="BC99" s="27"/>
      <c r="BD99" s="51"/>
      <c r="BE99" s="52"/>
      <c r="BF99" s="27" t="s">
        <v>397</v>
      </c>
      <c r="BG99" s="53" t="s">
        <v>206</v>
      </c>
      <c r="BH99" s="53" t="str">
        <f t="shared" si="60"/>
        <v>#REF!</v>
      </c>
      <c r="BI99" s="27"/>
      <c r="BJ99" s="27"/>
      <c r="BK99" s="27" t="s">
        <v>76</v>
      </c>
      <c r="BL99" s="27"/>
    </row>
    <row r="100" ht="14.25" customHeight="1">
      <c r="A100" s="26" t="s">
        <v>55</v>
      </c>
      <c r="B100" s="26" t="s">
        <v>56</v>
      </c>
      <c r="C100" s="26" t="s">
        <v>57</v>
      </c>
      <c r="D100" s="26" t="s">
        <v>81</v>
      </c>
      <c r="E100" s="27" t="s">
        <v>399</v>
      </c>
      <c r="F100" s="28" t="s">
        <v>400</v>
      </c>
      <c r="G100" s="29">
        <v>44988.0</v>
      </c>
      <c r="H100" s="30">
        <v>44988.0</v>
      </c>
      <c r="I100" s="30">
        <v>45353.0</v>
      </c>
      <c r="J100" s="31" t="s">
        <v>401</v>
      </c>
      <c r="K100" s="26" t="s">
        <v>352</v>
      </c>
      <c r="L100" s="32" t="s">
        <v>63</v>
      </c>
      <c r="M100" s="33">
        <v>0.0</v>
      </c>
      <c r="N100" s="34">
        <v>0.0</v>
      </c>
      <c r="O100" s="27" t="s">
        <v>64</v>
      </c>
      <c r="P100" s="35">
        <v>0.0</v>
      </c>
      <c r="Q100" s="35" t="s">
        <v>90</v>
      </c>
      <c r="R100" s="36">
        <v>44988.0</v>
      </c>
      <c r="S100" s="35" t="s">
        <v>86</v>
      </c>
      <c r="T100" s="35">
        <v>0.0</v>
      </c>
      <c r="U100" s="37" t="s">
        <v>67</v>
      </c>
      <c r="V100" s="38"/>
      <c r="W100" s="38"/>
      <c r="X100" s="27"/>
      <c r="Y100" s="39"/>
      <c r="Z100" s="39"/>
      <c r="AA100" s="39"/>
      <c r="AB100" s="40"/>
      <c r="AC100" s="27">
        <f t="shared" si="1"/>
        <v>0</v>
      </c>
      <c r="AD100" s="41">
        <f>IF(AND(S100="0",O100="Paid"),(M100*15%)-AC100,0)</f>
        <v>0</v>
      </c>
      <c r="AE100" s="42"/>
      <c r="AF100" s="27"/>
      <c r="AG100" s="43">
        <f t="shared" si="55"/>
        <v>0</v>
      </c>
      <c r="AH100" s="29"/>
      <c r="AI100" s="29"/>
      <c r="AJ100" s="29"/>
      <c r="AK100" s="29"/>
      <c r="AL100" s="27"/>
      <c r="AM100" s="44"/>
      <c r="AN100" s="47"/>
      <c r="AO100" s="46"/>
      <c r="AP100" s="47"/>
      <c r="AQ100" s="43" t="b">
        <f>IF(O100="Paid",IF(U100="Motor Plus",(M100*27%),IF(U100="Motor One",(M100*22%),(IF(U100="Golden",(M100*25%),(IF(U100="Classic",(M100*15%),(IF(U100="Wethaq",(M100*28%),IF(U100="Alwataniya",(M100*21%))*0)))))))))</f>
        <v>0</v>
      </c>
      <c r="AR100" s="43">
        <f t="shared" si="2"/>
        <v>0</v>
      </c>
      <c r="AS100" s="43">
        <f t="shared" si="3"/>
        <v>0</v>
      </c>
      <c r="AT100" s="48">
        <f t="shared" si="4"/>
        <v>0</v>
      </c>
      <c r="AU100" s="49">
        <f t="shared" si="20"/>
        <v>0</v>
      </c>
      <c r="AV100" s="48"/>
      <c r="AW100" s="34">
        <f t="shared" si="5"/>
        <v>0</v>
      </c>
      <c r="AX100" s="50">
        <f t="shared" si="6"/>
        <v>0</v>
      </c>
      <c r="AY100" s="43"/>
      <c r="AZ100" s="27"/>
      <c r="BA100" s="48">
        <f t="shared" si="42"/>
        <v>0</v>
      </c>
      <c r="BB100" s="27"/>
      <c r="BC100" s="27"/>
      <c r="BD100" s="51"/>
      <c r="BE100" s="52"/>
      <c r="BF100" s="27" t="s">
        <v>399</v>
      </c>
      <c r="BG100" s="53">
        <v>0.0</v>
      </c>
      <c r="BH100" s="53" t="str">
        <f>'[1]2023'!Q266</f>
        <v>#REF!</v>
      </c>
      <c r="BI100" s="27"/>
      <c r="BJ100" s="27"/>
      <c r="BK100" s="27" t="s">
        <v>64</v>
      </c>
      <c r="BL100" s="27"/>
    </row>
    <row r="101" ht="14.25" customHeight="1">
      <c r="A101" s="26" t="s">
        <v>55</v>
      </c>
      <c r="B101" s="26" t="s">
        <v>56</v>
      </c>
      <c r="C101" s="26" t="s">
        <v>57</v>
      </c>
      <c r="D101" s="26" t="s">
        <v>71</v>
      </c>
      <c r="E101" s="27" t="s">
        <v>402</v>
      </c>
      <c r="F101" s="28" t="s">
        <v>403</v>
      </c>
      <c r="G101" s="29">
        <v>44988.0</v>
      </c>
      <c r="H101" s="30">
        <v>44988.0</v>
      </c>
      <c r="I101" s="30">
        <v>45353.0</v>
      </c>
      <c r="J101" s="31" t="s">
        <v>404</v>
      </c>
      <c r="K101" s="26" t="s">
        <v>352</v>
      </c>
      <c r="L101" s="73" t="s">
        <v>405</v>
      </c>
      <c r="M101" s="33">
        <v>32450.0</v>
      </c>
      <c r="N101" s="34">
        <v>34505.55</v>
      </c>
      <c r="O101" s="27" t="s">
        <v>76</v>
      </c>
      <c r="P101" s="35" t="s">
        <v>89</v>
      </c>
      <c r="Q101" s="35" t="s">
        <v>65</v>
      </c>
      <c r="R101" s="36">
        <v>44988.0</v>
      </c>
      <c r="S101" s="35" t="s">
        <v>78</v>
      </c>
      <c r="T101" s="35">
        <v>0.0</v>
      </c>
      <c r="U101" s="37" t="s">
        <v>67</v>
      </c>
      <c r="V101" s="38">
        <v>1100000.0</v>
      </c>
      <c r="W101" s="78" t="s">
        <v>406</v>
      </c>
      <c r="X101" s="27">
        <v>2021.0</v>
      </c>
      <c r="Y101" s="39"/>
      <c r="Z101" s="79" t="s">
        <v>407</v>
      </c>
      <c r="AA101" s="39"/>
      <c r="AB101" s="40">
        <v>0.15</v>
      </c>
      <c r="AC101" s="27">
        <f t="shared" si="1"/>
        <v>4867.5</v>
      </c>
      <c r="AD101" s="41"/>
      <c r="AE101" s="42"/>
      <c r="AF101" s="27"/>
      <c r="AG101" s="43">
        <f t="shared" si="55"/>
        <v>8323.425</v>
      </c>
      <c r="AH101" s="29"/>
      <c r="AI101" s="29"/>
      <c r="AJ101" s="29"/>
      <c r="AK101" s="75"/>
      <c r="AL101" s="44"/>
      <c r="AM101" s="44"/>
      <c r="AN101" s="47"/>
      <c r="AO101" s="46"/>
      <c r="AP101" s="47"/>
      <c r="AQ101" s="43">
        <f t="shared" ref="AQ101:AQ103" si="61">IF(U101="Motor Plus",(M101*27%),IF(U101="Motor One",(M101*22%),(IF(U101="Golden",(M101*25%),(IF(U101="Classic",(M101*15%),(IF(U101="Wethaq",(M101*28%),IF(U101="Alwataniya",(M101*21%))*0))))))))</f>
        <v>8761.5</v>
      </c>
      <c r="AR101" s="43">
        <f t="shared" si="2"/>
        <v>438.075</v>
      </c>
      <c r="AS101" s="43">
        <f t="shared" si="3"/>
        <v>1533.2625</v>
      </c>
      <c r="AT101" s="48">
        <f t="shared" si="4"/>
        <v>6790.1625</v>
      </c>
      <c r="AU101" s="49">
        <f t="shared" si="20"/>
        <v>1922.6625</v>
      </c>
      <c r="AV101" s="48"/>
      <c r="AW101" s="34">
        <f t="shared" si="5"/>
        <v>29638.05</v>
      </c>
      <c r="AX101" s="50">
        <f t="shared" si="6"/>
        <v>6790.1625</v>
      </c>
      <c r="AY101" s="48"/>
      <c r="AZ101" s="27"/>
      <c r="BA101" s="48">
        <f t="shared" si="42"/>
        <v>1922.6625</v>
      </c>
      <c r="BB101" s="27"/>
      <c r="BC101" s="27"/>
      <c r="BD101" s="51"/>
      <c r="BE101" s="52"/>
      <c r="BF101" s="27" t="s">
        <v>402</v>
      </c>
      <c r="BG101" s="58" t="s">
        <v>408</v>
      </c>
      <c r="BH101" s="53" t="str">
        <f>'[1]2023'!Q276</f>
        <v>#REF!</v>
      </c>
      <c r="BI101" s="27"/>
      <c r="BJ101" s="27"/>
      <c r="BK101" s="27" t="s">
        <v>76</v>
      </c>
      <c r="BL101" s="64" t="s">
        <v>409</v>
      </c>
    </row>
    <row r="102" ht="14.25" customHeight="1">
      <c r="A102" s="26" t="s">
        <v>55</v>
      </c>
      <c r="B102" s="26" t="s">
        <v>56</v>
      </c>
      <c r="C102" s="26" t="s">
        <v>57</v>
      </c>
      <c r="D102" s="26" t="s">
        <v>81</v>
      </c>
      <c r="E102" s="27" t="s">
        <v>410</v>
      </c>
      <c r="F102" s="26" t="s">
        <v>411</v>
      </c>
      <c r="G102" s="29">
        <v>44988.0</v>
      </c>
      <c r="H102" s="30">
        <v>44988.0</v>
      </c>
      <c r="I102" s="30">
        <v>45353.0</v>
      </c>
      <c r="J102" s="31">
        <v>0.0</v>
      </c>
      <c r="K102" s="26" t="s">
        <v>352</v>
      </c>
      <c r="L102" s="32" t="s">
        <v>75</v>
      </c>
      <c r="M102" s="33">
        <v>19563.42</v>
      </c>
      <c r="N102" s="34">
        <v>20858.66</v>
      </c>
      <c r="O102" s="27" t="s">
        <v>76</v>
      </c>
      <c r="P102" s="35" t="s">
        <v>104</v>
      </c>
      <c r="Q102" s="35" t="s">
        <v>65</v>
      </c>
      <c r="R102" s="36">
        <v>44988.0</v>
      </c>
      <c r="S102" s="35" t="s">
        <v>86</v>
      </c>
      <c r="T102" s="35">
        <v>0.0</v>
      </c>
      <c r="U102" s="37" t="s">
        <v>67</v>
      </c>
      <c r="V102" s="38"/>
      <c r="W102" s="38"/>
      <c r="X102" s="27"/>
      <c r="Y102" s="39"/>
      <c r="Z102" s="39"/>
      <c r="AA102" s="39"/>
      <c r="AB102" s="40"/>
      <c r="AC102" s="27">
        <f t="shared" si="1"/>
        <v>0</v>
      </c>
      <c r="AD102" s="41"/>
      <c r="AE102" s="42"/>
      <c r="AF102" s="27"/>
      <c r="AG102" s="43">
        <f t="shared" si="55"/>
        <v>5018.01723</v>
      </c>
      <c r="AH102" s="29"/>
      <c r="AI102" s="29"/>
      <c r="AJ102" s="29"/>
      <c r="AK102" s="29"/>
      <c r="AL102" s="27"/>
      <c r="AM102" s="44"/>
      <c r="AN102" s="47"/>
      <c r="AO102" s="46"/>
      <c r="AP102" s="47"/>
      <c r="AQ102" s="43">
        <f t="shared" si="61"/>
        <v>5282.1234</v>
      </c>
      <c r="AR102" s="43">
        <f t="shared" si="2"/>
        <v>264.10617</v>
      </c>
      <c r="AS102" s="43">
        <f t="shared" si="3"/>
        <v>924.371595</v>
      </c>
      <c r="AT102" s="48">
        <f t="shared" si="4"/>
        <v>4093.645635</v>
      </c>
      <c r="AU102" s="49">
        <f t="shared" si="20"/>
        <v>4093.645635</v>
      </c>
      <c r="AV102" s="48"/>
      <c r="AW102" s="34">
        <f t="shared" si="5"/>
        <v>20858.66</v>
      </c>
      <c r="AX102" s="50">
        <f t="shared" si="6"/>
        <v>4093.645635</v>
      </c>
      <c r="AY102" s="43"/>
      <c r="AZ102" s="27"/>
      <c r="BA102" s="48">
        <f t="shared" si="42"/>
        <v>4093.645635</v>
      </c>
      <c r="BB102" s="27"/>
      <c r="BC102" s="27"/>
      <c r="BD102" s="51"/>
      <c r="BE102" s="52"/>
      <c r="BF102" s="27" t="s">
        <v>410</v>
      </c>
      <c r="BG102" s="53" t="s">
        <v>412</v>
      </c>
      <c r="BH102" s="53" t="str">
        <f>'[1]2023'!Q346</f>
        <v>#REF!</v>
      </c>
      <c r="BI102" s="27"/>
      <c r="BJ102" s="27"/>
      <c r="BK102" s="27" t="s">
        <v>76</v>
      </c>
      <c r="BL102" s="27"/>
    </row>
    <row r="103" ht="14.25" customHeight="1">
      <c r="A103" s="26" t="s">
        <v>55</v>
      </c>
      <c r="B103" s="26" t="s">
        <v>56</v>
      </c>
      <c r="C103" s="26" t="s">
        <v>57</v>
      </c>
      <c r="D103" s="26" t="s">
        <v>81</v>
      </c>
      <c r="E103" s="27" t="s">
        <v>413</v>
      </c>
      <c r="F103" s="28" t="s">
        <v>414</v>
      </c>
      <c r="G103" s="29">
        <v>44989.0</v>
      </c>
      <c r="H103" s="30">
        <v>44989.0</v>
      </c>
      <c r="I103" s="30">
        <v>45354.0</v>
      </c>
      <c r="J103" s="31" t="s">
        <v>415</v>
      </c>
      <c r="K103" s="26" t="s">
        <v>352</v>
      </c>
      <c r="L103" s="73" t="s">
        <v>75</v>
      </c>
      <c r="M103" s="33">
        <v>22715.0</v>
      </c>
      <c r="N103" s="34">
        <v>24196.19</v>
      </c>
      <c r="O103" s="27" t="s">
        <v>76</v>
      </c>
      <c r="P103" s="35" t="s">
        <v>104</v>
      </c>
      <c r="Q103" s="35" t="s">
        <v>65</v>
      </c>
      <c r="R103" s="36">
        <v>44989.0</v>
      </c>
      <c r="S103" s="35" t="s">
        <v>78</v>
      </c>
      <c r="T103" s="35" t="s">
        <v>416</v>
      </c>
      <c r="U103" s="37" t="s">
        <v>67</v>
      </c>
      <c r="V103" s="38"/>
      <c r="W103" s="38"/>
      <c r="X103" s="27"/>
      <c r="Y103" s="39"/>
      <c r="Z103" s="39"/>
      <c r="AA103" s="39"/>
      <c r="AB103" s="40"/>
      <c r="AC103" s="27">
        <f t="shared" si="1"/>
        <v>0</v>
      </c>
      <c r="AD103" s="41"/>
      <c r="AE103" s="42"/>
      <c r="AF103" s="27"/>
      <c r="AG103" s="43">
        <f t="shared" si="55"/>
        <v>5826.3975</v>
      </c>
      <c r="AH103" s="29"/>
      <c r="AI103" s="29"/>
      <c r="AJ103" s="29"/>
      <c r="AK103" s="75"/>
      <c r="AL103" s="44"/>
      <c r="AM103" s="27"/>
      <c r="AN103" s="80"/>
      <c r="AO103" s="76">
        <f>(M103*15%)</f>
        <v>3407.25</v>
      </c>
      <c r="AP103" s="91" t="s">
        <v>417</v>
      </c>
      <c r="AQ103" s="43">
        <f t="shared" si="61"/>
        <v>6133.05</v>
      </c>
      <c r="AR103" s="43">
        <f t="shared" si="2"/>
        <v>306.6525</v>
      </c>
      <c r="AS103" s="43">
        <f t="shared" si="3"/>
        <v>1073.28375</v>
      </c>
      <c r="AT103" s="48">
        <f t="shared" si="4"/>
        <v>4753.11375</v>
      </c>
      <c r="AU103" s="49">
        <f t="shared" si="20"/>
        <v>4753.11375</v>
      </c>
      <c r="AV103" s="48"/>
      <c r="AW103" s="34">
        <f t="shared" si="5"/>
        <v>24196.19</v>
      </c>
      <c r="AX103" s="50">
        <f t="shared" si="6"/>
        <v>1345.86375</v>
      </c>
      <c r="AY103" s="48"/>
      <c r="AZ103" s="27"/>
      <c r="BA103" s="48">
        <f t="shared" si="42"/>
        <v>1345.86375</v>
      </c>
      <c r="BB103" s="27"/>
      <c r="BC103" s="27">
        <v>0.0</v>
      </c>
      <c r="BD103" s="51"/>
      <c r="BE103" s="52"/>
      <c r="BF103" s="27" t="s">
        <v>413</v>
      </c>
      <c r="BG103" s="53">
        <v>45080.0</v>
      </c>
      <c r="BH103" s="53" t="str">
        <f>'[1]2023'!Q262</f>
        <v>#REF!</v>
      </c>
      <c r="BI103" s="27"/>
      <c r="BJ103" s="27"/>
      <c r="BK103" s="27" t="s">
        <v>76</v>
      </c>
      <c r="BL103" s="27"/>
    </row>
    <row r="104" ht="14.25" customHeight="1">
      <c r="A104" s="26" t="s">
        <v>55</v>
      </c>
      <c r="B104" s="26" t="s">
        <v>56</v>
      </c>
      <c r="C104" s="26" t="s">
        <v>57</v>
      </c>
      <c r="D104" s="26" t="s">
        <v>81</v>
      </c>
      <c r="E104" s="27" t="s">
        <v>418</v>
      </c>
      <c r="F104" s="26" t="s">
        <v>419</v>
      </c>
      <c r="G104" s="29">
        <v>44989.0</v>
      </c>
      <c r="H104" s="30">
        <v>44989.0</v>
      </c>
      <c r="I104" s="30">
        <v>45354.0</v>
      </c>
      <c r="J104" s="31">
        <v>0.0</v>
      </c>
      <c r="K104" s="26" t="s">
        <v>420</v>
      </c>
      <c r="L104" s="73" t="s">
        <v>63</v>
      </c>
      <c r="M104" s="33">
        <v>0.0</v>
      </c>
      <c r="N104" s="34">
        <v>0.0</v>
      </c>
      <c r="O104" s="27" t="s">
        <v>64</v>
      </c>
      <c r="P104" s="35">
        <v>0.0</v>
      </c>
      <c r="Q104" s="35" t="s">
        <v>65</v>
      </c>
      <c r="R104" s="36">
        <v>44989.0</v>
      </c>
      <c r="S104" s="35" t="s">
        <v>86</v>
      </c>
      <c r="T104" s="35">
        <v>0.0</v>
      </c>
      <c r="U104" s="37" t="s">
        <v>67</v>
      </c>
      <c r="V104" s="38"/>
      <c r="W104" s="38"/>
      <c r="X104" s="27"/>
      <c r="Y104" s="39"/>
      <c r="Z104" s="39"/>
      <c r="AA104" s="39"/>
      <c r="AB104" s="40"/>
      <c r="AC104" s="27">
        <f t="shared" si="1"/>
        <v>0</v>
      </c>
      <c r="AD104" s="41">
        <f>IF(AND(S104="0",O104="Paid"),(M104*15%)-AC104,0)</f>
        <v>0</v>
      </c>
      <c r="AE104" s="42"/>
      <c r="AF104" s="27"/>
      <c r="AG104" s="43">
        <f t="shared" si="55"/>
        <v>0</v>
      </c>
      <c r="AH104" s="29"/>
      <c r="AI104" s="29"/>
      <c r="AJ104" s="29"/>
      <c r="AK104" s="75"/>
      <c r="AL104" s="44"/>
      <c r="AM104" s="27"/>
      <c r="AN104" s="47"/>
      <c r="AO104" s="46"/>
      <c r="AP104" s="68"/>
      <c r="AQ104" s="43" t="b">
        <f>IF(O104="Paid",IF(U104="Motor Plus",(M104*27%),IF(U104="Motor One",(M104*22%),(IF(U104="Golden",(M104*25%),(IF(U104="Classic",(M104*15%),(IF(U104="Wethaq",(M104*28%),IF(U104="Alwataniya",(M104*21%))*0)))))))))</f>
        <v>0</v>
      </c>
      <c r="AR104" s="43">
        <f t="shared" si="2"/>
        <v>0</v>
      </c>
      <c r="AS104" s="43">
        <f t="shared" si="3"/>
        <v>0</v>
      </c>
      <c r="AT104" s="48">
        <f t="shared" si="4"/>
        <v>0</v>
      </c>
      <c r="AU104" s="49">
        <f t="shared" si="20"/>
        <v>0</v>
      </c>
      <c r="AV104" s="48"/>
      <c r="AW104" s="34">
        <f t="shared" si="5"/>
        <v>0</v>
      </c>
      <c r="AX104" s="50">
        <f t="shared" si="6"/>
        <v>0</v>
      </c>
      <c r="AY104" s="48"/>
      <c r="AZ104" s="27"/>
      <c r="BA104" s="48">
        <f t="shared" si="42"/>
        <v>0</v>
      </c>
      <c r="BB104" s="27"/>
      <c r="BC104" s="27"/>
      <c r="BD104" s="51"/>
      <c r="BE104" s="52"/>
      <c r="BF104" s="27" t="s">
        <v>418</v>
      </c>
      <c r="BG104" s="53">
        <v>0.0</v>
      </c>
      <c r="BH104" s="53" t="str">
        <f>'[1]2023'!Q347</f>
        <v>#REF!</v>
      </c>
      <c r="BI104" s="27"/>
      <c r="BJ104" s="27"/>
      <c r="BK104" s="27" t="s">
        <v>64</v>
      </c>
      <c r="BL104" s="27"/>
    </row>
    <row r="105" ht="14.25" customHeight="1">
      <c r="A105" s="26" t="s">
        <v>55</v>
      </c>
      <c r="B105" s="26" t="s">
        <v>56</v>
      </c>
      <c r="C105" s="26" t="s">
        <v>57</v>
      </c>
      <c r="D105" s="26" t="s">
        <v>81</v>
      </c>
      <c r="E105" s="27" t="s">
        <v>421</v>
      </c>
      <c r="F105" s="26" t="s">
        <v>422</v>
      </c>
      <c r="G105" s="29">
        <v>44989.0</v>
      </c>
      <c r="H105" s="30">
        <v>44989.0</v>
      </c>
      <c r="I105" s="30">
        <v>45354.0</v>
      </c>
      <c r="J105" s="31">
        <v>0.0</v>
      </c>
      <c r="K105" s="26" t="s">
        <v>420</v>
      </c>
      <c r="L105" s="32" t="s">
        <v>75</v>
      </c>
      <c r="M105" s="33">
        <v>18172.0</v>
      </c>
      <c r="N105" s="34">
        <v>19385.14</v>
      </c>
      <c r="O105" s="27" t="s">
        <v>76</v>
      </c>
      <c r="P105" s="35" t="s">
        <v>122</v>
      </c>
      <c r="Q105" s="35" t="s">
        <v>85</v>
      </c>
      <c r="R105" s="36">
        <v>44989.0</v>
      </c>
      <c r="S105" s="35" t="s">
        <v>86</v>
      </c>
      <c r="T105" s="35">
        <v>0.0</v>
      </c>
      <c r="U105" s="37" t="s">
        <v>67</v>
      </c>
      <c r="V105" s="38"/>
      <c r="W105" s="38"/>
      <c r="X105" s="27"/>
      <c r="Y105" s="39"/>
      <c r="Z105" s="39"/>
      <c r="AA105" s="39"/>
      <c r="AB105" s="40"/>
      <c r="AC105" s="27">
        <f t="shared" si="1"/>
        <v>0</v>
      </c>
      <c r="AD105" s="41">
        <f>IF(AND(S105="0",O105="Paid"),M105*15%,0)</f>
        <v>2725.8</v>
      </c>
      <c r="AE105" s="42"/>
      <c r="AF105" s="92">
        <v>45112.0</v>
      </c>
      <c r="AG105" s="43">
        <f t="shared" si="55"/>
        <v>4661.118</v>
      </c>
      <c r="AH105" s="29"/>
      <c r="AI105" s="29"/>
      <c r="AJ105" s="29"/>
      <c r="AK105" s="29"/>
      <c r="AL105" s="27"/>
      <c r="AM105" s="44"/>
      <c r="AN105" s="68"/>
      <c r="AO105" s="46"/>
      <c r="AP105" s="47"/>
      <c r="AQ105" s="43">
        <f t="shared" ref="AQ105:AQ106" si="62">IF(U105="Motor Plus",(M105*27%),IF(U105="Motor One",(M105*22%),(IF(U105="Golden",(M105*25%),(IF(U105="Classic",(M105*15%),(IF(U105="Wethaq",(M105*28%),IF(U105="Alwataniya",(M105*21%))*0))))))))</f>
        <v>4906.44</v>
      </c>
      <c r="AR105" s="43">
        <f t="shared" si="2"/>
        <v>245.322</v>
      </c>
      <c r="AS105" s="43">
        <f t="shared" si="3"/>
        <v>858.627</v>
      </c>
      <c r="AT105" s="48">
        <f t="shared" si="4"/>
        <v>3802.491</v>
      </c>
      <c r="AU105" s="49">
        <f t="shared" si="20"/>
        <v>3802.491</v>
      </c>
      <c r="AV105" s="48"/>
      <c r="AW105" s="34">
        <f t="shared" si="5"/>
        <v>16659.34</v>
      </c>
      <c r="AX105" s="50">
        <f t="shared" si="6"/>
        <v>1076.691</v>
      </c>
      <c r="AY105" s="43"/>
      <c r="AZ105" s="27"/>
      <c r="BA105" s="48">
        <f t="shared" si="42"/>
        <v>3802.491</v>
      </c>
      <c r="BB105" s="27"/>
      <c r="BC105" s="27"/>
      <c r="BD105" s="51"/>
      <c r="BE105" s="52"/>
      <c r="BF105" s="27" t="s">
        <v>421</v>
      </c>
      <c r="BG105" s="53">
        <v>0.0</v>
      </c>
      <c r="BH105" s="53" t="str">
        <f>'[1]2023'!Q357</f>
        <v>#REF!</v>
      </c>
      <c r="BI105" s="27"/>
      <c r="BJ105" s="27"/>
      <c r="BK105" s="27" t="s">
        <v>76</v>
      </c>
      <c r="BL105" s="27"/>
    </row>
    <row r="106" ht="14.25" customHeight="1">
      <c r="A106" s="26" t="s">
        <v>55</v>
      </c>
      <c r="B106" s="26" t="s">
        <v>56</v>
      </c>
      <c r="C106" s="26" t="s">
        <v>57</v>
      </c>
      <c r="D106" s="26" t="s">
        <v>81</v>
      </c>
      <c r="E106" s="27" t="s">
        <v>423</v>
      </c>
      <c r="F106" s="26" t="s">
        <v>424</v>
      </c>
      <c r="G106" s="29">
        <v>44989.0</v>
      </c>
      <c r="H106" s="30">
        <v>44989.0</v>
      </c>
      <c r="I106" s="30">
        <v>45354.0</v>
      </c>
      <c r="J106" s="31">
        <v>0.0</v>
      </c>
      <c r="K106" s="26" t="s">
        <v>420</v>
      </c>
      <c r="L106" s="32" t="s">
        <v>75</v>
      </c>
      <c r="M106" s="33">
        <v>15930.0</v>
      </c>
      <c r="N106" s="34">
        <v>17010.87</v>
      </c>
      <c r="O106" s="27" t="s">
        <v>76</v>
      </c>
      <c r="P106" s="35" t="s">
        <v>122</v>
      </c>
      <c r="Q106" s="35" t="s">
        <v>65</v>
      </c>
      <c r="R106" s="36">
        <v>44989.0</v>
      </c>
      <c r="S106" s="35" t="s">
        <v>86</v>
      </c>
      <c r="T106" s="54" t="s">
        <v>163</v>
      </c>
      <c r="U106" s="37" t="s">
        <v>67</v>
      </c>
      <c r="V106" s="38"/>
      <c r="W106" s="38"/>
      <c r="X106" s="27"/>
      <c r="Y106" s="39"/>
      <c r="Z106" s="39"/>
      <c r="AA106" s="39"/>
      <c r="AB106" s="40"/>
      <c r="AC106" s="27">
        <f t="shared" si="1"/>
        <v>0</v>
      </c>
      <c r="AD106" s="41"/>
      <c r="AE106" s="42"/>
      <c r="AF106" s="27"/>
      <c r="AG106" s="43">
        <f t="shared" si="55"/>
        <v>4086.045</v>
      </c>
      <c r="AH106" s="29"/>
      <c r="AI106" s="29"/>
      <c r="AJ106" s="29"/>
      <c r="AK106" s="29"/>
      <c r="AL106" s="27"/>
      <c r="AM106" s="44"/>
      <c r="AN106" s="47"/>
      <c r="AO106" s="70">
        <f>M106*15%</f>
        <v>2389.5</v>
      </c>
      <c r="AP106" s="71">
        <v>45267.0</v>
      </c>
      <c r="AQ106" s="43">
        <f t="shared" si="62"/>
        <v>4301.1</v>
      </c>
      <c r="AR106" s="43">
        <f t="shared" si="2"/>
        <v>215.055</v>
      </c>
      <c r="AS106" s="43">
        <f t="shared" si="3"/>
        <v>752.6925</v>
      </c>
      <c r="AT106" s="48">
        <f t="shared" si="4"/>
        <v>3333.3525</v>
      </c>
      <c r="AU106" s="49">
        <f t="shared" si="20"/>
        <v>3333.3525</v>
      </c>
      <c r="AV106" s="48"/>
      <c r="AW106" s="34">
        <f t="shared" si="5"/>
        <v>17010.87</v>
      </c>
      <c r="AX106" s="50">
        <f t="shared" si="6"/>
        <v>943.8525</v>
      </c>
      <c r="AY106" s="43"/>
      <c r="AZ106" s="27"/>
      <c r="BA106" s="48">
        <f t="shared" si="42"/>
        <v>943.8525</v>
      </c>
      <c r="BB106" s="27"/>
      <c r="BC106" s="27"/>
      <c r="BD106" s="51"/>
      <c r="BE106" s="52"/>
      <c r="BF106" s="27" t="s">
        <v>423</v>
      </c>
      <c r="BG106" s="53">
        <v>0.0</v>
      </c>
      <c r="BH106" s="53" t="str">
        <f>'[1]2023'!Q398</f>
        <v>#REF!</v>
      </c>
      <c r="BI106" s="27"/>
      <c r="BJ106" s="27"/>
      <c r="BK106" s="27" t="s">
        <v>76</v>
      </c>
      <c r="BL106" s="27"/>
    </row>
    <row r="107" ht="14.25" customHeight="1">
      <c r="A107" s="26" t="s">
        <v>55</v>
      </c>
      <c r="B107" s="26" t="s">
        <v>56</v>
      </c>
      <c r="C107" s="26" t="s">
        <v>57</v>
      </c>
      <c r="D107" s="26" t="s">
        <v>81</v>
      </c>
      <c r="E107" s="27" t="s">
        <v>425</v>
      </c>
      <c r="F107" s="28" t="s">
        <v>426</v>
      </c>
      <c r="G107" s="29">
        <v>44990.0</v>
      </c>
      <c r="H107" s="30">
        <v>44990.0</v>
      </c>
      <c r="I107" s="30">
        <v>45355.0</v>
      </c>
      <c r="J107" s="31">
        <v>0.0</v>
      </c>
      <c r="K107" s="26" t="s">
        <v>427</v>
      </c>
      <c r="L107" s="32" t="s">
        <v>63</v>
      </c>
      <c r="M107" s="33">
        <v>0.0</v>
      </c>
      <c r="N107" s="34">
        <v>0.0</v>
      </c>
      <c r="O107" s="27" t="s">
        <v>64</v>
      </c>
      <c r="P107" s="35">
        <v>0.0</v>
      </c>
      <c r="Q107" s="35" t="s">
        <v>65</v>
      </c>
      <c r="R107" s="36">
        <v>44990.0</v>
      </c>
      <c r="S107" s="35" t="s">
        <v>86</v>
      </c>
      <c r="T107" s="35">
        <v>0.0</v>
      </c>
      <c r="U107" s="37" t="s">
        <v>67</v>
      </c>
      <c r="V107" s="38"/>
      <c r="W107" s="38"/>
      <c r="X107" s="27"/>
      <c r="Y107" s="39"/>
      <c r="Z107" s="39"/>
      <c r="AA107" s="39"/>
      <c r="AB107" s="40"/>
      <c r="AC107" s="27">
        <f t="shared" si="1"/>
        <v>0</v>
      </c>
      <c r="AD107" s="41">
        <f>IF(AND(S107="0",O107="Paid"),(M107*15%)-AC107,0)</f>
        <v>0</v>
      </c>
      <c r="AE107" s="42"/>
      <c r="AF107" s="27"/>
      <c r="AG107" s="43">
        <f t="shared" si="55"/>
        <v>0</v>
      </c>
      <c r="AH107" s="29"/>
      <c r="AI107" s="29"/>
      <c r="AJ107" s="29"/>
      <c r="AK107" s="29"/>
      <c r="AL107" s="27"/>
      <c r="AM107" s="44"/>
      <c r="AN107" s="93"/>
      <c r="AO107" s="46"/>
      <c r="AP107" s="47"/>
      <c r="AQ107" s="43" t="b">
        <f>IF(O107="Paid",IF(U107="Motor Plus",(M107*27%),IF(U107="Motor One",(M107*22%),(IF(U107="Golden",(M107*25%),(IF(U107="Classic",(M107*15%),(IF(U107="Wethaq",(M107*28%),IF(U107="Alwataniya",(M107*21%))*0)))))))))</f>
        <v>0</v>
      </c>
      <c r="AR107" s="43">
        <f t="shared" si="2"/>
        <v>0</v>
      </c>
      <c r="AS107" s="43">
        <f t="shared" si="3"/>
        <v>0</v>
      </c>
      <c r="AT107" s="48">
        <f t="shared" si="4"/>
        <v>0</v>
      </c>
      <c r="AU107" s="49">
        <f t="shared" si="20"/>
        <v>0</v>
      </c>
      <c r="AV107" s="48"/>
      <c r="AW107" s="34">
        <f t="shared" si="5"/>
        <v>0</v>
      </c>
      <c r="AX107" s="50">
        <f t="shared" si="6"/>
        <v>0</v>
      </c>
      <c r="AY107" s="43"/>
      <c r="AZ107" s="43"/>
      <c r="BA107" s="48">
        <f t="shared" si="42"/>
        <v>0</v>
      </c>
      <c r="BB107" s="27"/>
      <c r="BC107" s="27"/>
      <c r="BD107" s="51"/>
      <c r="BE107" s="52"/>
      <c r="BF107" s="27" t="s">
        <v>425</v>
      </c>
      <c r="BG107" s="53">
        <v>0.0</v>
      </c>
      <c r="BH107" s="53" t="str">
        <f>'[1]2023'!Q505</f>
        <v>#REF!</v>
      </c>
      <c r="BI107" s="27"/>
      <c r="BJ107" s="27"/>
      <c r="BK107" s="27" t="s">
        <v>64</v>
      </c>
      <c r="BL107" s="27"/>
    </row>
    <row r="108" ht="14.25" customHeight="1">
      <c r="A108" s="26" t="s">
        <v>55</v>
      </c>
      <c r="B108" s="26" t="s">
        <v>56</v>
      </c>
      <c r="C108" s="26" t="s">
        <v>57</v>
      </c>
      <c r="D108" s="26" t="s">
        <v>81</v>
      </c>
      <c r="E108" s="27" t="s">
        <v>428</v>
      </c>
      <c r="F108" s="28" t="s">
        <v>429</v>
      </c>
      <c r="G108" s="29">
        <v>44990.0</v>
      </c>
      <c r="H108" s="30">
        <v>44990.0</v>
      </c>
      <c r="I108" s="30">
        <v>45355.0</v>
      </c>
      <c r="J108" s="31">
        <v>0.0</v>
      </c>
      <c r="K108" s="26" t="s">
        <v>427</v>
      </c>
      <c r="L108" s="32" t="s">
        <v>75</v>
      </c>
      <c r="M108" s="33">
        <v>18585.0</v>
      </c>
      <c r="N108" s="34">
        <v>19822.52</v>
      </c>
      <c r="O108" s="27" t="s">
        <v>76</v>
      </c>
      <c r="P108" s="35" t="s">
        <v>430</v>
      </c>
      <c r="Q108" s="35" t="s">
        <v>85</v>
      </c>
      <c r="R108" s="36">
        <v>44990.0</v>
      </c>
      <c r="S108" s="35" t="s">
        <v>86</v>
      </c>
      <c r="T108" s="35">
        <v>0.0</v>
      </c>
      <c r="U108" s="37" t="s">
        <v>67</v>
      </c>
      <c r="V108" s="38"/>
      <c r="W108" s="38"/>
      <c r="X108" s="27"/>
      <c r="Y108" s="39"/>
      <c r="Z108" s="39"/>
      <c r="AA108" s="39"/>
      <c r="AB108" s="40"/>
      <c r="AC108" s="27">
        <f t="shared" si="1"/>
        <v>0</v>
      </c>
      <c r="AD108" s="41">
        <f>IF(AND(S108="0",O108="Paid"),M108*15%,0)</f>
        <v>2787.75</v>
      </c>
      <c r="AE108" s="42"/>
      <c r="AF108" s="94">
        <v>45052.0</v>
      </c>
      <c r="AG108" s="43">
        <f t="shared" si="55"/>
        <v>4767.0525</v>
      </c>
      <c r="AH108" s="29"/>
      <c r="AI108" s="29"/>
      <c r="AJ108" s="29"/>
      <c r="AK108" s="29"/>
      <c r="AL108" s="27"/>
      <c r="AM108" s="44"/>
      <c r="AN108" s="93"/>
      <c r="AO108" s="46"/>
      <c r="AP108" s="47"/>
      <c r="AQ108" s="43">
        <f t="shared" ref="AQ108:AQ125" si="63">IF(U108="Motor Plus",(M108*27%),IF(U108="Motor One",(M108*22%),(IF(U108="Golden",(M108*25%),(IF(U108="Classic",(M108*15%),(IF(U108="Wethaq",(M108*28%),IF(U108="Alwataniya",(M108*21%))*0))))))))</f>
        <v>5017.95</v>
      </c>
      <c r="AR108" s="43">
        <f t="shared" si="2"/>
        <v>250.8975</v>
      </c>
      <c r="AS108" s="43">
        <f t="shared" si="3"/>
        <v>878.14125</v>
      </c>
      <c r="AT108" s="48">
        <f t="shared" si="4"/>
        <v>3888.91125</v>
      </c>
      <c r="AU108" s="49">
        <f t="shared" si="20"/>
        <v>3888.91125</v>
      </c>
      <c r="AV108" s="48"/>
      <c r="AW108" s="34">
        <f t="shared" si="5"/>
        <v>17034.77</v>
      </c>
      <c r="AX108" s="50">
        <f t="shared" si="6"/>
        <v>1101.16125</v>
      </c>
      <c r="AY108" s="43"/>
      <c r="AZ108" s="43"/>
      <c r="BA108" s="48">
        <f t="shared" si="42"/>
        <v>3888.91125</v>
      </c>
      <c r="BB108" s="27"/>
      <c r="BC108" s="27"/>
      <c r="BD108" s="51"/>
      <c r="BE108" s="52"/>
      <c r="BF108" s="27" t="s">
        <v>428</v>
      </c>
      <c r="BG108" s="53">
        <v>0.0</v>
      </c>
      <c r="BH108" s="53" t="str">
        <f>'[1]2023'!Q587</f>
        <v>#REF!</v>
      </c>
      <c r="BI108" s="27"/>
      <c r="BJ108" s="27"/>
      <c r="BK108" s="27" t="s">
        <v>76</v>
      </c>
      <c r="BL108" s="27"/>
    </row>
    <row r="109" ht="14.25" customHeight="1">
      <c r="A109" s="26" t="s">
        <v>55</v>
      </c>
      <c r="B109" s="26" t="s">
        <v>56</v>
      </c>
      <c r="C109" s="26" t="s">
        <v>57</v>
      </c>
      <c r="D109" s="26" t="s">
        <v>71</v>
      </c>
      <c r="E109" s="27" t="s">
        <v>431</v>
      </c>
      <c r="F109" s="28" t="s">
        <v>432</v>
      </c>
      <c r="G109" s="29">
        <v>44990.0</v>
      </c>
      <c r="H109" s="30">
        <v>44990.0</v>
      </c>
      <c r="I109" s="30">
        <v>45355.0</v>
      </c>
      <c r="J109" s="31" t="s">
        <v>433</v>
      </c>
      <c r="K109" s="26" t="s">
        <v>427</v>
      </c>
      <c r="L109" s="32" t="s">
        <v>434</v>
      </c>
      <c r="M109" s="33">
        <v>37375.0</v>
      </c>
      <c r="N109" s="34">
        <v>39724.13</v>
      </c>
      <c r="O109" s="27" t="s">
        <v>76</v>
      </c>
      <c r="P109" s="35" t="s">
        <v>89</v>
      </c>
      <c r="Q109" s="35" t="s">
        <v>65</v>
      </c>
      <c r="R109" s="36">
        <v>44990.0</v>
      </c>
      <c r="S109" s="35" t="s">
        <v>78</v>
      </c>
      <c r="T109" s="54" t="s">
        <v>435</v>
      </c>
      <c r="U109" s="37" t="s">
        <v>67</v>
      </c>
      <c r="V109" s="38">
        <v>1150000.0</v>
      </c>
      <c r="W109" s="78"/>
      <c r="X109" s="27">
        <v>2022.0</v>
      </c>
      <c r="Y109" s="39"/>
      <c r="Z109" s="79" t="s">
        <v>436</v>
      </c>
      <c r="AA109" s="39"/>
      <c r="AB109" s="40"/>
      <c r="AC109" s="27">
        <f t="shared" si="1"/>
        <v>0</v>
      </c>
      <c r="AD109" s="41"/>
      <c r="AE109" s="42"/>
      <c r="AF109" s="27"/>
      <c r="AG109" s="43">
        <f t="shared" si="55"/>
        <v>9586.6875</v>
      </c>
      <c r="AH109" s="29"/>
      <c r="AI109" s="29"/>
      <c r="AJ109" s="29"/>
      <c r="AK109" s="29"/>
      <c r="AL109" s="27"/>
      <c r="AM109" s="44"/>
      <c r="AN109" s="63"/>
      <c r="AO109" s="46">
        <f>M109*15%</f>
        <v>5606.25</v>
      </c>
      <c r="AP109" s="57">
        <v>45113.0</v>
      </c>
      <c r="AQ109" s="43">
        <f t="shared" si="63"/>
        <v>10091.25</v>
      </c>
      <c r="AR109" s="43">
        <f t="shared" si="2"/>
        <v>504.5625</v>
      </c>
      <c r="AS109" s="43">
        <f t="shared" si="3"/>
        <v>1765.96875</v>
      </c>
      <c r="AT109" s="48">
        <f t="shared" si="4"/>
        <v>7820.71875</v>
      </c>
      <c r="AU109" s="49">
        <f t="shared" si="20"/>
        <v>7820.71875</v>
      </c>
      <c r="AV109" s="48"/>
      <c r="AW109" s="34">
        <f t="shared" si="5"/>
        <v>39724.13</v>
      </c>
      <c r="AX109" s="50">
        <f t="shared" si="6"/>
        <v>2214.46875</v>
      </c>
      <c r="AY109" s="43"/>
      <c r="AZ109" s="43"/>
      <c r="BA109" s="48">
        <f t="shared" si="42"/>
        <v>2214.46875</v>
      </c>
      <c r="BB109" s="27"/>
      <c r="BC109" s="27"/>
      <c r="BD109" s="51"/>
      <c r="BE109" s="52"/>
      <c r="BF109" s="27" t="s">
        <v>431</v>
      </c>
      <c r="BG109" s="58" t="s">
        <v>437</v>
      </c>
      <c r="BH109" s="53" t="str">
        <f>'[1]2023'!Q616</f>
        <v>#REF!</v>
      </c>
      <c r="BI109" s="27"/>
      <c r="BJ109" s="27"/>
      <c r="BK109" s="27" t="s">
        <v>76</v>
      </c>
      <c r="BL109" s="27"/>
    </row>
    <row r="110" ht="14.25" customHeight="1">
      <c r="A110" s="26" t="s">
        <v>55</v>
      </c>
      <c r="B110" s="26" t="s">
        <v>56</v>
      </c>
      <c r="C110" s="26" t="s">
        <v>57</v>
      </c>
      <c r="D110" s="26" t="s">
        <v>81</v>
      </c>
      <c r="E110" s="27" t="s">
        <v>438</v>
      </c>
      <c r="F110" s="28" t="s">
        <v>439</v>
      </c>
      <c r="G110" s="29">
        <v>44991.0</v>
      </c>
      <c r="H110" s="30">
        <v>44991.0</v>
      </c>
      <c r="I110" s="30">
        <v>45356.0</v>
      </c>
      <c r="J110" s="31">
        <v>0.0</v>
      </c>
      <c r="K110" s="26" t="s">
        <v>440</v>
      </c>
      <c r="L110" s="32" t="s">
        <v>75</v>
      </c>
      <c r="M110" s="33">
        <v>26950.0</v>
      </c>
      <c r="N110" s="34">
        <v>28684.05</v>
      </c>
      <c r="O110" s="27" t="s">
        <v>76</v>
      </c>
      <c r="P110" s="35" t="s">
        <v>122</v>
      </c>
      <c r="Q110" s="35" t="s">
        <v>65</v>
      </c>
      <c r="R110" s="36">
        <v>44991.0</v>
      </c>
      <c r="S110" s="35" t="s">
        <v>86</v>
      </c>
      <c r="T110" s="35">
        <v>0.0</v>
      </c>
      <c r="U110" s="37" t="s">
        <v>67</v>
      </c>
      <c r="V110" s="38"/>
      <c r="W110" s="38"/>
      <c r="X110" s="27"/>
      <c r="Y110" s="39"/>
      <c r="Z110" s="39"/>
      <c r="AA110" s="39"/>
      <c r="AB110" s="40"/>
      <c r="AC110" s="27">
        <f t="shared" si="1"/>
        <v>0</v>
      </c>
      <c r="AD110" s="41"/>
      <c r="AE110" s="42"/>
      <c r="AF110" s="27"/>
      <c r="AG110" s="43">
        <f t="shared" si="55"/>
        <v>6912.675</v>
      </c>
      <c r="AH110" s="29"/>
      <c r="AI110" s="29"/>
      <c r="AJ110" s="29"/>
      <c r="AK110" s="29"/>
      <c r="AL110" s="27"/>
      <c r="AM110" s="44"/>
      <c r="AN110" s="93"/>
      <c r="AO110" s="46"/>
      <c r="AP110" s="47"/>
      <c r="AQ110" s="43">
        <f t="shared" si="63"/>
        <v>7276.5</v>
      </c>
      <c r="AR110" s="43">
        <f t="shared" si="2"/>
        <v>363.825</v>
      </c>
      <c r="AS110" s="43">
        <f t="shared" si="3"/>
        <v>1273.3875</v>
      </c>
      <c r="AT110" s="48">
        <f t="shared" si="4"/>
        <v>5639.2875</v>
      </c>
      <c r="AU110" s="49">
        <f t="shared" si="20"/>
        <v>5639.2875</v>
      </c>
      <c r="AV110" s="48"/>
      <c r="AW110" s="34">
        <f t="shared" si="5"/>
        <v>28684.05</v>
      </c>
      <c r="AX110" s="50">
        <f t="shared" si="6"/>
        <v>5639.2875</v>
      </c>
      <c r="AY110" s="43"/>
      <c r="AZ110" s="43"/>
      <c r="BA110" s="48">
        <f t="shared" si="42"/>
        <v>5639.2875</v>
      </c>
      <c r="BB110" s="27"/>
      <c r="BC110" s="27"/>
      <c r="BD110" s="51"/>
      <c r="BE110" s="52"/>
      <c r="BF110" s="27" t="s">
        <v>438</v>
      </c>
      <c r="BG110" s="53">
        <v>0.0</v>
      </c>
      <c r="BH110" s="53" t="str">
        <f>'[1]2023'!Q621</f>
        <v>#REF!</v>
      </c>
      <c r="BI110" s="27"/>
      <c r="BJ110" s="27"/>
      <c r="BK110" s="27" t="s">
        <v>76</v>
      </c>
      <c r="BL110" s="27"/>
    </row>
    <row r="111" ht="14.25" customHeight="1">
      <c r="A111" s="26" t="s">
        <v>55</v>
      </c>
      <c r="B111" s="26" t="s">
        <v>56</v>
      </c>
      <c r="C111" s="26" t="s">
        <v>57</v>
      </c>
      <c r="D111" s="26" t="s">
        <v>81</v>
      </c>
      <c r="E111" s="27" t="s">
        <v>441</v>
      </c>
      <c r="F111" s="28" t="s">
        <v>442</v>
      </c>
      <c r="G111" s="29">
        <v>44991.0</v>
      </c>
      <c r="H111" s="30">
        <v>44991.0</v>
      </c>
      <c r="I111" s="30">
        <v>45356.0</v>
      </c>
      <c r="J111" s="31">
        <v>0.0</v>
      </c>
      <c r="K111" s="26" t="s">
        <v>440</v>
      </c>
      <c r="L111" s="32" t="s">
        <v>75</v>
      </c>
      <c r="M111" s="33">
        <v>32500.0</v>
      </c>
      <c r="N111" s="34">
        <v>34559.5</v>
      </c>
      <c r="O111" s="27" t="s">
        <v>76</v>
      </c>
      <c r="P111" s="35" t="s">
        <v>122</v>
      </c>
      <c r="Q111" s="35" t="s">
        <v>65</v>
      </c>
      <c r="R111" s="36">
        <v>44991.0</v>
      </c>
      <c r="S111" s="35" t="s">
        <v>86</v>
      </c>
      <c r="T111" s="35">
        <v>0.0</v>
      </c>
      <c r="U111" s="37" t="s">
        <v>67</v>
      </c>
      <c r="V111" s="38"/>
      <c r="W111" s="38"/>
      <c r="X111" s="27"/>
      <c r="Y111" s="39"/>
      <c r="Z111" s="39"/>
      <c r="AA111" s="39"/>
      <c r="AB111" s="40"/>
      <c r="AC111" s="27">
        <f t="shared" si="1"/>
        <v>0</v>
      </c>
      <c r="AD111" s="41"/>
      <c r="AE111" s="42"/>
      <c r="AF111" s="27"/>
      <c r="AG111" s="43">
        <f t="shared" si="55"/>
        <v>8336.25</v>
      </c>
      <c r="AH111" s="29"/>
      <c r="AI111" s="29"/>
      <c r="AJ111" s="29"/>
      <c r="AK111" s="29"/>
      <c r="AL111" s="27"/>
      <c r="AM111" s="44"/>
      <c r="AN111" s="93"/>
      <c r="AO111" s="46"/>
      <c r="AP111" s="47"/>
      <c r="AQ111" s="43">
        <f t="shared" si="63"/>
        <v>8775</v>
      </c>
      <c r="AR111" s="43">
        <f t="shared" si="2"/>
        <v>438.75</v>
      </c>
      <c r="AS111" s="43">
        <f t="shared" si="3"/>
        <v>1535.625</v>
      </c>
      <c r="AT111" s="48">
        <f t="shared" si="4"/>
        <v>6800.625</v>
      </c>
      <c r="AU111" s="49">
        <f t="shared" si="20"/>
        <v>6800.625</v>
      </c>
      <c r="AV111" s="48"/>
      <c r="AW111" s="34">
        <f t="shared" si="5"/>
        <v>34559.5</v>
      </c>
      <c r="AX111" s="50">
        <f t="shared" si="6"/>
        <v>6800.625</v>
      </c>
      <c r="AY111" s="43"/>
      <c r="AZ111" s="43"/>
      <c r="BA111" s="48">
        <f t="shared" si="42"/>
        <v>6800.625</v>
      </c>
      <c r="BB111" s="27"/>
      <c r="BC111" s="27"/>
      <c r="BD111" s="51"/>
      <c r="BE111" s="52"/>
      <c r="BF111" s="27" t="s">
        <v>441</v>
      </c>
      <c r="BG111" s="53">
        <v>0.0</v>
      </c>
      <c r="BH111" s="53" t="str">
        <f>'[1]2023'!Q652</f>
        <v>#REF!</v>
      </c>
      <c r="BI111" s="27"/>
      <c r="BJ111" s="27"/>
      <c r="BK111" s="27" t="s">
        <v>76</v>
      </c>
      <c r="BL111" s="27"/>
    </row>
    <row r="112" ht="14.25" customHeight="1">
      <c r="A112" s="26" t="s">
        <v>55</v>
      </c>
      <c r="B112" s="26" t="s">
        <v>56</v>
      </c>
      <c r="C112" s="26" t="s">
        <v>57</v>
      </c>
      <c r="D112" s="26" t="s">
        <v>81</v>
      </c>
      <c r="E112" s="27" t="s">
        <v>443</v>
      </c>
      <c r="F112" s="28" t="s">
        <v>444</v>
      </c>
      <c r="G112" s="29">
        <v>44991.0</v>
      </c>
      <c r="H112" s="30">
        <v>44991.0</v>
      </c>
      <c r="I112" s="30">
        <v>45356.0</v>
      </c>
      <c r="J112" s="31">
        <v>0.0</v>
      </c>
      <c r="K112" s="26" t="s">
        <v>440</v>
      </c>
      <c r="L112" s="32" t="s">
        <v>75</v>
      </c>
      <c r="M112" s="33">
        <v>60500.0</v>
      </c>
      <c r="N112" s="34">
        <v>64211.5</v>
      </c>
      <c r="O112" s="27" t="s">
        <v>76</v>
      </c>
      <c r="P112" s="35" t="s">
        <v>89</v>
      </c>
      <c r="Q112" s="35" t="s">
        <v>108</v>
      </c>
      <c r="R112" s="36">
        <v>44991.0</v>
      </c>
      <c r="S112" s="35" t="s">
        <v>86</v>
      </c>
      <c r="T112" s="35">
        <v>0.0</v>
      </c>
      <c r="U112" s="37" t="s">
        <v>67</v>
      </c>
      <c r="V112" s="38"/>
      <c r="W112" s="38"/>
      <c r="X112" s="27"/>
      <c r="Y112" s="39"/>
      <c r="Z112" s="39"/>
      <c r="AA112" s="39"/>
      <c r="AB112" s="40"/>
      <c r="AC112" s="27">
        <f t="shared" si="1"/>
        <v>0</v>
      </c>
      <c r="AD112" s="41">
        <f t="shared" ref="AD112:AD113" si="64">IF(AND(S112="0",O112="Paid"),M112*15%,0)</f>
        <v>9075</v>
      </c>
      <c r="AE112" s="42"/>
      <c r="AF112" s="27" t="s">
        <v>305</v>
      </c>
      <c r="AG112" s="43">
        <f t="shared" si="55"/>
        <v>15518.25</v>
      </c>
      <c r="AH112" s="29"/>
      <c r="AI112" s="29"/>
      <c r="AJ112" s="29"/>
      <c r="AK112" s="29"/>
      <c r="AL112" s="27"/>
      <c r="AM112" s="44"/>
      <c r="AN112" s="63"/>
      <c r="AO112" s="46"/>
      <c r="AP112" s="47"/>
      <c r="AQ112" s="43">
        <f t="shared" si="63"/>
        <v>16335</v>
      </c>
      <c r="AR112" s="43">
        <f t="shared" si="2"/>
        <v>816.75</v>
      </c>
      <c r="AS112" s="43">
        <f t="shared" si="3"/>
        <v>2858.625</v>
      </c>
      <c r="AT112" s="48">
        <f t="shared" si="4"/>
        <v>12659.625</v>
      </c>
      <c r="AU112" s="49">
        <f t="shared" si="20"/>
        <v>12659.625</v>
      </c>
      <c r="AV112" s="48"/>
      <c r="AW112" s="34">
        <f t="shared" si="5"/>
        <v>55136.5</v>
      </c>
      <c r="AX112" s="50">
        <f t="shared" si="6"/>
        <v>3584.625</v>
      </c>
      <c r="AY112" s="43"/>
      <c r="AZ112" s="43"/>
      <c r="BA112" s="48">
        <f t="shared" si="42"/>
        <v>12659.625</v>
      </c>
      <c r="BB112" s="27"/>
      <c r="BC112" s="27"/>
      <c r="BD112" s="51"/>
      <c r="BE112" s="52"/>
      <c r="BF112" s="27" t="s">
        <v>443</v>
      </c>
      <c r="BG112" s="53">
        <v>0.0</v>
      </c>
      <c r="BH112" s="53" t="str">
        <f>'[1]2023'!Q733</f>
        <v>#REF!</v>
      </c>
      <c r="BI112" s="27"/>
      <c r="BJ112" s="27"/>
      <c r="BK112" s="27" t="s">
        <v>76</v>
      </c>
      <c r="BL112" s="27"/>
    </row>
    <row r="113" ht="14.25" customHeight="1">
      <c r="A113" s="26" t="s">
        <v>55</v>
      </c>
      <c r="B113" s="26" t="s">
        <v>56</v>
      </c>
      <c r="C113" s="26" t="s">
        <v>57</v>
      </c>
      <c r="D113" s="26" t="s">
        <v>71</v>
      </c>
      <c r="E113" s="27" t="s">
        <v>445</v>
      </c>
      <c r="F113" s="28" t="s">
        <v>446</v>
      </c>
      <c r="G113" s="29">
        <v>44991.0</v>
      </c>
      <c r="H113" s="30">
        <v>44991.0</v>
      </c>
      <c r="I113" s="30">
        <v>45356.0</v>
      </c>
      <c r="J113" s="31" t="s">
        <v>447</v>
      </c>
      <c r="K113" s="26" t="s">
        <v>440</v>
      </c>
      <c r="L113" s="69">
        <v>45052.0</v>
      </c>
      <c r="M113" s="33">
        <v>10274.25</v>
      </c>
      <c r="N113" s="34">
        <v>11021.43</v>
      </c>
      <c r="O113" s="27" t="s">
        <v>76</v>
      </c>
      <c r="P113" s="35" t="s">
        <v>122</v>
      </c>
      <c r="Q113" s="35">
        <v>0.0</v>
      </c>
      <c r="R113" s="36">
        <v>44991.0</v>
      </c>
      <c r="S113" s="35" t="s">
        <v>78</v>
      </c>
      <c r="T113" s="35">
        <v>0.0</v>
      </c>
      <c r="U113" s="37" t="s">
        <v>67</v>
      </c>
      <c r="V113" s="38">
        <v>350000.0</v>
      </c>
      <c r="W113" s="78">
        <v>46962.0</v>
      </c>
      <c r="X113" s="27">
        <v>2011.0</v>
      </c>
      <c r="Y113" s="39"/>
      <c r="Z113" s="79" t="s">
        <v>448</v>
      </c>
      <c r="AA113" s="39"/>
      <c r="AB113" s="40"/>
      <c r="AC113" s="27">
        <f t="shared" si="1"/>
        <v>0</v>
      </c>
      <c r="AD113" s="41">
        <f t="shared" si="64"/>
        <v>0</v>
      </c>
      <c r="AE113" s="42"/>
      <c r="AF113" s="27"/>
      <c r="AG113" s="43">
        <f t="shared" si="55"/>
        <v>2635.345125</v>
      </c>
      <c r="AH113" s="29"/>
      <c r="AI113" s="29"/>
      <c r="AJ113" s="29"/>
      <c r="AK113" s="29"/>
      <c r="AL113" s="27"/>
      <c r="AM113" s="44"/>
      <c r="AN113" s="63"/>
      <c r="AO113" s="46"/>
      <c r="AP113" s="47"/>
      <c r="AQ113" s="43">
        <f t="shared" si="63"/>
        <v>2774.0475</v>
      </c>
      <c r="AR113" s="43">
        <f t="shared" si="2"/>
        <v>138.702375</v>
      </c>
      <c r="AS113" s="43">
        <f t="shared" si="3"/>
        <v>485.4583125</v>
      </c>
      <c r="AT113" s="48">
        <f t="shared" si="4"/>
        <v>2149.886813</v>
      </c>
      <c r="AU113" s="49">
        <f t="shared" si="20"/>
        <v>2149.886813</v>
      </c>
      <c r="AV113" s="48"/>
      <c r="AW113" s="34">
        <f t="shared" si="5"/>
        <v>11021.43</v>
      </c>
      <c r="AX113" s="50">
        <f t="shared" si="6"/>
        <v>2149.886813</v>
      </c>
      <c r="AY113" s="43"/>
      <c r="AZ113" s="43"/>
      <c r="BA113" s="48">
        <f t="shared" si="42"/>
        <v>2149.886813</v>
      </c>
      <c r="BB113" s="27"/>
      <c r="BC113" s="27"/>
      <c r="BD113" s="51"/>
      <c r="BE113" s="52"/>
      <c r="BF113" s="27" t="s">
        <v>445</v>
      </c>
      <c r="BG113" s="58" t="s">
        <v>449</v>
      </c>
      <c r="BH113" s="53" t="str">
        <f>'[1]2023'!Q789</f>
        <v>#REF!</v>
      </c>
      <c r="BI113" s="27"/>
      <c r="BJ113" s="27"/>
      <c r="BK113" s="27" t="s">
        <v>76</v>
      </c>
      <c r="BL113" s="27"/>
    </row>
    <row r="114" ht="14.25" customHeight="1">
      <c r="A114" s="26" t="s">
        <v>55</v>
      </c>
      <c r="B114" s="26" t="s">
        <v>56</v>
      </c>
      <c r="C114" s="26" t="s">
        <v>57</v>
      </c>
      <c r="D114" s="26" t="s">
        <v>81</v>
      </c>
      <c r="E114" s="27" t="s">
        <v>450</v>
      </c>
      <c r="F114" s="28" t="s">
        <v>451</v>
      </c>
      <c r="G114" s="29">
        <v>44991.0</v>
      </c>
      <c r="H114" s="30">
        <v>44991.0</v>
      </c>
      <c r="I114" s="30">
        <v>45356.0</v>
      </c>
      <c r="J114" s="31">
        <v>0.0</v>
      </c>
      <c r="K114" s="26" t="s">
        <v>440</v>
      </c>
      <c r="L114" s="32" t="s">
        <v>75</v>
      </c>
      <c r="M114" s="33">
        <v>67500.0</v>
      </c>
      <c r="N114" s="34">
        <v>71625.5</v>
      </c>
      <c r="O114" s="27" t="s">
        <v>76</v>
      </c>
      <c r="P114" s="35" t="s">
        <v>89</v>
      </c>
      <c r="Q114" s="35">
        <v>0.0</v>
      </c>
      <c r="R114" s="36">
        <v>44991.0</v>
      </c>
      <c r="S114" s="35" t="s">
        <v>86</v>
      </c>
      <c r="T114" s="35">
        <v>0.0</v>
      </c>
      <c r="U114" s="37" t="s">
        <v>67</v>
      </c>
      <c r="V114" s="38"/>
      <c r="W114" s="38"/>
      <c r="X114" s="27"/>
      <c r="Y114" s="39"/>
      <c r="Z114" s="39"/>
      <c r="AA114" s="39"/>
      <c r="AB114" s="40"/>
      <c r="AC114" s="27">
        <f t="shared" si="1"/>
        <v>0</v>
      </c>
      <c r="AD114" s="41">
        <f t="shared" ref="AD114:AD117" si="65">IF(AND(S114="0",O114="Paid"),(M114*15%)-AC114,0)</f>
        <v>10125</v>
      </c>
      <c r="AE114" s="42"/>
      <c r="AF114" s="27"/>
      <c r="AG114" s="43">
        <f t="shared" si="55"/>
        <v>17313.75</v>
      </c>
      <c r="AH114" s="29"/>
      <c r="AI114" s="29"/>
      <c r="AJ114" s="29"/>
      <c r="AK114" s="29"/>
      <c r="AL114" s="27"/>
      <c r="AM114" s="44"/>
      <c r="AN114" s="63"/>
      <c r="AO114" s="46"/>
      <c r="AP114" s="47"/>
      <c r="AQ114" s="43">
        <f t="shared" si="63"/>
        <v>18225</v>
      </c>
      <c r="AR114" s="43">
        <f t="shared" si="2"/>
        <v>911.25</v>
      </c>
      <c r="AS114" s="43">
        <f t="shared" si="3"/>
        <v>3189.375</v>
      </c>
      <c r="AT114" s="48">
        <f t="shared" si="4"/>
        <v>14124.375</v>
      </c>
      <c r="AU114" s="49">
        <f t="shared" si="20"/>
        <v>14124.375</v>
      </c>
      <c r="AV114" s="48"/>
      <c r="AW114" s="34">
        <f t="shared" si="5"/>
        <v>61500.5</v>
      </c>
      <c r="AX114" s="50">
        <f t="shared" si="6"/>
        <v>3999.375</v>
      </c>
      <c r="AY114" s="43"/>
      <c r="AZ114" s="43"/>
      <c r="BA114" s="48">
        <f t="shared" si="42"/>
        <v>14124.375</v>
      </c>
      <c r="BB114" s="27"/>
      <c r="BC114" s="27"/>
      <c r="BD114" s="51"/>
      <c r="BE114" s="52"/>
      <c r="BF114" s="27" t="s">
        <v>450</v>
      </c>
      <c r="BG114" s="53">
        <v>0.0</v>
      </c>
      <c r="BH114" s="53" t="str">
        <f>'[1]2023'!Q821</f>
        <v>#REF!</v>
      </c>
      <c r="BI114" s="27"/>
      <c r="BJ114" s="27"/>
      <c r="BK114" s="27" t="s">
        <v>76</v>
      </c>
      <c r="BL114" s="27"/>
    </row>
    <row r="115" ht="14.25" customHeight="1">
      <c r="A115" s="26" t="s">
        <v>111</v>
      </c>
      <c r="B115" s="26" t="s">
        <v>56</v>
      </c>
      <c r="C115" s="26" t="s">
        <v>57</v>
      </c>
      <c r="D115" s="26" t="s">
        <v>58</v>
      </c>
      <c r="E115" s="27" t="s">
        <v>452</v>
      </c>
      <c r="F115" s="28" t="s">
        <v>453</v>
      </c>
      <c r="G115" s="29">
        <v>44993.0</v>
      </c>
      <c r="H115" s="30">
        <v>44993.0</v>
      </c>
      <c r="I115" s="30">
        <v>45358.0</v>
      </c>
      <c r="J115" s="31" t="s">
        <v>454</v>
      </c>
      <c r="K115" s="26" t="s">
        <v>455</v>
      </c>
      <c r="L115" s="69">
        <v>45177.0</v>
      </c>
      <c r="M115" s="33">
        <v>2818.8</v>
      </c>
      <c r="N115" s="34">
        <v>3055.0</v>
      </c>
      <c r="O115" s="27" t="s">
        <v>76</v>
      </c>
      <c r="P115" s="35" t="s">
        <v>142</v>
      </c>
      <c r="Q115" s="35" t="s">
        <v>90</v>
      </c>
      <c r="R115" s="36">
        <v>45002.0</v>
      </c>
      <c r="S115" s="35" t="s">
        <v>86</v>
      </c>
      <c r="T115" s="54" t="s">
        <v>456</v>
      </c>
      <c r="U115" s="37" t="s">
        <v>115</v>
      </c>
      <c r="V115" s="38"/>
      <c r="W115" s="38"/>
      <c r="X115" s="27"/>
      <c r="Y115" s="39"/>
      <c r="Z115" s="39"/>
      <c r="AA115" s="39"/>
      <c r="AB115" s="40"/>
      <c r="AC115" s="27">
        <f t="shared" si="1"/>
        <v>0</v>
      </c>
      <c r="AD115" s="41">
        <f t="shared" si="65"/>
        <v>422.82</v>
      </c>
      <c r="AE115" s="42"/>
      <c r="AF115" s="27" t="s">
        <v>75</v>
      </c>
      <c r="AG115" s="43">
        <f>IF(O115="Paid",IF(A115="Alwataniya",(M115*21%)-((M115*21%)*5%),IF((A115="GIG"),(M115*25%)-((M115*25%)*5%),IF((A115="Allianz"),(M115*27%)-((M115*27%)*20%),0))),0)</f>
        <v>669.465</v>
      </c>
      <c r="AH115" s="29">
        <v>45207.0</v>
      </c>
      <c r="AI115" s="29" t="s">
        <v>457</v>
      </c>
      <c r="AJ115" s="29"/>
      <c r="AK115" s="29" t="s">
        <v>458</v>
      </c>
      <c r="AL115" s="27"/>
      <c r="AM115" s="44"/>
      <c r="AN115" s="47"/>
      <c r="AO115" s="46"/>
      <c r="AP115" s="47"/>
      <c r="AQ115" s="43">
        <f t="shared" si="63"/>
        <v>704.7</v>
      </c>
      <c r="AR115" s="43">
        <f t="shared" si="2"/>
        <v>35.235</v>
      </c>
      <c r="AS115" s="43">
        <f t="shared" si="3"/>
        <v>123.3225</v>
      </c>
      <c r="AT115" s="48">
        <f t="shared" si="4"/>
        <v>546.1425</v>
      </c>
      <c r="AU115" s="49">
        <f t="shared" ref="AU115:AU117" si="66">AQ115-AR115-AS115-AC115-AO115</f>
        <v>546.1425</v>
      </c>
      <c r="AV115" s="48"/>
      <c r="AW115" s="34">
        <f t="shared" si="5"/>
        <v>2632.18</v>
      </c>
      <c r="AX115" s="50">
        <f t="shared" si="6"/>
        <v>123.3225</v>
      </c>
      <c r="AY115" s="43"/>
      <c r="AZ115" s="47"/>
      <c r="BA115" s="48">
        <f t="shared" si="42"/>
        <v>546.1425</v>
      </c>
      <c r="BB115" s="27"/>
      <c r="BC115" s="27"/>
      <c r="BD115" s="51"/>
      <c r="BE115" s="52"/>
      <c r="BF115" s="27" t="s">
        <v>452</v>
      </c>
      <c r="BG115" s="53">
        <v>0.0</v>
      </c>
      <c r="BH115" s="53" t="str">
        <f t="shared" ref="BH115:BH116" si="67">'[1]2023'!Q1032</f>
        <v>#REF!</v>
      </c>
      <c r="BI115" s="27"/>
      <c r="BJ115" s="27"/>
      <c r="BK115" s="27" t="s">
        <v>76</v>
      </c>
      <c r="BL115" s="27"/>
    </row>
    <row r="116" ht="14.25" customHeight="1">
      <c r="A116" s="26" t="s">
        <v>68</v>
      </c>
      <c r="B116" s="26" t="s">
        <v>56</v>
      </c>
      <c r="C116" s="26" t="s">
        <v>57</v>
      </c>
      <c r="D116" s="26" t="s">
        <v>71</v>
      </c>
      <c r="E116" s="27" t="s">
        <v>459</v>
      </c>
      <c r="F116" s="28" t="s">
        <v>460</v>
      </c>
      <c r="G116" s="29">
        <v>44993.0</v>
      </c>
      <c r="H116" s="30">
        <v>44993.0</v>
      </c>
      <c r="I116" s="30">
        <v>45358.0</v>
      </c>
      <c r="J116" s="88" t="s">
        <v>461</v>
      </c>
      <c r="K116" s="26" t="s">
        <v>455</v>
      </c>
      <c r="L116" s="69">
        <v>45177.0</v>
      </c>
      <c r="M116" s="33">
        <v>36468.74</v>
      </c>
      <c r="N116" s="34">
        <v>39000.0</v>
      </c>
      <c r="O116" s="27" t="s">
        <v>76</v>
      </c>
      <c r="P116" s="35" t="s">
        <v>142</v>
      </c>
      <c r="Q116" s="54" t="s">
        <v>462</v>
      </c>
      <c r="R116" s="36">
        <v>45012.0</v>
      </c>
      <c r="S116" s="35" t="s">
        <v>86</v>
      </c>
      <c r="T116" s="35">
        <v>0.0</v>
      </c>
      <c r="U116" s="37" t="s">
        <v>68</v>
      </c>
      <c r="V116" s="38">
        <v>1950000.0</v>
      </c>
      <c r="W116" s="38"/>
      <c r="X116" s="27"/>
      <c r="Y116" s="39"/>
      <c r="Z116" s="79" t="s">
        <v>463</v>
      </c>
      <c r="AA116" s="39"/>
      <c r="AB116" s="40"/>
      <c r="AC116" s="27">
        <f t="shared" si="1"/>
        <v>0</v>
      </c>
      <c r="AD116" s="41">
        <f t="shared" si="65"/>
        <v>5470.311</v>
      </c>
      <c r="AE116" s="42">
        <v>900.0</v>
      </c>
      <c r="AF116" s="27" t="s">
        <v>75</v>
      </c>
      <c r="AG116" s="43">
        <f>M116*28%-(M116*28%)*5%</f>
        <v>9700.68484</v>
      </c>
      <c r="AH116" s="29">
        <v>45086.0</v>
      </c>
      <c r="AI116" s="27" t="s">
        <v>464</v>
      </c>
      <c r="AJ116" s="40">
        <v>0.28</v>
      </c>
      <c r="AK116" s="29" t="s">
        <v>465</v>
      </c>
      <c r="AL116" s="27"/>
      <c r="AM116" s="44"/>
      <c r="AN116" s="47"/>
      <c r="AO116" s="46"/>
      <c r="AP116" s="47"/>
      <c r="AQ116" s="43">
        <f t="shared" si="63"/>
        <v>10211.2472</v>
      </c>
      <c r="AR116" s="43">
        <f t="shared" si="2"/>
        <v>510.56236</v>
      </c>
      <c r="AS116" s="43">
        <f t="shared" si="3"/>
        <v>1786.96826</v>
      </c>
      <c r="AT116" s="48">
        <f t="shared" si="4"/>
        <v>7913.71658</v>
      </c>
      <c r="AU116" s="49">
        <f t="shared" si="66"/>
        <v>7913.71658</v>
      </c>
      <c r="AV116" s="48"/>
      <c r="AW116" s="34">
        <f t="shared" si="5"/>
        <v>32629.689</v>
      </c>
      <c r="AX116" s="50">
        <f t="shared" si="6"/>
        <v>1543.40558</v>
      </c>
      <c r="AY116" s="43"/>
      <c r="AZ116" s="47"/>
      <c r="BA116" s="48">
        <f t="shared" si="42"/>
        <v>7913.71658</v>
      </c>
      <c r="BB116" s="27"/>
      <c r="BC116" s="27"/>
      <c r="BD116" s="51"/>
      <c r="BE116" s="52"/>
      <c r="BF116" s="27" t="s">
        <v>459</v>
      </c>
      <c r="BG116" s="53">
        <v>0.0</v>
      </c>
      <c r="BH116" s="53" t="str">
        <f t="shared" si="67"/>
        <v>#REF!</v>
      </c>
      <c r="BI116" s="27"/>
      <c r="BJ116" s="27"/>
      <c r="BK116" s="27" t="s">
        <v>76</v>
      </c>
      <c r="BL116" s="27"/>
    </row>
    <row r="117" ht="14.25" customHeight="1">
      <c r="A117" s="26" t="s">
        <v>55</v>
      </c>
      <c r="B117" s="26" t="s">
        <v>56</v>
      </c>
      <c r="C117" s="26" t="s">
        <v>57</v>
      </c>
      <c r="D117" s="26" t="s">
        <v>58</v>
      </c>
      <c r="E117" s="27" t="s">
        <v>466</v>
      </c>
      <c r="F117" s="28" t="s">
        <v>467</v>
      </c>
      <c r="G117" s="29">
        <v>44993.0</v>
      </c>
      <c r="H117" s="30">
        <v>44993.0</v>
      </c>
      <c r="I117" s="30">
        <v>45358.0</v>
      </c>
      <c r="J117" s="31">
        <v>0.0</v>
      </c>
      <c r="K117" s="26" t="s">
        <v>455</v>
      </c>
      <c r="L117" s="32" t="s">
        <v>468</v>
      </c>
      <c r="M117" s="33">
        <v>2422.5</v>
      </c>
      <c r="N117" s="34">
        <v>2565.44</v>
      </c>
      <c r="O117" s="27" t="s">
        <v>76</v>
      </c>
      <c r="P117" s="35" t="s">
        <v>95</v>
      </c>
      <c r="Q117" s="35">
        <v>0.0</v>
      </c>
      <c r="R117" s="36">
        <v>44993.0</v>
      </c>
      <c r="S117" s="35" t="s">
        <v>86</v>
      </c>
      <c r="T117" s="35">
        <v>0.0</v>
      </c>
      <c r="U117" s="37" t="s">
        <v>67</v>
      </c>
      <c r="V117" s="38"/>
      <c r="W117" s="38"/>
      <c r="X117" s="27"/>
      <c r="Y117" s="39"/>
      <c r="Z117" s="39"/>
      <c r="AA117" s="39"/>
      <c r="AB117" s="27"/>
      <c r="AC117" s="27">
        <f t="shared" si="1"/>
        <v>0</v>
      </c>
      <c r="AD117" s="41">
        <f t="shared" si="65"/>
        <v>363.375</v>
      </c>
      <c r="AE117" s="42"/>
      <c r="AF117" s="27"/>
      <c r="AG117" s="43">
        <f t="shared" ref="AG117:AG123" si="68">IF(O117="Paid",IF(A117="Alwataniya",(M117*21%)-((M117*21%)*5%),IF((A117="GIG"),(M117*25%)-((M117*25%)*5%),IF((A117="Allianz"),(M117*27%)-((M117*27%)*5%),0))),0)</f>
        <v>621.37125</v>
      </c>
      <c r="AH117" s="29"/>
      <c r="AI117" s="29"/>
      <c r="AJ117" s="29"/>
      <c r="AK117" s="29"/>
      <c r="AL117" s="27"/>
      <c r="AM117" s="44"/>
      <c r="AN117" s="47"/>
      <c r="AO117" s="46"/>
      <c r="AP117" s="47"/>
      <c r="AQ117" s="43">
        <f t="shared" si="63"/>
        <v>654.075</v>
      </c>
      <c r="AR117" s="43">
        <f t="shared" si="2"/>
        <v>32.70375</v>
      </c>
      <c r="AS117" s="43">
        <f t="shared" si="3"/>
        <v>114.463125</v>
      </c>
      <c r="AT117" s="48">
        <f t="shared" si="4"/>
        <v>506.908125</v>
      </c>
      <c r="AU117" s="49">
        <f t="shared" si="66"/>
        <v>506.908125</v>
      </c>
      <c r="AV117" s="48"/>
      <c r="AW117" s="34">
        <f t="shared" si="5"/>
        <v>2202.065</v>
      </c>
      <c r="AX117" s="50">
        <f t="shared" si="6"/>
        <v>143.533125</v>
      </c>
      <c r="AY117" s="43"/>
      <c r="AZ117" s="47"/>
      <c r="BA117" s="48">
        <f t="shared" si="42"/>
        <v>506.908125</v>
      </c>
      <c r="BB117" s="27"/>
      <c r="BC117" s="27"/>
      <c r="BD117" s="51"/>
      <c r="BE117" s="52"/>
      <c r="BF117" s="27"/>
      <c r="BG117" s="53">
        <v>0.0</v>
      </c>
      <c r="BH117" s="53" t="str">
        <f>'[1]2023'!Q1204</f>
        <v>#REF!</v>
      </c>
      <c r="BI117" s="27"/>
      <c r="BJ117" s="27"/>
      <c r="BK117" s="27" t="s">
        <v>76</v>
      </c>
      <c r="BL117" s="27"/>
    </row>
    <row r="118" ht="14.25" customHeight="1">
      <c r="A118" s="26" t="s">
        <v>55</v>
      </c>
      <c r="B118" s="26" t="s">
        <v>56</v>
      </c>
      <c r="C118" s="26" t="s">
        <v>57</v>
      </c>
      <c r="D118" s="26" t="s">
        <v>81</v>
      </c>
      <c r="E118" s="27" t="s">
        <v>469</v>
      </c>
      <c r="F118" s="26" t="s">
        <v>470</v>
      </c>
      <c r="G118" s="29">
        <v>44994.0</v>
      </c>
      <c r="H118" s="30">
        <v>44994.0</v>
      </c>
      <c r="I118" s="30">
        <v>45359.0</v>
      </c>
      <c r="J118" s="31" t="s">
        <v>471</v>
      </c>
      <c r="K118" s="26" t="s">
        <v>352</v>
      </c>
      <c r="L118" s="32" t="s">
        <v>75</v>
      </c>
      <c r="M118" s="33">
        <v>14455.0</v>
      </c>
      <c r="N118" s="34">
        <v>15448.85</v>
      </c>
      <c r="O118" s="27" t="s">
        <v>76</v>
      </c>
      <c r="P118" s="35" t="s">
        <v>89</v>
      </c>
      <c r="Q118" s="35" t="s">
        <v>90</v>
      </c>
      <c r="R118" s="36">
        <v>44994.0</v>
      </c>
      <c r="S118" s="35" t="s">
        <v>86</v>
      </c>
      <c r="T118" s="35">
        <v>0.0</v>
      </c>
      <c r="U118" s="37" t="s">
        <v>67</v>
      </c>
      <c r="V118" s="38"/>
      <c r="W118" s="38"/>
      <c r="X118" s="27"/>
      <c r="Y118" s="39"/>
      <c r="Z118" s="39"/>
      <c r="AA118" s="39"/>
      <c r="AB118" s="40"/>
      <c r="AC118" s="27">
        <f t="shared" si="1"/>
        <v>0</v>
      </c>
      <c r="AD118" s="41">
        <f>IF(AND(S118="0",O118="Paid"),M118*15%,0)</f>
        <v>2168.25</v>
      </c>
      <c r="AE118" s="42"/>
      <c r="AF118" s="27"/>
      <c r="AG118" s="43">
        <f t="shared" si="68"/>
        <v>3707.7075</v>
      </c>
      <c r="AH118" s="29"/>
      <c r="AI118" s="29"/>
      <c r="AJ118" s="29"/>
      <c r="AK118" s="29"/>
      <c r="AL118" s="27"/>
      <c r="AM118" s="44"/>
      <c r="AN118" s="47"/>
      <c r="AO118" s="46"/>
      <c r="AP118" s="47"/>
      <c r="AQ118" s="43">
        <f t="shared" si="63"/>
        <v>3902.85</v>
      </c>
      <c r="AR118" s="43">
        <f t="shared" si="2"/>
        <v>195.1425</v>
      </c>
      <c r="AS118" s="43">
        <f t="shared" si="3"/>
        <v>682.99875</v>
      </c>
      <c r="AT118" s="48">
        <f t="shared" si="4"/>
        <v>3024.70875</v>
      </c>
      <c r="AU118" s="49">
        <f>AQ118-AR118-AS118-AC118</f>
        <v>3024.70875</v>
      </c>
      <c r="AV118" s="48"/>
      <c r="AW118" s="34">
        <f t="shared" si="5"/>
        <v>13280.6</v>
      </c>
      <c r="AX118" s="50">
        <f t="shared" si="6"/>
        <v>856.45875</v>
      </c>
      <c r="AY118" s="43"/>
      <c r="AZ118" s="27"/>
      <c r="BA118" s="48">
        <f t="shared" si="42"/>
        <v>3024.70875</v>
      </c>
      <c r="BB118" s="27"/>
      <c r="BC118" s="27"/>
      <c r="BD118" s="51"/>
      <c r="BE118" s="52"/>
      <c r="BF118" s="27" t="s">
        <v>469</v>
      </c>
      <c r="BG118" s="53" t="s">
        <v>472</v>
      </c>
      <c r="BH118" s="53" t="str">
        <f>'[1]2023'!Q264</f>
        <v>#REF!</v>
      </c>
      <c r="BI118" s="27"/>
      <c r="BJ118" s="27"/>
      <c r="BK118" s="27" t="s">
        <v>76</v>
      </c>
      <c r="BL118" s="27"/>
    </row>
    <row r="119" ht="14.25" customHeight="1">
      <c r="A119" s="26" t="s">
        <v>55</v>
      </c>
      <c r="B119" s="26" t="s">
        <v>56</v>
      </c>
      <c r="C119" s="26" t="s">
        <v>57</v>
      </c>
      <c r="D119" s="26" t="s">
        <v>81</v>
      </c>
      <c r="E119" s="27" t="s">
        <v>473</v>
      </c>
      <c r="F119" s="28" t="s">
        <v>474</v>
      </c>
      <c r="G119" s="29">
        <v>44994.0</v>
      </c>
      <c r="H119" s="30">
        <v>44994.0</v>
      </c>
      <c r="I119" s="30">
        <v>45359.0</v>
      </c>
      <c r="J119" s="31">
        <v>0.0</v>
      </c>
      <c r="K119" s="26" t="s">
        <v>475</v>
      </c>
      <c r="L119" s="32" t="s">
        <v>75</v>
      </c>
      <c r="M119" s="33">
        <v>26550.0</v>
      </c>
      <c r="N119" s="34">
        <v>28390.2</v>
      </c>
      <c r="O119" s="27" t="s">
        <v>76</v>
      </c>
      <c r="P119" s="35" t="s">
        <v>430</v>
      </c>
      <c r="Q119" s="35" t="s">
        <v>90</v>
      </c>
      <c r="R119" s="36">
        <v>44994.0</v>
      </c>
      <c r="S119" s="35" t="s">
        <v>86</v>
      </c>
      <c r="T119" s="35">
        <v>0.0</v>
      </c>
      <c r="U119" s="37" t="s">
        <v>67</v>
      </c>
      <c r="V119" s="38"/>
      <c r="W119" s="38"/>
      <c r="X119" s="27"/>
      <c r="Y119" s="39"/>
      <c r="Z119" s="79" t="s">
        <v>476</v>
      </c>
      <c r="AA119" s="39"/>
      <c r="AB119" s="40"/>
      <c r="AC119" s="27">
        <f t="shared" si="1"/>
        <v>0</v>
      </c>
      <c r="AD119" s="41">
        <f t="shared" ref="AD119:AD122" si="69">IF(AND(S119="0",O119="Paid"),(M119*15%)-AC119,0)</f>
        <v>3982.5</v>
      </c>
      <c r="AE119" s="42"/>
      <c r="AF119" s="27"/>
      <c r="AG119" s="43">
        <f t="shared" si="68"/>
        <v>6810.075</v>
      </c>
      <c r="AH119" s="29"/>
      <c r="AI119" s="29"/>
      <c r="AJ119" s="29"/>
      <c r="AK119" s="29"/>
      <c r="AL119" s="27"/>
      <c r="AM119" s="27"/>
      <c r="AN119" s="47"/>
      <c r="AO119" s="46"/>
      <c r="AP119" s="47"/>
      <c r="AQ119" s="43">
        <f t="shared" si="63"/>
        <v>7168.5</v>
      </c>
      <c r="AR119" s="43">
        <f t="shared" si="2"/>
        <v>358.425</v>
      </c>
      <c r="AS119" s="43">
        <f t="shared" si="3"/>
        <v>1254.4875</v>
      </c>
      <c r="AT119" s="48">
        <f t="shared" si="4"/>
        <v>5555.5875</v>
      </c>
      <c r="AU119" s="49">
        <f t="shared" ref="AU119:AU125" si="70">AQ119-AR119-AS119-AC119-AO119</f>
        <v>5555.5875</v>
      </c>
      <c r="AV119" s="48"/>
      <c r="AW119" s="34">
        <f t="shared" si="5"/>
        <v>24407.7</v>
      </c>
      <c r="AX119" s="50">
        <f t="shared" si="6"/>
        <v>1573.0875</v>
      </c>
      <c r="AY119" s="43"/>
      <c r="AZ119" s="47"/>
      <c r="BA119" s="48">
        <f t="shared" si="42"/>
        <v>5555.5875</v>
      </c>
      <c r="BB119" s="27"/>
      <c r="BC119" s="27"/>
      <c r="BD119" s="51"/>
      <c r="BE119" s="52"/>
      <c r="BF119" s="27" t="s">
        <v>473</v>
      </c>
      <c r="BG119" s="58" t="s">
        <v>477</v>
      </c>
      <c r="BH119" s="53" t="str">
        <f>'[1]2023'!Q1050</f>
        <v>#REF!</v>
      </c>
      <c r="BI119" s="27"/>
      <c r="BJ119" s="27"/>
      <c r="BK119" s="27" t="s">
        <v>76</v>
      </c>
      <c r="BL119" s="27"/>
    </row>
    <row r="120" ht="14.25" customHeight="1">
      <c r="A120" s="26" t="s">
        <v>55</v>
      </c>
      <c r="B120" s="26" t="s">
        <v>56</v>
      </c>
      <c r="C120" s="26" t="s">
        <v>57</v>
      </c>
      <c r="D120" s="26" t="s">
        <v>81</v>
      </c>
      <c r="E120" s="27" t="s">
        <v>478</v>
      </c>
      <c r="F120" s="28" t="s">
        <v>479</v>
      </c>
      <c r="G120" s="29">
        <v>44994.0</v>
      </c>
      <c r="H120" s="30">
        <v>44994.0</v>
      </c>
      <c r="I120" s="30">
        <v>45359.0</v>
      </c>
      <c r="J120" s="31">
        <v>0.0</v>
      </c>
      <c r="K120" s="26" t="s">
        <v>475</v>
      </c>
      <c r="L120" s="32" t="s">
        <v>480</v>
      </c>
      <c r="M120" s="33">
        <v>22420.0</v>
      </c>
      <c r="N120" s="34">
        <v>23995.88</v>
      </c>
      <c r="O120" s="27" t="s">
        <v>76</v>
      </c>
      <c r="P120" s="35" t="s">
        <v>89</v>
      </c>
      <c r="Q120" s="35" t="s">
        <v>90</v>
      </c>
      <c r="R120" s="36">
        <v>44994.0</v>
      </c>
      <c r="S120" s="35" t="s">
        <v>86</v>
      </c>
      <c r="T120" s="35">
        <v>0.0</v>
      </c>
      <c r="U120" s="37" t="s">
        <v>67</v>
      </c>
      <c r="V120" s="38"/>
      <c r="W120" s="38"/>
      <c r="X120" s="27"/>
      <c r="Y120" s="39"/>
      <c r="Z120" s="79" t="s">
        <v>232</v>
      </c>
      <c r="AA120" s="39"/>
      <c r="AB120" s="27"/>
      <c r="AC120" s="27">
        <f t="shared" si="1"/>
        <v>0</v>
      </c>
      <c r="AD120" s="41">
        <f t="shared" si="69"/>
        <v>3363</v>
      </c>
      <c r="AE120" s="42"/>
      <c r="AF120" s="27"/>
      <c r="AG120" s="43">
        <f t="shared" si="68"/>
        <v>5750.73</v>
      </c>
      <c r="AH120" s="29"/>
      <c r="AI120" s="29"/>
      <c r="AJ120" s="29"/>
      <c r="AK120" s="29"/>
      <c r="AL120" s="27"/>
      <c r="AM120" s="44"/>
      <c r="AN120" s="68"/>
      <c r="AO120" s="46"/>
      <c r="AP120" s="47"/>
      <c r="AQ120" s="43">
        <f t="shared" si="63"/>
        <v>6053.4</v>
      </c>
      <c r="AR120" s="43">
        <f t="shared" si="2"/>
        <v>302.67</v>
      </c>
      <c r="AS120" s="43">
        <f t="shared" si="3"/>
        <v>1059.345</v>
      </c>
      <c r="AT120" s="48">
        <f t="shared" si="4"/>
        <v>4691.385</v>
      </c>
      <c r="AU120" s="49">
        <f t="shared" si="70"/>
        <v>4691.385</v>
      </c>
      <c r="AV120" s="48"/>
      <c r="AW120" s="34">
        <f t="shared" si="5"/>
        <v>20632.88</v>
      </c>
      <c r="AX120" s="50">
        <f t="shared" si="6"/>
        <v>1328.385</v>
      </c>
      <c r="AY120" s="43"/>
      <c r="AZ120" s="47"/>
      <c r="BA120" s="48">
        <f t="shared" si="42"/>
        <v>4691.385</v>
      </c>
      <c r="BB120" s="27"/>
      <c r="BC120" s="27"/>
      <c r="BD120" s="51"/>
      <c r="BE120" s="52"/>
      <c r="BF120" s="27" t="s">
        <v>478</v>
      </c>
      <c r="BG120" s="53">
        <v>0.0</v>
      </c>
      <c r="BH120" s="53" t="str">
        <f>'[1]2023'!Q1130</f>
        <v>#REF!</v>
      </c>
      <c r="BI120" s="27"/>
      <c r="BJ120" s="27"/>
      <c r="BK120" s="27" t="s">
        <v>76</v>
      </c>
      <c r="BL120" s="27"/>
    </row>
    <row r="121" ht="14.25" customHeight="1">
      <c r="A121" s="26" t="s">
        <v>55</v>
      </c>
      <c r="B121" s="26" t="s">
        <v>56</v>
      </c>
      <c r="C121" s="26" t="s">
        <v>57</v>
      </c>
      <c r="D121" s="26" t="s">
        <v>81</v>
      </c>
      <c r="E121" s="27" t="s">
        <v>481</v>
      </c>
      <c r="F121" s="28" t="s">
        <v>482</v>
      </c>
      <c r="G121" s="29">
        <v>44994.0</v>
      </c>
      <c r="H121" s="30">
        <v>44994.0</v>
      </c>
      <c r="I121" s="30">
        <v>45359.0</v>
      </c>
      <c r="J121" s="31">
        <v>0.0</v>
      </c>
      <c r="K121" s="26" t="s">
        <v>455</v>
      </c>
      <c r="L121" s="32" t="s">
        <v>483</v>
      </c>
      <c r="M121" s="33">
        <v>24780.0</v>
      </c>
      <c r="N121" s="34">
        <v>26506.92</v>
      </c>
      <c r="O121" s="27" t="s">
        <v>76</v>
      </c>
      <c r="P121" s="35" t="s">
        <v>89</v>
      </c>
      <c r="Q121" s="35" t="s">
        <v>90</v>
      </c>
      <c r="R121" s="36">
        <v>44994.0</v>
      </c>
      <c r="S121" s="35" t="s">
        <v>86</v>
      </c>
      <c r="T121" s="35">
        <v>0.0</v>
      </c>
      <c r="U121" s="37" t="s">
        <v>67</v>
      </c>
      <c r="V121" s="38"/>
      <c r="W121" s="38"/>
      <c r="X121" s="27"/>
      <c r="Y121" s="39"/>
      <c r="Z121" s="79" t="s">
        <v>232</v>
      </c>
      <c r="AA121" s="39"/>
      <c r="AB121" s="27"/>
      <c r="AC121" s="27">
        <f t="shared" si="1"/>
        <v>0</v>
      </c>
      <c r="AD121" s="41">
        <f t="shared" si="69"/>
        <v>3717</v>
      </c>
      <c r="AE121" s="42"/>
      <c r="AF121" s="27"/>
      <c r="AG121" s="43">
        <f t="shared" si="68"/>
        <v>6356.07</v>
      </c>
      <c r="AH121" s="29"/>
      <c r="AI121" s="29"/>
      <c r="AJ121" s="29"/>
      <c r="AK121" s="29"/>
      <c r="AL121" s="27"/>
      <c r="AM121" s="44"/>
      <c r="AN121" s="68"/>
      <c r="AO121" s="46"/>
      <c r="AP121" s="47"/>
      <c r="AQ121" s="43">
        <f t="shared" si="63"/>
        <v>6690.6</v>
      </c>
      <c r="AR121" s="43">
        <f t="shared" si="2"/>
        <v>334.53</v>
      </c>
      <c r="AS121" s="43">
        <f t="shared" si="3"/>
        <v>1170.855</v>
      </c>
      <c r="AT121" s="48">
        <f t="shared" si="4"/>
        <v>5185.215</v>
      </c>
      <c r="AU121" s="49">
        <f t="shared" si="70"/>
        <v>5185.215</v>
      </c>
      <c r="AV121" s="48"/>
      <c r="AW121" s="34">
        <f t="shared" si="5"/>
        <v>22789.92</v>
      </c>
      <c r="AX121" s="50">
        <f t="shared" si="6"/>
        <v>1468.215</v>
      </c>
      <c r="AY121" s="43"/>
      <c r="AZ121" s="47"/>
      <c r="BA121" s="48">
        <f t="shared" si="42"/>
        <v>5185.215</v>
      </c>
      <c r="BB121" s="27"/>
      <c r="BC121" s="27"/>
      <c r="BD121" s="51"/>
      <c r="BE121" s="52"/>
      <c r="BF121" s="27" t="s">
        <v>484</v>
      </c>
      <c r="BG121" s="53">
        <v>0.0</v>
      </c>
      <c r="BH121" s="53" t="str">
        <f>'[1]2023'!Q1157</f>
        <v>#REF!</v>
      </c>
      <c r="BI121" s="27"/>
      <c r="BJ121" s="27"/>
      <c r="BK121" s="27" t="s">
        <v>76</v>
      </c>
      <c r="BL121" s="27"/>
    </row>
    <row r="122" ht="14.25" customHeight="1">
      <c r="A122" s="26" t="s">
        <v>55</v>
      </c>
      <c r="B122" s="26" t="s">
        <v>56</v>
      </c>
      <c r="C122" s="26" t="s">
        <v>57</v>
      </c>
      <c r="D122" s="26" t="s">
        <v>81</v>
      </c>
      <c r="E122" s="27" t="s">
        <v>485</v>
      </c>
      <c r="F122" s="28" t="s">
        <v>486</v>
      </c>
      <c r="G122" s="29">
        <v>44994.0</v>
      </c>
      <c r="H122" s="30">
        <v>44994.0</v>
      </c>
      <c r="I122" s="30">
        <v>45359.0</v>
      </c>
      <c r="J122" s="31">
        <v>0.0</v>
      </c>
      <c r="K122" s="26" t="s">
        <v>475</v>
      </c>
      <c r="L122" s="32" t="s">
        <v>487</v>
      </c>
      <c r="M122" s="33">
        <v>39535.2</v>
      </c>
      <c r="N122" s="34">
        <v>42209.46</v>
      </c>
      <c r="O122" s="27" t="s">
        <v>76</v>
      </c>
      <c r="P122" s="35" t="s">
        <v>162</v>
      </c>
      <c r="Q122" s="35">
        <v>0.0</v>
      </c>
      <c r="R122" s="36">
        <v>44994.0</v>
      </c>
      <c r="S122" s="35" t="s">
        <v>86</v>
      </c>
      <c r="T122" s="35">
        <v>0.0</v>
      </c>
      <c r="U122" s="37" t="s">
        <v>67</v>
      </c>
      <c r="V122" s="38"/>
      <c r="W122" s="38"/>
      <c r="X122" s="27"/>
      <c r="Y122" s="39"/>
      <c r="Z122" s="39"/>
      <c r="AA122" s="39"/>
      <c r="AB122" s="27"/>
      <c r="AC122" s="27">
        <f t="shared" si="1"/>
        <v>0</v>
      </c>
      <c r="AD122" s="41">
        <f t="shared" si="69"/>
        <v>5930.28</v>
      </c>
      <c r="AE122" s="42"/>
      <c r="AF122" s="27"/>
      <c r="AG122" s="43">
        <f t="shared" si="68"/>
        <v>10140.7788</v>
      </c>
      <c r="AH122" s="29"/>
      <c r="AI122" s="29"/>
      <c r="AJ122" s="29"/>
      <c r="AK122" s="29"/>
      <c r="AL122" s="27"/>
      <c r="AM122" s="44"/>
      <c r="AN122" s="47"/>
      <c r="AO122" s="46"/>
      <c r="AP122" s="47"/>
      <c r="AQ122" s="43">
        <f t="shared" si="63"/>
        <v>10674.504</v>
      </c>
      <c r="AR122" s="43">
        <f t="shared" si="2"/>
        <v>533.7252</v>
      </c>
      <c r="AS122" s="43">
        <f t="shared" si="3"/>
        <v>1868.0382</v>
      </c>
      <c r="AT122" s="48">
        <f t="shared" si="4"/>
        <v>8272.7406</v>
      </c>
      <c r="AU122" s="49">
        <f t="shared" si="70"/>
        <v>8272.7406</v>
      </c>
      <c r="AV122" s="48"/>
      <c r="AW122" s="34">
        <f t="shared" si="5"/>
        <v>36279.18</v>
      </c>
      <c r="AX122" s="50">
        <f t="shared" si="6"/>
        <v>2342.4606</v>
      </c>
      <c r="AY122" s="43"/>
      <c r="AZ122" s="47"/>
      <c r="BA122" s="48">
        <f t="shared" si="42"/>
        <v>8272.7406</v>
      </c>
      <c r="BB122" s="27"/>
      <c r="BC122" s="27"/>
      <c r="BD122" s="51"/>
      <c r="BE122" s="52"/>
      <c r="BF122" s="27" t="s">
        <v>485</v>
      </c>
      <c r="BG122" s="53">
        <v>0.0</v>
      </c>
      <c r="BH122" s="53" t="str">
        <f>'[1]2023'!Q1180</f>
        <v>#REF!</v>
      </c>
      <c r="BI122" s="27"/>
      <c r="BJ122" s="27"/>
      <c r="BK122" s="27" t="s">
        <v>76</v>
      </c>
      <c r="BL122" s="27"/>
    </row>
    <row r="123" ht="14.25" customHeight="1">
      <c r="A123" s="26" t="s">
        <v>55</v>
      </c>
      <c r="B123" s="26" t="s">
        <v>56</v>
      </c>
      <c r="C123" s="26" t="s">
        <v>57</v>
      </c>
      <c r="D123" s="26" t="s">
        <v>58</v>
      </c>
      <c r="E123" s="27" t="s">
        <v>488</v>
      </c>
      <c r="F123" s="28" t="s">
        <v>489</v>
      </c>
      <c r="G123" s="29">
        <v>44994.0</v>
      </c>
      <c r="H123" s="30">
        <v>44994.0</v>
      </c>
      <c r="I123" s="30">
        <v>45359.0</v>
      </c>
      <c r="J123" s="31" t="s">
        <v>490</v>
      </c>
      <c r="K123" s="26" t="s">
        <v>475</v>
      </c>
      <c r="L123" s="32" t="s">
        <v>63</v>
      </c>
      <c r="M123" s="33">
        <v>5120.86</v>
      </c>
      <c r="N123" s="34">
        <v>5448.6</v>
      </c>
      <c r="O123" s="27" t="s">
        <v>76</v>
      </c>
      <c r="P123" s="35" t="s">
        <v>89</v>
      </c>
      <c r="Q123" s="35" t="s">
        <v>65</v>
      </c>
      <c r="R123" s="36">
        <v>44994.0</v>
      </c>
      <c r="S123" s="35" t="s">
        <v>86</v>
      </c>
      <c r="T123" s="35">
        <v>0.0</v>
      </c>
      <c r="U123" s="37" t="s">
        <v>67</v>
      </c>
      <c r="V123" s="38"/>
      <c r="W123" s="38"/>
      <c r="X123" s="27"/>
      <c r="Y123" s="39"/>
      <c r="Z123" s="39"/>
      <c r="AA123" s="39"/>
      <c r="AB123" s="27"/>
      <c r="AC123" s="27">
        <f t="shared" si="1"/>
        <v>0</v>
      </c>
      <c r="AD123" s="41"/>
      <c r="AE123" s="42"/>
      <c r="AF123" s="27"/>
      <c r="AG123" s="43">
        <f t="shared" si="68"/>
        <v>1313.50059</v>
      </c>
      <c r="AH123" s="29"/>
      <c r="AI123" s="29"/>
      <c r="AJ123" s="29"/>
      <c r="AK123" s="29"/>
      <c r="AL123" s="27"/>
      <c r="AM123" s="44"/>
      <c r="AN123" s="68"/>
      <c r="AO123" s="46"/>
      <c r="AP123" s="47"/>
      <c r="AQ123" s="43">
        <f t="shared" si="63"/>
        <v>1382.6322</v>
      </c>
      <c r="AR123" s="43">
        <f t="shared" si="2"/>
        <v>69.13161</v>
      </c>
      <c r="AS123" s="43">
        <f t="shared" si="3"/>
        <v>241.960635</v>
      </c>
      <c r="AT123" s="48">
        <f t="shared" si="4"/>
        <v>1071.539955</v>
      </c>
      <c r="AU123" s="49">
        <f t="shared" si="70"/>
        <v>1071.539955</v>
      </c>
      <c r="AV123" s="48"/>
      <c r="AW123" s="34">
        <f t="shared" si="5"/>
        <v>5448.6</v>
      </c>
      <c r="AX123" s="50">
        <f t="shared" si="6"/>
        <v>1071.539955</v>
      </c>
      <c r="AY123" s="43"/>
      <c r="AZ123" s="47"/>
      <c r="BA123" s="48">
        <f t="shared" si="42"/>
        <v>1071.539955</v>
      </c>
      <c r="BB123" s="27"/>
      <c r="BC123" s="27"/>
      <c r="BD123" s="51"/>
      <c r="BE123" s="52"/>
      <c r="BF123" s="27"/>
      <c r="BG123" s="58" t="s">
        <v>491</v>
      </c>
      <c r="BH123" s="53" t="str">
        <f>'[1]2023'!Q1240</f>
        <v>#REF!</v>
      </c>
      <c r="BI123" s="27"/>
      <c r="BJ123" s="27"/>
      <c r="BK123" s="27" t="s">
        <v>76</v>
      </c>
      <c r="BL123" s="27"/>
    </row>
    <row r="124" ht="14.25" customHeight="1">
      <c r="A124" s="26" t="s">
        <v>492</v>
      </c>
      <c r="B124" s="26" t="s">
        <v>69</v>
      </c>
      <c r="C124" s="26" t="s">
        <v>70</v>
      </c>
      <c r="D124" s="26" t="s">
        <v>71</v>
      </c>
      <c r="E124" s="27" t="s">
        <v>493</v>
      </c>
      <c r="F124" s="28" t="s">
        <v>494</v>
      </c>
      <c r="G124" s="29">
        <v>44994.0</v>
      </c>
      <c r="H124" s="30">
        <v>44994.0</v>
      </c>
      <c r="I124" s="30">
        <v>45359.0</v>
      </c>
      <c r="J124" s="31" t="s">
        <v>495</v>
      </c>
      <c r="K124" s="26" t="s">
        <v>475</v>
      </c>
      <c r="L124" s="69">
        <v>45055.0</v>
      </c>
      <c r="M124" s="33">
        <v>1940.0</v>
      </c>
      <c r="N124" s="34">
        <v>2200.0</v>
      </c>
      <c r="O124" s="27" t="s">
        <v>76</v>
      </c>
      <c r="P124" s="35" t="s">
        <v>89</v>
      </c>
      <c r="Q124" s="35">
        <v>0.0</v>
      </c>
      <c r="R124" s="36">
        <v>44994.0</v>
      </c>
      <c r="S124" s="35" t="s">
        <v>78</v>
      </c>
      <c r="T124" s="35">
        <v>0.0</v>
      </c>
      <c r="U124" s="37">
        <v>0.0</v>
      </c>
      <c r="V124" s="38"/>
      <c r="W124" s="38"/>
      <c r="X124" s="27"/>
      <c r="Y124" s="39"/>
      <c r="Z124" s="39"/>
      <c r="AA124" s="39"/>
      <c r="AB124" s="27"/>
      <c r="AC124" s="27">
        <f t="shared" si="1"/>
        <v>0</v>
      </c>
      <c r="AD124" s="41">
        <f t="shared" ref="AD124:AD127" si="71">IF(AND(S124="0",O124="Paid"),(M124*15%)-AC124,0)</f>
        <v>0</v>
      </c>
      <c r="AE124" s="42"/>
      <c r="AF124" s="27"/>
      <c r="AG124" s="43">
        <f>(M124*18%)-((M124*18%)*5%)</f>
        <v>331.74</v>
      </c>
      <c r="AH124" s="29" t="s">
        <v>496</v>
      </c>
      <c r="AI124" s="29" t="s">
        <v>497</v>
      </c>
      <c r="AJ124" s="55">
        <v>0.18</v>
      </c>
      <c r="AK124" s="29" t="s">
        <v>496</v>
      </c>
      <c r="AL124" s="27"/>
      <c r="AM124" s="44"/>
      <c r="AN124" s="47"/>
      <c r="AO124" s="46"/>
      <c r="AP124" s="47"/>
      <c r="AQ124" s="43">
        <f t="shared" si="63"/>
        <v>0</v>
      </c>
      <c r="AR124" s="43">
        <f t="shared" si="2"/>
        <v>0</v>
      </c>
      <c r="AS124" s="43">
        <f t="shared" si="3"/>
        <v>0</v>
      </c>
      <c r="AT124" s="48">
        <f t="shared" si="4"/>
        <v>0</v>
      </c>
      <c r="AU124" s="49">
        <f t="shared" si="70"/>
        <v>0</v>
      </c>
      <c r="AV124" s="48"/>
      <c r="AW124" s="34">
        <f t="shared" si="5"/>
        <v>2200</v>
      </c>
      <c r="AX124" s="50">
        <f t="shared" si="6"/>
        <v>331.74</v>
      </c>
      <c r="AY124" s="43"/>
      <c r="AZ124" s="47"/>
      <c r="BA124" s="48">
        <f t="shared" si="42"/>
        <v>0</v>
      </c>
      <c r="BB124" s="27"/>
      <c r="BC124" s="27"/>
      <c r="BD124" s="51"/>
      <c r="BE124" s="52"/>
      <c r="BF124" s="27"/>
      <c r="BG124" s="53">
        <v>0.0</v>
      </c>
      <c r="BH124" s="53" t="str">
        <f t="shared" ref="BH124:BH125" si="72">'[1]2023'!Q1272</f>
        <v>#REF!</v>
      </c>
      <c r="BI124" s="27"/>
      <c r="BJ124" s="27"/>
      <c r="BK124" s="27" t="s">
        <v>76</v>
      </c>
      <c r="BL124" s="27"/>
    </row>
    <row r="125" ht="14.25" customHeight="1">
      <c r="A125" s="26" t="s">
        <v>492</v>
      </c>
      <c r="B125" s="26" t="s">
        <v>69</v>
      </c>
      <c r="C125" s="26" t="s">
        <v>70</v>
      </c>
      <c r="D125" s="26" t="s">
        <v>71</v>
      </c>
      <c r="E125" s="27" t="s">
        <v>498</v>
      </c>
      <c r="F125" s="28" t="s">
        <v>494</v>
      </c>
      <c r="G125" s="29">
        <v>44994.0</v>
      </c>
      <c r="H125" s="30">
        <v>44994.0</v>
      </c>
      <c r="I125" s="30">
        <v>45359.0</v>
      </c>
      <c r="J125" s="31" t="s">
        <v>495</v>
      </c>
      <c r="K125" s="26" t="s">
        <v>475</v>
      </c>
      <c r="L125" s="69">
        <v>45055.0</v>
      </c>
      <c r="M125" s="33">
        <v>2010.0</v>
      </c>
      <c r="N125" s="34">
        <v>2200.0</v>
      </c>
      <c r="O125" s="27" t="s">
        <v>76</v>
      </c>
      <c r="P125" s="35" t="s">
        <v>89</v>
      </c>
      <c r="Q125" s="35">
        <v>0.0</v>
      </c>
      <c r="R125" s="36">
        <v>44994.0</v>
      </c>
      <c r="S125" s="35" t="s">
        <v>78</v>
      </c>
      <c r="T125" s="35">
        <v>0.0</v>
      </c>
      <c r="U125" s="37">
        <v>0.0</v>
      </c>
      <c r="V125" s="38"/>
      <c r="W125" s="38"/>
      <c r="X125" s="27"/>
      <c r="Y125" s="39"/>
      <c r="Z125" s="39"/>
      <c r="AA125" s="39"/>
      <c r="AB125" s="27"/>
      <c r="AC125" s="27">
        <f t="shared" si="1"/>
        <v>0</v>
      </c>
      <c r="AD125" s="41">
        <f t="shared" si="71"/>
        <v>0</v>
      </c>
      <c r="AE125" s="42"/>
      <c r="AF125" s="27"/>
      <c r="AG125" s="43">
        <f>(M125*25.43%)-((M125*25.43%)*5%)</f>
        <v>485.58585</v>
      </c>
      <c r="AH125" s="29" t="s">
        <v>496</v>
      </c>
      <c r="AI125" s="29" t="s">
        <v>497</v>
      </c>
      <c r="AJ125" s="40">
        <v>0.2543</v>
      </c>
      <c r="AK125" s="29" t="s">
        <v>496</v>
      </c>
      <c r="AL125" s="27"/>
      <c r="AM125" s="44"/>
      <c r="AN125" s="68"/>
      <c r="AO125" s="46"/>
      <c r="AP125" s="47"/>
      <c r="AQ125" s="43">
        <f t="shared" si="63"/>
        <v>0</v>
      </c>
      <c r="AR125" s="43">
        <f t="shared" si="2"/>
        <v>0</v>
      </c>
      <c r="AS125" s="43">
        <f t="shared" si="3"/>
        <v>0</v>
      </c>
      <c r="AT125" s="48">
        <f t="shared" si="4"/>
        <v>0</v>
      </c>
      <c r="AU125" s="49">
        <f t="shared" si="70"/>
        <v>0</v>
      </c>
      <c r="AV125" s="48"/>
      <c r="AW125" s="34">
        <f t="shared" si="5"/>
        <v>2200</v>
      </c>
      <c r="AX125" s="50">
        <f t="shared" si="6"/>
        <v>485.58585</v>
      </c>
      <c r="AY125" s="43"/>
      <c r="AZ125" s="47"/>
      <c r="BA125" s="48">
        <f t="shared" si="42"/>
        <v>0</v>
      </c>
      <c r="BB125" s="27"/>
      <c r="BC125" s="27"/>
      <c r="BD125" s="51"/>
      <c r="BE125" s="52"/>
      <c r="BF125" s="27"/>
      <c r="BG125" s="53">
        <v>0.0</v>
      </c>
      <c r="BH125" s="53" t="str">
        <f t="shared" si="72"/>
        <v>#REF!</v>
      </c>
      <c r="BI125" s="27"/>
      <c r="BJ125" s="27"/>
      <c r="BK125" s="27" t="s">
        <v>76</v>
      </c>
      <c r="BL125" s="27"/>
    </row>
    <row r="126" ht="14.25" customHeight="1">
      <c r="A126" s="26" t="s">
        <v>55</v>
      </c>
      <c r="B126" s="26" t="s">
        <v>56</v>
      </c>
      <c r="C126" s="26" t="s">
        <v>57</v>
      </c>
      <c r="D126" s="26" t="s">
        <v>81</v>
      </c>
      <c r="E126" s="27" t="s">
        <v>499</v>
      </c>
      <c r="F126" s="26" t="s">
        <v>500</v>
      </c>
      <c r="G126" s="29" t="s">
        <v>501</v>
      </c>
      <c r="H126" s="30">
        <v>44998.0</v>
      </c>
      <c r="I126" s="30">
        <v>45363.0</v>
      </c>
      <c r="J126" s="31">
        <v>0.0</v>
      </c>
      <c r="K126" s="26" t="s">
        <v>352</v>
      </c>
      <c r="L126" s="32" t="s">
        <v>63</v>
      </c>
      <c r="M126" s="33">
        <v>0.0</v>
      </c>
      <c r="N126" s="34">
        <v>0.0</v>
      </c>
      <c r="O126" s="27" t="s">
        <v>64</v>
      </c>
      <c r="P126" s="35">
        <v>0.0</v>
      </c>
      <c r="Q126" s="35" t="s">
        <v>85</v>
      </c>
      <c r="R126" s="36" t="e">
        <v>#VALUE!</v>
      </c>
      <c r="S126" s="35" t="s">
        <v>86</v>
      </c>
      <c r="T126" s="35">
        <v>0.0</v>
      </c>
      <c r="U126" s="37" t="s">
        <v>67</v>
      </c>
      <c r="V126" s="38"/>
      <c r="W126" s="38"/>
      <c r="X126" s="27"/>
      <c r="Y126" s="39"/>
      <c r="Z126" s="39"/>
      <c r="AA126" s="39"/>
      <c r="AB126" s="40"/>
      <c r="AC126" s="27">
        <f t="shared" si="1"/>
        <v>0</v>
      </c>
      <c r="AD126" s="41">
        <f t="shared" si="71"/>
        <v>0</v>
      </c>
      <c r="AE126" s="42"/>
      <c r="AF126" s="27"/>
      <c r="AG126" s="43">
        <f>IF(O126="Paid",IF(A126="Alwataniya",(M126*21%)-((M126*21%)*5%),IF((A126="GIG"),(M126*25%)-((M126*25%)*5%),IF((A126="Allianz"),(M126*27%)-((M126*27%)*5%),0))),0)</f>
        <v>0</v>
      </c>
      <c r="AH126" s="29"/>
      <c r="AI126" s="29"/>
      <c r="AJ126" s="29"/>
      <c r="AK126" s="29"/>
      <c r="AL126" s="27"/>
      <c r="AM126" s="44"/>
      <c r="AN126" s="47"/>
      <c r="AO126" s="46"/>
      <c r="AP126" s="47"/>
      <c r="AQ126" s="43" t="b">
        <f t="shared" ref="AQ126:AQ127" si="73">IF(O126="Paid",IF(U126="Motor Plus",(M126*27%),IF(U126="Motor One",(M126*22%),(IF(U126="Golden",(M126*25%),(IF(U126="Classic",(M126*15%),(IF(U126="Wethaq",(M126*28%),IF(U126="Alwataniya",(M126*21%))*0)))))))))</f>
        <v>0</v>
      </c>
      <c r="AR126" s="43">
        <f t="shared" si="2"/>
        <v>0</v>
      </c>
      <c r="AS126" s="43">
        <f t="shared" si="3"/>
        <v>0</v>
      </c>
      <c r="AT126" s="48">
        <f t="shared" si="4"/>
        <v>0</v>
      </c>
      <c r="AU126" s="49">
        <f t="shared" ref="AU126:AU129" si="74">AQ126-AR126-AS126-AC126</f>
        <v>0</v>
      </c>
      <c r="AV126" s="48"/>
      <c r="AW126" s="34">
        <f t="shared" si="5"/>
        <v>0</v>
      </c>
      <c r="AX126" s="50">
        <f t="shared" si="6"/>
        <v>0</v>
      </c>
      <c r="AY126" s="43"/>
      <c r="AZ126" s="27"/>
      <c r="BA126" s="48">
        <f t="shared" si="42"/>
        <v>0</v>
      </c>
      <c r="BB126" s="27"/>
      <c r="BC126" s="27"/>
      <c r="BD126" s="51"/>
      <c r="BE126" s="52"/>
      <c r="BF126" s="27" t="s">
        <v>499</v>
      </c>
      <c r="BG126" s="53">
        <v>0.0</v>
      </c>
      <c r="BH126" s="53" t="str">
        <f>'[1]2023'!Q318</f>
        <v>#REF!</v>
      </c>
      <c r="BI126" s="27"/>
      <c r="BJ126" s="27"/>
      <c r="BK126" s="27" t="s">
        <v>64</v>
      </c>
      <c r="BL126" s="27"/>
    </row>
    <row r="127" ht="14.25" customHeight="1">
      <c r="A127" s="26" t="s">
        <v>111</v>
      </c>
      <c r="B127" s="26" t="s">
        <v>56</v>
      </c>
      <c r="C127" s="26" t="s">
        <v>57</v>
      </c>
      <c r="D127" s="26" t="s">
        <v>71</v>
      </c>
      <c r="E127" s="27" t="s">
        <v>502</v>
      </c>
      <c r="F127" s="28" t="s">
        <v>503</v>
      </c>
      <c r="G127" s="29" t="s">
        <v>501</v>
      </c>
      <c r="H127" s="30">
        <v>44998.0</v>
      </c>
      <c r="I127" s="30">
        <v>45363.0</v>
      </c>
      <c r="J127" s="31">
        <v>0.0</v>
      </c>
      <c r="K127" s="26" t="s">
        <v>352</v>
      </c>
      <c r="L127" s="32" t="s">
        <v>63</v>
      </c>
      <c r="M127" s="33">
        <v>120060.62</v>
      </c>
      <c r="N127" s="34">
        <v>127400.0</v>
      </c>
      <c r="O127" s="27" t="s">
        <v>64</v>
      </c>
      <c r="P127" s="35">
        <v>0.0</v>
      </c>
      <c r="Q127" s="35" t="s">
        <v>108</v>
      </c>
      <c r="R127" s="36" t="e">
        <v>#VALUE!</v>
      </c>
      <c r="S127" s="35" t="s">
        <v>86</v>
      </c>
      <c r="T127" s="35">
        <v>0.0</v>
      </c>
      <c r="U127" s="37" t="s">
        <v>115</v>
      </c>
      <c r="V127" s="38">
        <v>4900000.0</v>
      </c>
      <c r="W127" s="38"/>
      <c r="X127" s="27"/>
      <c r="Y127" s="39"/>
      <c r="Z127" s="79" t="s">
        <v>504</v>
      </c>
      <c r="AA127" s="39"/>
      <c r="AB127" s="40"/>
      <c r="AC127" s="27">
        <f t="shared" si="1"/>
        <v>0</v>
      </c>
      <c r="AD127" s="41">
        <f t="shared" si="71"/>
        <v>0</v>
      </c>
      <c r="AE127" s="42"/>
      <c r="AF127" s="27"/>
      <c r="AG127" s="43">
        <f>IF(O127="Paid",IF(A127="Alwataniya",(M127*21%)-((M127*21%)*5%),IF((A127="GIG"),(M127*25%)-((M127*25%)*5%),IF((A127="Allianz"),(M127*27%)-((M127*27%)*20%),0))),0)</f>
        <v>0</v>
      </c>
      <c r="AH127" s="29"/>
      <c r="AI127" s="29" t="s">
        <v>63</v>
      </c>
      <c r="AJ127" s="29"/>
      <c r="AK127" s="29"/>
      <c r="AL127" s="27"/>
      <c r="AM127" s="44"/>
      <c r="AN127" s="47"/>
      <c r="AO127" s="46"/>
      <c r="AP127" s="47"/>
      <c r="AQ127" s="43" t="b">
        <f t="shared" si="73"/>
        <v>0</v>
      </c>
      <c r="AR127" s="43">
        <f t="shared" si="2"/>
        <v>0</v>
      </c>
      <c r="AS127" s="43">
        <f t="shared" si="3"/>
        <v>0</v>
      </c>
      <c r="AT127" s="48">
        <f t="shared" si="4"/>
        <v>0</v>
      </c>
      <c r="AU127" s="49">
        <f t="shared" si="74"/>
        <v>0</v>
      </c>
      <c r="AV127" s="48"/>
      <c r="AW127" s="34">
        <f t="shared" si="5"/>
        <v>127400</v>
      </c>
      <c r="AX127" s="50">
        <f t="shared" si="6"/>
        <v>0</v>
      </c>
      <c r="AY127" s="43"/>
      <c r="AZ127" s="27"/>
      <c r="BA127" s="48">
        <f t="shared" si="42"/>
        <v>0</v>
      </c>
      <c r="BB127" s="27"/>
      <c r="BC127" s="27"/>
      <c r="BD127" s="51"/>
      <c r="BE127" s="52"/>
      <c r="BF127" s="27" t="s">
        <v>502</v>
      </c>
      <c r="BG127" s="58" t="s">
        <v>505</v>
      </c>
      <c r="BH127" s="53" t="str">
        <f t="shared" ref="BH127:BH129" si="75">'[1]2023'!Q342</f>
        <v>#REF!</v>
      </c>
      <c r="BI127" s="27"/>
      <c r="BJ127" s="27"/>
      <c r="BK127" s="27" t="s">
        <v>64</v>
      </c>
      <c r="BL127" s="27"/>
    </row>
    <row r="128" ht="14.25" customHeight="1">
      <c r="A128" s="26" t="s">
        <v>111</v>
      </c>
      <c r="B128" s="26" t="s">
        <v>56</v>
      </c>
      <c r="C128" s="26" t="s">
        <v>57</v>
      </c>
      <c r="D128" s="26" t="s">
        <v>71</v>
      </c>
      <c r="E128" s="27" t="s">
        <v>506</v>
      </c>
      <c r="F128" s="28" t="s">
        <v>507</v>
      </c>
      <c r="G128" s="29" t="s">
        <v>501</v>
      </c>
      <c r="H128" s="30">
        <v>44998.0</v>
      </c>
      <c r="I128" s="30">
        <v>45363.0</v>
      </c>
      <c r="J128" s="31" t="s">
        <v>508</v>
      </c>
      <c r="K128" s="26" t="s">
        <v>352</v>
      </c>
      <c r="L128" s="32" t="s">
        <v>75</v>
      </c>
      <c r="M128" s="33">
        <v>20627.2</v>
      </c>
      <c r="N128" s="34">
        <v>22100.0</v>
      </c>
      <c r="O128" s="27" t="s">
        <v>76</v>
      </c>
      <c r="P128" s="35" t="s">
        <v>509</v>
      </c>
      <c r="Q128" s="35" t="s">
        <v>114</v>
      </c>
      <c r="R128" s="36" t="e">
        <v>#VALUE!</v>
      </c>
      <c r="S128" s="35" t="s">
        <v>78</v>
      </c>
      <c r="T128" s="54" t="s">
        <v>510</v>
      </c>
      <c r="U128" s="37" t="s">
        <v>115</v>
      </c>
      <c r="V128" s="38">
        <v>850000.0</v>
      </c>
      <c r="W128" s="38"/>
      <c r="X128" s="27">
        <v>2020.0</v>
      </c>
      <c r="Y128" s="39" t="s">
        <v>511</v>
      </c>
      <c r="Z128" s="39" t="s">
        <v>512</v>
      </c>
      <c r="AA128" s="39"/>
      <c r="AB128" s="40"/>
      <c r="AC128" s="27">
        <f t="shared" si="1"/>
        <v>0</v>
      </c>
      <c r="AD128" s="41"/>
      <c r="AE128" s="42"/>
      <c r="AF128" s="27"/>
      <c r="AG128" s="43">
        <f t="shared" ref="AG128:AG130" si="76">IF(AND(O128="Paid",A128="GIG"),((M128*25%)-(((M128*25%)*5%))),0)</f>
        <v>4898.96</v>
      </c>
      <c r="AH128" s="29" t="s">
        <v>75</v>
      </c>
      <c r="AI128" s="29" t="s">
        <v>513</v>
      </c>
      <c r="AJ128" s="40">
        <v>0.25</v>
      </c>
      <c r="AK128" s="62" t="s">
        <v>63</v>
      </c>
      <c r="AL128" s="27"/>
      <c r="AM128" s="44"/>
      <c r="AN128" s="56"/>
      <c r="AO128" s="95">
        <f>M128*AJ128-((M128*AJ128)*22.5%)</f>
        <v>3996.52</v>
      </c>
      <c r="AP128" s="80" t="s">
        <v>75</v>
      </c>
      <c r="AQ128" s="43">
        <f>IF(U128="Motor Plus",(M128*27%),IF(U128="Motor One",(M128*22%),(IF(U128="Golden",(M128*25%),(IF(U128="Classic",(M128*15%),(IF(U128="Wethaq",(M128*28%),IF(U128="Alwataniya",(M128*21%))*0))))))))</f>
        <v>5156.8</v>
      </c>
      <c r="AR128" s="43">
        <f t="shared" si="2"/>
        <v>257.84</v>
      </c>
      <c r="AS128" s="43">
        <f t="shared" si="3"/>
        <v>902.44</v>
      </c>
      <c r="AT128" s="48">
        <f t="shared" si="4"/>
        <v>3996.52</v>
      </c>
      <c r="AU128" s="49">
        <f t="shared" si="74"/>
        <v>3996.52</v>
      </c>
      <c r="AV128" s="48"/>
      <c r="AW128" s="34">
        <f t="shared" si="5"/>
        <v>22100</v>
      </c>
      <c r="AX128" s="50">
        <f t="shared" si="6"/>
        <v>0</v>
      </c>
      <c r="AY128" s="43"/>
      <c r="AZ128" s="27"/>
      <c r="BA128" s="48" t="str">
        <f>IF(S128&lt;&gt;0,AU128-#REF!-AM128,(AG128-AD128-AE128-AS128))</f>
        <v>#REF!</v>
      </c>
      <c r="BB128" s="27"/>
      <c r="BC128" s="27"/>
      <c r="BD128" s="51"/>
      <c r="BE128" s="52"/>
      <c r="BF128" s="80" t="s">
        <v>506</v>
      </c>
      <c r="BG128" s="58" t="s">
        <v>514</v>
      </c>
      <c r="BH128" s="53" t="str">
        <f t="shared" si="75"/>
        <v>#REF!</v>
      </c>
      <c r="BI128" s="27"/>
      <c r="BJ128" s="27"/>
      <c r="BK128" s="27" t="s">
        <v>76</v>
      </c>
      <c r="BL128" s="64" t="s">
        <v>515</v>
      </c>
    </row>
    <row r="129" ht="14.25" customHeight="1">
      <c r="A129" s="26" t="s">
        <v>111</v>
      </c>
      <c r="B129" s="26" t="s">
        <v>56</v>
      </c>
      <c r="C129" s="26" t="s">
        <v>57</v>
      </c>
      <c r="D129" s="26" t="s">
        <v>71</v>
      </c>
      <c r="E129" s="27" t="s">
        <v>516</v>
      </c>
      <c r="F129" s="28" t="s">
        <v>517</v>
      </c>
      <c r="G129" s="29" t="s">
        <v>501</v>
      </c>
      <c r="H129" s="30">
        <v>44998.0</v>
      </c>
      <c r="I129" s="30">
        <v>45363.0</v>
      </c>
      <c r="J129" s="31" t="s">
        <v>518</v>
      </c>
      <c r="K129" s="26" t="s">
        <v>352</v>
      </c>
      <c r="L129" s="32" t="s">
        <v>75</v>
      </c>
      <c r="M129" s="33">
        <v>45178.66</v>
      </c>
      <c r="N129" s="34">
        <v>48100.0</v>
      </c>
      <c r="O129" s="27" t="s">
        <v>64</v>
      </c>
      <c r="P129" s="35">
        <v>0.0</v>
      </c>
      <c r="Q129" s="35" t="s">
        <v>114</v>
      </c>
      <c r="R129" s="36" t="e">
        <v>#VALUE!</v>
      </c>
      <c r="S129" s="35" t="s">
        <v>78</v>
      </c>
      <c r="T129" s="54" t="s">
        <v>510</v>
      </c>
      <c r="U129" s="37" t="s">
        <v>115</v>
      </c>
      <c r="V129" s="38">
        <v>1850000.0</v>
      </c>
      <c r="W129" s="38"/>
      <c r="X129" s="27"/>
      <c r="Y129" s="39"/>
      <c r="Z129" s="39"/>
      <c r="AA129" s="39"/>
      <c r="AB129" s="40"/>
      <c r="AC129" s="27">
        <f t="shared" si="1"/>
        <v>0</v>
      </c>
      <c r="AD129" s="41">
        <f>IF(AND(S129="0",O129="Paid"),(M129*15%)-AC129,0)</f>
        <v>0</v>
      </c>
      <c r="AE129" s="42"/>
      <c r="AF129" s="27"/>
      <c r="AG129" s="43">
        <f t="shared" si="76"/>
        <v>0</v>
      </c>
      <c r="AH129" s="29"/>
      <c r="AI129" s="61"/>
      <c r="AJ129" s="40"/>
      <c r="AK129" s="62" t="s">
        <v>63</v>
      </c>
      <c r="AL129" s="27"/>
      <c r="AM129" s="44"/>
      <c r="AN129" s="96"/>
      <c r="AO129" s="46"/>
      <c r="AP129" s="80"/>
      <c r="AQ129" s="43" t="b">
        <f>IF(O129="Paid",IF(U129="Motor Plus",(M129*27%),IF(U129="Motor One",(M129*22%),(IF(U129="Golden",(M129*25%),(IF(U129="Classic",(M129*15%),(IF(U129="Wethaq",(M129*28%),IF(U129="Alwataniya",(M129*21%))*0)))))))))</f>
        <v>0</v>
      </c>
      <c r="AR129" s="43">
        <f t="shared" si="2"/>
        <v>0</v>
      </c>
      <c r="AS129" s="43">
        <f t="shared" si="3"/>
        <v>0</v>
      </c>
      <c r="AT129" s="48">
        <f t="shared" si="4"/>
        <v>0</v>
      </c>
      <c r="AU129" s="49">
        <f t="shared" si="74"/>
        <v>0</v>
      </c>
      <c r="AV129" s="48"/>
      <c r="AW129" s="34">
        <f t="shared" si="5"/>
        <v>48100</v>
      </c>
      <c r="AX129" s="50">
        <f t="shared" si="6"/>
        <v>0</v>
      </c>
      <c r="AY129" s="43"/>
      <c r="AZ129" s="27"/>
      <c r="BA129" s="48">
        <f>IF(S129&lt;&gt;0,AU129-AO129-AM129,(AG129-AD129-AE129-AS129))</f>
        <v>0</v>
      </c>
      <c r="BB129" s="27"/>
      <c r="BC129" s="27"/>
      <c r="BD129" s="51"/>
      <c r="BE129" s="52"/>
      <c r="BF129" s="27" t="s">
        <v>516</v>
      </c>
      <c r="BG129" s="58" t="s">
        <v>519</v>
      </c>
      <c r="BH129" s="53" t="str">
        <f t="shared" si="75"/>
        <v>#REF!</v>
      </c>
      <c r="BI129" s="27"/>
      <c r="BJ129" s="27"/>
      <c r="BK129" s="27" t="s">
        <v>64</v>
      </c>
      <c r="BL129" s="64" t="s">
        <v>515</v>
      </c>
    </row>
    <row r="130" ht="14.25" customHeight="1">
      <c r="A130" s="26" t="s">
        <v>111</v>
      </c>
      <c r="B130" s="26" t="s">
        <v>56</v>
      </c>
      <c r="C130" s="26" t="s">
        <v>57</v>
      </c>
      <c r="D130" s="26" t="s">
        <v>71</v>
      </c>
      <c r="E130" s="27" t="s">
        <v>520</v>
      </c>
      <c r="F130" s="28" t="s">
        <v>521</v>
      </c>
      <c r="G130" s="29">
        <v>44998.64444444444</v>
      </c>
      <c r="H130" s="30">
        <v>44998.64444444444</v>
      </c>
      <c r="I130" s="30">
        <v>45363.64444444444</v>
      </c>
      <c r="J130" s="31" t="s">
        <v>518</v>
      </c>
      <c r="K130" s="26" t="s">
        <v>352</v>
      </c>
      <c r="L130" s="32" t="s">
        <v>75</v>
      </c>
      <c r="M130" s="33">
        <v>45178.66</v>
      </c>
      <c r="N130" s="34">
        <v>48100.0</v>
      </c>
      <c r="O130" s="27" t="s">
        <v>76</v>
      </c>
      <c r="P130" s="35" t="s">
        <v>509</v>
      </c>
      <c r="Q130" s="35" t="s">
        <v>114</v>
      </c>
      <c r="R130" s="36">
        <v>45007.64444444444</v>
      </c>
      <c r="S130" s="35" t="s">
        <v>78</v>
      </c>
      <c r="T130" s="54" t="s">
        <v>510</v>
      </c>
      <c r="U130" s="37" t="s">
        <v>115</v>
      </c>
      <c r="V130" s="38">
        <v>1850000.0</v>
      </c>
      <c r="W130" s="38" t="s">
        <v>522</v>
      </c>
      <c r="X130" s="27">
        <v>2023.0</v>
      </c>
      <c r="Y130" s="39" t="s">
        <v>523</v>
      </c>
      <c r="Z130" s="39" t="s">
        <v>524</v>
      </c>
      <c r="AA130" s="39"/>
      <c r="AB130" s="40"/>
      <c r="AC130" s="27">
        <f t="shared" si="1"/>
        <v>0</v>
      </c>
      <c r="AD130" s="41"/>
      <c r="AE130" s="42"/>
      <c r="AF130" s="27"/>
      <c r="AG130" s="43">
        <f t="shared" si="76"/>
        <v>10729.93175</v>
      </c>
      <c r="AH130" s="29" t="s">
        <v>75</v>
      </c>
      <c r="AI130" s="61" t="s">
        <v>525</v>
      </c>
      <c r="AJ130" s="40">
        <v>0.25</v>
      </c>
      <c r="AK130" s="62" t="s">
        <v>63</v>
      </c>
      <c r="AL130" s="27"/>
      <c r="AM130" s="44"/>
      <c r="AN130" s="56"/>
      <c r="AO130" s="95">
        <f>M130*AJ130-((M130*AJ130)*22.5%)</f>
        <v>8753.365375</v>
      </c>
      <c r="AP130" s="80" t="s">
        <v>75</v>
      </c>
      <c r="AQ130" s="43">
        <f t="shared" ref="AQ130:AQ132" si="77">IF(U130="Motor Plus",(M130*27%),IF(U130="Motor One",(M130*22%),(IF(U130="Golden",(M130*25%),(IF(U130="Classic",(M130*15%),(IF(U130="Wethaq",(M130*28%),IF(U130="Alwataniya",(M130*21%))*0))))))))</f>
        <v>11294.665</v>
      </c>
      <c r="AR130" s="43">
        <f t="shared" si="2"/>
        <v>564.73325</v>
      </c>
      <c r="AS130" s="43">
        <f t="shared" si="3"/>
        <v>1976.566375</v>
      </c>
      <c r="AT130" s="48">
        <f t="shared" si="4"/>
        <v>8753.365375</v>
      </c>
      <c r="AU130" s="49" t="str">
        <f>AQ130-AR130-AS130-AC130-#REF!</f>
        <v>#REF!</v>
      </c>
      <c r="AV130" s="48"/>
      <c r="AW130" s="34">
        <f t="shared" si="5"/>
        <v>48100</v>
      </c>
      <c r="AX130" s="50">
        <f t="shared" si="6"/>
        <v>0</v>
      </c>
      <c r="AY130" s="43"/>
      <c r="AZ130" s="27"/>
      <c r="BA130" s="48" t="str">
        <f>IF(S130&lt;&gt;0,AU130-#REF!-AM130,(AG130-AD130-AE130-AS130))</f>
        <v>#REF!</v>
      </c>
      <c r="BB130" s="27"/>
      <c r="BC130" s="27"/>
      <c r="BD130" s="51"/>
      <c r="BE130" s="52"/>
      <c r="BF130" s="27"/>
      <c r="BG130" s="53">
        <v>0.0</v>
      </c>
      <c r="BH130" s="53" t="str">
        <f>'[1]2023'!Q1342</f>
        <v>#REF!</v>
      </c>
      <c r="BI130" s="27"/>
      <c r="BJ130" s="27"/>
      <c r="BK130" s="27" t="s">
        <v>76</v>
      </c>
      <c r="BL130" s="27"/>
    </row>
    <row r="131" ht="14.25" customHeight="1">
      <c r="A131" s="26" t="s">
        <v>55</v>
      </c>
      <c r="B131" s="26" t="s">
        <v>56</v>
      </c>
      <c r="C131" s="26" t="s">
        <v>57</v>
      </c>
      <c r="D131" s="26" t="s">
        <v>81</v>
      </c>
      <c r="E131" s="27" t="s">
        <v>526</v>
      </c>
      <c r="F131" s="26" t="s">
        <v>527</v>
      </c>
      <c r="G131" s="29" t="s">
        <v>528</v>
      </c>
      <c r="H131" s="30">
        <v>44999.0</v>
      </c>
      <c r="I131" s="30">
        <v>45364.0</v>
      </c>
      <c r="J131" s="31" t="s">
        <v>529</v>
      </c>
      <c r="K131" s="26" t="s">
        <v>352</v>
      </c>
      <c r="L131" s="32" t="s">
        <v>75</v>
      </c>
      <c r="M131" s="33">
        <v>20434.28</v>
      </c>
      <c r="N131" s="34">
        <v>21780.92</v>
      </c>
      <c r="O131" s="27" t="s">
        <v>76</v>
      </c>
      <c r="P131" s="35" t="s">
        <v>122</v>
      </c>
      <c r="Q131" s="35" t="s">
        <v>65</v>
      </c>
      <c r="R131" s="36" t="e">
        <v>#VALUE!</v>
      </c>
      <c r="S131" s="35" t="s">
        <v>231</v>
      </c>
      <c r="T131" s="35">
        <v>0.0</v>
      </c>
      <c r="U131" s="37" t="s">
        <v>67</v>
      </c>
      <c r="V131" s="38"/>
      <c r="W131" s="38"/>
      <c r="X131" s="27"/>
      <c r="Y131" s="39"/>
      <c r="Z131" s="39"/>
      <c r="AA131" s="39"/>
      <c r="AB131" s="27"/>
      <c r="AC131" s="27">
        <f t="shared" si="1"/>
        <v>0</v>
      </c>
      <c r="AD131" s="41"/>
      <c r="AE131" s="42"/>
      <c r="AF131" s="27"/>
      <c r="AG131" s="43">
        <f t="shared" ref="AG131:AG132" si="78">IF(O131="Paid",IF(A131="Alwataniya",(M131*21%)-((M131*21%)*5%),IF((A131="GIG"),(M131*25%)-((M131*25%)*5%),IF((A131="Allianz"),(M131*27%)-((M131*27%)*5%),0))),0)</f>
        <v>5241.39282</v>
      </c>
      <c r="AH131" s="29"/>
      <c r="AI131" s="29"/>
      <c r="AJ131" s="29"/>
      <c r="AK131" s="29"/>
      <c r="AL131" s="27"/>
      <c r="AM131" s="44">
        <f>IF((BD131&lt;=2),AU131*10%,(IF((BD131&lt;=3),AU131*20%,IF((BD131&lt;=4),AU131*20%,IF((BD131&gt;=5),AU131*30%,0)))))</f>
        <v>427.587309</v>
      </c>
      <c r="AN131" s="80"/>
      <c r="AO131" s="46">
        <f>M131*15%</f>
        <v>3065.142</v>
      </c>
      <c r="AP131" s="80" t="s">
        <v>75</v>
      </c>
      <c r="AQ131" s="43">
        <f t="shared" si="77"/>
        <v>5517.2556</v>
      </c>
      <c r="AR131" s="43">
        <f t="shared" si="2"/>
        <v>275.86278</v>
      </c>
      <c r="AS131" s="43">
        <f t="shared" si="3"/>
        <v>965.51973</v>
      </c>
      <c r="AT131" s="48">
        <f t="shared" si="4"/>
        <v>4275.87309</v>
      </c>
      <c r="AU131" s="49">
        <f t="shared" ref="AU131:AU165" si="79">AQ131-AR131-AS131-AC131</f>
        <v>4275.87309</v>
      </c>
      <c r="AV131" s="48"/>
      <c r="AW131" s="34">
        <f t="shared" si="5"/>
        <v>21780.92</v>
      </c>
      <c r="AX131" s="50">
        <f t="shared" si="6"/>
        <v>783.143781</v>
      </c>
      <c r="AY131" s="43"/>
      <c r="AZ131" s="27"/>
      <c r="BA131" s="48">
        <f t="shared" ref="BA131:BA163" si="80">IF(S131&lt;&gt;0,AU131-AO131-AM131,(AG131-AD131-AE131-AS131))</f>
        <v>783.143781</v>
      </c>
      <c r="BB131" s="27">
        <f>M131*15%</f>
        <v>3065.142</v>
      </c>
      <c r="BC131" s="27" t="s">
        <v>233</v>
      </c>
      <c r="BD131" s="51"/>
      <c r="BE131" s="52"/>
      <c r="BF131" s="27" t="s">
        <v>526</v>
      </c>
      <c r="BG131" s="53">
        <v>45233.0</v>
      </c>
      <c r="BH131" s="53" t="str">
        <f>'[1]2023'!Q228</f>
        <v>#REF!</v>
      </c>
      <c r="BI131" s="27"/>
      <c r="BJ131" s="27"/>
      <c r="BK131" s="27" t="s">
        <v>76</v>
      </c>
      <c r="BL131" s="27" t="s">
        <v>234</v>
      </c>
    </row>
    <row r="132" ht="14.25" customHeight="1">
      <c r="A132" s="26" t="s">
        <v>55</v>
      </c>
      <c r="B132" s="26" t="s">
        <v>56</v>
      </c>
      <c r="C132" s="26" t="s">
        <v>57</v>
      </c>
      <c r="D132" s="26" t="s">
        <v>81</v>
      </c>
      <c r="E132" s="27" t="s">
        <v>530</v>
      </c>
      <c r="F132" s="26" t="s">
        <v>531</v>
      </c>
      <c r="G132" s="29" t="s">
        <v>528</v>
      </c>
      <c r="H132" s="30">
        <v>44999.0</v>
      </c>
      <c r="I132" s="30">
        <v>45364.0</v>
      </c>
      <c r="J132" s="31">
        <v>0.0</v>
      </c>
      <c r="K132" s="26" t="s">
        <v>352</v>
      </c>
      <c r="L132" s="32" t="s">
        <v>305</v>
      </c>
      <c r="M132" s="33">
        <v>20187.5</v>
      </c>
      <c r="N132" s="34">
        <v>21519.58</v>
      </c>
      <c r="O132" s="27" t="s">
        <v>76</v>
      </c>
      <c r="P132" s="35" t="s">
        <v>142</v>
      </c>
      <c r="Q132" s="35" t="s">
        <v>90</v>
      </c>
      <c r="R132" s="36" t="e">
        <v>#VALUE!</v>
      </c>
      <c r="S132" s="35" t="s">
        <v>86</v>
      </c>
      <c r="T132" s="35">
        <v>0.0</v>
      </c>
      <c r="U132" s="37" t="s">
        <v>67</v>
      </c>
      <c r="V132" s="38"/>
      <c r="W132" s="38"/>
      <c r="X132" s="27"/>
      <c r="Y132" s="39"/>
      <c r="Z132" s="39"/>
      <c r="AA132" s="39"/>
      <c r="AB132" s="40"/>
      <c r="AC132" s="27">
        <f t="shared" si="1"/>
        <v>0</v>
      </c>
      <c r="AD132" s="41">
        <f t="shared" ref="AD132:AD133" si="81">IF(AND(S132="0",O132="Paid"),M132*15%,0)</f>
        <v>3028.125</v>
      </c>
      <c r="AE132" s="42"/>
      <c r="AF132" s="27" t="s">
        <v>306</v>
      </c>
      <c r="AG132" s="43">
        <f t="shared" si="78"/>
        <v>5178.09375</v>
      </c>
      <c r="AH132" s="29"/>
      <c r="AI132" s="29"/>
      <c r="AJ132" s="29"/>
      <c r="AK132" s="29"/>
      <c r="AL132" s="27"/>
      <c r="AM132" s="44"/>
      <c r="AN132" s="47"/>
      <c r="AO132" s="46"/>
      <c r="AP132" s="47"/>
      <c r="AQ132" s="43">
        <f t="shared" si="77"/>
        <v>5450.625</v>
      </c>
      <c r="AR132" s="43">
        <f t="shared" si="2"/>
        <v>272.53125</v>
      </c>
      <c r="AS132" s="43">
        <f t="shared" si="3"/>
        <v>953.859375</v>
      </c>
      <c r="AT132" s="48">
        <f t="shared" si="4"/>
        <v>4224.234375</v>
      </c>
      <c r="AU132" s="49">
        <f t="shared" si="79"/>
        <v>4224.234375</v>
      </c>
      <c r="AV132" s="48"/>
      <c r="AW132" s="82">
        <f t="shared" si="5"/>
        <v>18491.455</v>
      </c>
      <c r="AX132" s="50">
        <f t="shared" si="6"/>
        <v>1196.109375</v>
      </c>
      <c r="AY132" s="43"/>
      <c r="AZ132" s="27"/>
      <c r="BA132" s="48">
        <f t="shared" si="80"/>
        <v>4224.234375</v>
      </c>
      <c r="BB132" s="27"/>
      <c r="BC132" s="27"/>
      <c r="BD132" s="51"/>
      <c r="BE132" s="52"/>
      <c r="BF132" s="27" t="s">
        <v>530</v>
      </c>
      <c r="BG132" s="53" t="s">
        <v>532</v>
      </c>
      <c r="BH132" s="53" t="str">
        <f>'[1]2023'!Q305</f>
        <v>#REF!</v>
      </c>
      <c r="BI132" s="27"/>
      <c r="BJ132" s="27"/>
      <c r="BK132" s="27" t="s">
        <v>76</v>
      </c>
      <c r="BL132" s="27"/>
    </row>
    <row r="133" ht="14.25" customHeight="1">
      <c r="A133" s="26" t="s">
        <v>111</v>
      </c>
      <c r="B133" s="26" t="s">
        <v>56</v>
      </c>
      <c r="C133" s="26" t="s">
        <v>57</v>
      </c>
      <c r="D133" s="26" t="s">
        <v>71</v>
      </c>
      <c r="E133" s="27" t="s">
        <v>533</v>
      </c>
      <c r="F133" s="28" t="s">
        <v>534</v>
      </c>
      <c r="G133" s="29">
        <v>44999.0</v>
      </c>
      <c r="H133" s="30">
        <v>44999.0</v>
      </c>
      <c r="I133" s="30">
        <v>45364.0</v>
      </c>
      <c r="J133" s="31">
        <v>0.0</v>
      </c>
      <c r="K133" s="26" t="s">
        <v>352</v>
      </c>
      <c r="L133" s="73" t="s">
        <v>535</v>
      </c>
      <c r="M133" s="33">
        <v>52544.1</v>
      </c>
      <c r="N133" s="34">
        <v>55900.0</v>
      </c>
      <c r="O133" s="27" t="s">
        <v>76</v>
      </c>
      <c r="P133" s="35" t="s">
        <v>142</v>
      </c>
      <c r="Q133" s="35" t="s">
        <v>108</v>
      </c>
      <c r="R133" s="36">
        <v>45009.0</v>
      </c>
      <c r="S133" s="35" t="s">
        <v>86</v>
      </c>
      <c r="T133" s="35">
        <v>0.0</v>
      </c>
      <c r="U133" s="37" t="s">
        <v>115</v>
      </c>
      <c r="V133" s="38">
        <v>2150000.0</v>
      </c>
      <c r="W133" s="38"/>
      <c r="X133" s="27"/>
      <c r="Y133" s="39"/>
      <c r="Z133" s="79" t="s">
        <v>536</v>
      </c>
      <c r="AA133" s="39"/>
      <c r="AB133" s="40"/>
      <c r="AC133" s="27">
        <f t="shared" si="1"/>
        <v>0</v>
      </c>
      <c r="AD133" s="41">
        <f t="shared" si="81"/>
        <v>7881.615</v>
      </c>
      <c r="AE133" s="42">
        <v>1000.0</v>
      </c>
      <c r="AF133" s="27" t="s">
        <v>296</v>
      </c>
      <c r="AG133" s="43">
        <f>IF(O133="Paid",IF(A133="Alwataniya",(M133*21%)-((M133*21%)*5%),IF((A133="GIG"),(M133*22%)-((M133*22%)*5%),IF((A133="Allianz"),(M133*27%)-((M133*27%)*20%),0))),0)</f>
        <v>10981.7169</v>
      </c>
      <c r="AH133" s="29" t="s">
        <v>75</v>
      </c>
      <c r="AI133" s="61" t="s">
        <v>75</v>
      </c>
      <c r="AJ133" s="97">
        <v>0.22</v>
      </c>
      <c r="AK133" s="98" t="s">
        <v>63</v>
      </c>
      <c r="AL133" s="44"/>
      <c r="AM133" s="44"/>
      <c r="AN133" s="47"/>
      <c r="AO133" s="46"/>
      <c r="AP133" s="47"/>
      <c r="AQ133" s="43">
        <f>M133*AJ133</f>
        <v>11559.702</v>
      </c>
      <c r="AR133" s="43">
        <f t="shared" si="2"/>
        <v>577.9851</v>
      </c>
      <c r="AS133" s="43">
        <f t="shared" si="3"/>
        <v>2022.94785</v>
      </c>
      <c r="AT133" s="48">
        <f t="shared" si="4"/>
        <v>8958.76905</v>
      </c>
      <c r="AU133" s="49">
        <f t="shared" si="79"/>
        <v>8958.76905</v>
      </c>
      <c r="AV133" s="48"/>
      <c r="AW133" s="34">
        <f t="shared" si="5"/>
        <v>47018.385</v>
      </c>
      <c r="AX133" s="50">
        <f t="shared" si="6"/>
        <v>77.15405</v>
      </c>
      <c r="AY133" s="49"/>
      <c r="AZ133" s="27"/>
      <c r="BA133" s="48">
        <f t="shared" si="80"/>
        <v>8958.76905</v>
      </c>
      <c r="BB133" s="27"/>
      <c r="BC133" s="27"/>
      <c r="BD133" s="51"/>
      <c r="BE133" s="52"/>
      <c r="BF133" s="77" t="s">
        <v>533</v>
      </c>
      <c r="BG133" s="53">
        <v>0.0</v>
      </c>
      <c r="BH133" s="53" t="str">
        <f>'[1]2023'!Q394</f>
        <v>#REF!</v>
      </c>
      <c r="BI133" s="27"/>
      <c r="BJ133" s="27"/>
      <c r="BK133" s="27" t="s">
        <v>76</v>
      </c>
      <c r="BL133" s="64" t="s">
        <v>537</v>
      </c>
    </row>
    <row r="134" ht="14.25" customHeight="1">
      <c r="A134" s="26" t="s">
        <v>55</v>
      </c>
      <c r="B134" s="26" t="s">
        <v>56</v>
      </c>
      <c r="C134" s="26" t="s">
        <v>57</v>
      </c>
      <c r="D134" s="26" t="s">
        <v>81</v>
      </c>
      <c r="E134" s="27" t="s">
        <v>538</v>
      </c>
      <c r="F134" s="26" t="s">
        <v>539</v>
      </c>
      <c r="G134" s="29" t="s">
        <v>528</v>
      </c>
      <c r="H134" s="30">
        <v>44999.0</v>
      </c>
      <c r="I134" s="30">
        <v>45364.0</v>
      </c>
      <c r="J134" s="31">
        <v>0.0</v>
      </c>
      <c r="K134" s="26" t="s">
        <v>352</v>
      </c>
      <c r="L134" s="73" t="s">
        <v>393</v>
      </c>
      <c r="M134" s="33">
        <v>45430.0</v>
      </c>
      <c r="N134" s="34">
        <v>48253.37</v>
      </c>
      <c r="O134" s="27" t="s">
        <v>76</v>
      </c>
      <c r="P134" s="35" t="s">
        <v>89</v>
      </c>
      <c r="Q134" s="35" t="s">
        <v>108</v>
      </c>
      <c r="R134" s="36" t="e">
        <v>#VALUE!</v>
      </c>
      <c r="S134" s="35" t="s">
        <v>86</v>
      </c>
      <c r="T134" s="35">
        <v>0.0</v>
      </c>
      <c r="U134" s="37" t="s">
        <v>67</v>
      </c>
      <c r="V134" s="38"/>
      <c r="W134" s="38"/>
      <c r="X134" s="27"/>
      <c r="Y134" s="39"/>
      <c r="Z134" s="39"/>
      <c r="AA134" s="39"/>
      <c r="AB134" s="40">
        <v>0.05</v>
      </c>
      <c r="AC134" s="99">
        <v>2254.0</v>
      </c>
      <c r="AD134" s="41">
        <f>IF(AND(S134="0",O134="Paid"),(M134*15%)-AC134,0)</f>
        <v>4560.5</v>
      </c>
      <c r="AE134" s="42"/>
      <c r="AF134" s="29">
        <v>45144.0</v>
      </c>
      <c r="AG134" s="43">
        <f t="shared" ref="AG134:AG148" si="82">IF(O134="Paid",IF(A134="Alwataniya",(M134*21%)-((M134*21%)*5%),IF((A134="GIG"),(M134*25%)-((M134*25%)*5%),IF((A134="Allianz"),(M134*27%)-((M134*27%)*5%),0))),0)</f>
        <v>11652.795</v>
      </c>
      <c r="AH134" s="29"/>
      <c r="AI134" s="29"/>
      <c r="AJ134" s="29"/>
      <c r="AK134" s="75"/>
      <c r="AL134" s="44"/>
      <c r="AM134" s="27"/>
      <c r="AN134" s="47"/>
      <c r="AO134" s="76"/>
      <c r="AP134" s="47"/>
      <c r="AQ134" s="43">
        <f t="shared" ref="AQ134:AQ140" si="83">IF(U134="Motor Plus",(M134*27%),IF(U134="Motor One",(M134*22%),(IF(U134="Golden",(M134*25%),(IF(U134="Classic",(M134*15%),(IF(U134="Wethaq",(M134*28%),IF(U134="Alwataniya",(M134*21%))*0))))))))</f>
        <v>12266.1</v>
      </c>
      <c r="AR134" s="43">
        <f t="shared" si="2"/>
        <v>613.305</v>
      </c>
      <c r="AS134" s="43">
        <f t="shared" si="3"/>
        <v>2146.5675</v>
      </c>
      <c r="AT134" s="48">
        <f t="shared" si="4"/>
        <v>9506.2275</v>
      </c>
      <c r="AU134" s="49">
        <f t="shared" si="79"/>
        <v>7252.2275</v>
      </c>
      <c r="AV134" s="48"/>
      <c r="AW134" s="34">
        <f t="shared" si="5"/>
        <v>41438.87</v>
      </c>
      <c r="AX134" s="50">
        <f t="shared" si="6"/>
        <v>4945.7275</v>
      </c>
      <c r="AY134" s="48"/>
      <c r="AZ134" s="27"/>
      <c r="BA134" s="48">
        <f t="shared" si="80"/>
        <v>7252.2275</v>
      </c>
      <c r="BB134" s="27"/>
      <c r="BC134" s="27"/>
      <c r="BD134" s="51"/>
      <c r="BE134" s="52"/>
      <c r="BF134" s="27" t="s">
        <v>538</v>
      </c>
      <c r="BG134" s="58" t="s">
        <v>540</v>
      </c>
      <c r="BH134" s="53" t="str">
        <f>'[1]2023'!Q403</f>
        <v>#REF!</v>
      </c>
      <c r="BI134" s="27"/>
      <c r="BJ134" s="27"/>
      <c r="BK134" s="27" t="s">
        <v>76</v>
      </c>
      <c r="BL134" s="100" t="s">
        <v>541</v>
      </c>
    </row>
    <row r="135" ht="14.25" customHeight="1">
      <c r="A135" s="26" t="s">
        <v>55</v>
      </c>
      <c r="B135" s="26" t="s">
        <v>56</v>
      </c>
      <c r="C135" s="26" t="s">
        <v>57</v>
      </c>
      <c r="D135" s="26" t="s">
        <v>81</v>
      </c>
      <c r="E135" s="27" t="s">
        <v>542</v>
      </c>
      <c r="F135" s="26" t="s">
        <v>543</v>
      </c>
      <c r="G135" s="29">
        <v>45000.0</v>
      </c>
      <c r="H135" s="30">
        <v>45000.0</v>
      </c>
      <c r="I135" s="30">
        <v>45365.0</v>
      </c>
      <c r="J135" s="31" t="s">
        <v>544</v>
      </c>
      <c r="K135" s="26" t="s">
        <v>352</v>
      </c>
      <c r="L135" s="73" t="s">
        <v>75</v>
      </c>
      <c r="M135" s="33">
        <v>18248.93</v>
      </c>
      <c r="N135" s="34">
        <v>19466.62</v>
      </c>
      <c r="O135" s="27" t="s">
        <v>76</v>
      </c>
      <c r="P135" s="35" t="s">
        <v>104</v>
      </c>
      <c r="Q135" s="35" t="s">
        <v>90</v>
      </c>
      <c r="R135" s="36">
        <v>45000.0</v>
      </c>
      <c r="S135" s="35" t="s">
        <v>86</v>
      </c>
      <c r="T135" s="35">
        <v>0.0</v>
      </c>
      <c r="U135" s="37" t="s">
        <v>67</v>
      </c>
      <c r="V135" s="38"/>
      <c r="W135" s="38"/>
      <c r="X135" s="27"/>
      <c r="Y135" s="39"/>
      <c r="Z135" s="39"/>
      <c r="AA135" s="39"/>
      <c r="AB135" s="40"/>
      <c r="AC135" s="27">
        <f t="shared" ref="AC135:AC184" si="84">M135*AB135</f>
        <v>0</v>
      </c>
      <c r="AD135" s="41">
        <f>IF(AND(S135="0",O135="Paid"),M135*15%,0)</f>
        <v>2737.3395</v>
      </c>
      <c r="AE135" s="42"/>
      <c r="AF135" s="27"/>
      <c r="AG135" s="43">
        <f t="shared" si="82"/>
        <v>4680.850545</v>
      </c>
      <c r="AH135" s="29"/>
      <c r="AI135" s="29"/>
      <c r="AJ135" s="29"/>
      <c r="AK135" s="75"/>
      <c r="AL135" s="44"/>
      <c r="AM135" s="27"/>
      <c r="AN135" s="47"/>
      <c r="AO135" s="76"/>
      <c r="AP135" s="47"/>
      <c r="AQ135" s="43">
        <f t="shared" si="83"/>
        <v>4927.2111</v>
      </c>
      <c r="AR135" s="43">
        <f t="shared" si="2"/>
        <v>246.360555</v>
      </c>
      <c r="AS135" s="43">
        <f t="shared" si="3"/>
        <v>862.2619425</v>
      </c>
      <c r="AT135" s="48">
        <f t="shared" si="4"/>
        <v>3818.588603</v>
      </c>
      <c r="AU135" s="49">
        <f t="shared" si="79"/>
        <v>3818.588603</v>
      </c>
      <c r="AV135" s="48"/>
      <c r="AW135" s="34">
        <f t="shared" si="5"/>
        <v>16729.2805</v>
      </c>
      <c r="AX135" s="50">
        <f t="shared" si="6"/>
        <v>1081.249103</v>
      </c>
      <c r="AY135" s="48"/>
      <c r="AZ135" s="27"/>
      <c r="BA135" s="48">
        <f t="shared" si="80"/>
        <v>3818.588603</v>
      </c>
      <c r="BB135" s="27"/>
      <c r="BC135" s="27"/>
      <c r="BD135" s="51"/>
      <c r="BE135" s="52"/>
      <c r="BF135" s="27" t="s">
        <v>542</v>
      </c>
      <c r="BG135" s="53">
        <v>44929.0</v>
      </c>
      <c r="BH135" s="53" t="str">
        <f>'[1]2023'!Q265</f>
        <v>#REF!</v>
      </c>
      <c r="BI135" s="27"/>
      <c r="BJ135" s="27"/>
      <c r="BK135" s="27" t="s">
        <v>76</v>
      </c>
      <c r="BL135" s="27"/>
    </row>
    <row r="136" ht="14.25" customHeight="1">
      <c r="A136" s="26" t="s">
        <v>55</v>
      </c>
      <c r="B136" s="26" t="s">
        <v>56</v>
      </c>
      <c r="C136" s="26" t="s">
        <v>57</v>
      </c>
      <c r="D136" s="26" t="s">
        <v>81</v>
      </c>
      <c r="E136" s="27" t="s">
        <v>545</v>
      </c>
      <c r="F136" s="26" t="s">
        <v>546</v>
      </c>
      <c r="G136" s="29" t="s">
        <v>547</v>
      </c>
      <c r="H136" s="30">
        <v>45000.0</v>
      </c>
      <c r="I136" s="30">
        <v>45365.0</v>
      </c>
      <c r="J136" s="31">
        <v>0.0</v>
      </c>
      <c r="K136" s="26" t="s">
        <v>352</v>
      </c>
      <c r="L136" s="69">
        <v>45015.0</v>
      </c>
      <c r="M136" s="33">
        <v>17000.0</v>
      </c>
      <c r="N136" s="34">
        <v>18144.0</v>
      </c>
      <c r="O136" s="27" t="s">
        <v>76</v>
      </c>
      <c r="P136" s="35" t="s">
        <v>162</v>
      </c>
      <c r="Q136" s="35" t="s">
        <v>65</v>
      </c>
      <c r="R136" s="36" t="e">
        <v>#VALUE!</v>
      </c>
      <c r="S136" s="35" t="s">
        <v>86</v>
      </c>
      <c r="T136" s="35">
        <v>0.0</v>
      </c>
      <c r="U136" s="37" t="s">
        <v>67</v>
      </c>
      <c r="V136" s="38"/>
      <c r="W136" s="38"/>
      <c r="X136" s="27"/>
      <c r="Y136" s="39"/>
      <c r="Z136" s="39"/>
      <c r="AA136" s="39"/>
      <c r="AB136" s="40"/>
      <c r="AC136" s="27">
        <f t="shared" si="84"/>
        <v>0</v>
      </c>
      <c r="AD136" s="41"/>
      <c r="AE136" s="42"/>
      <c r="AF136" s="27"/>
      <c r="AG136" s="43">
        <f t="shared" si="82"/>
        <v>4360.5</v>
      </c>
      <c r="AH136" s="29"/>
      <c r="AI136" s="29"/>
      <c r="AJ136" s="29"/>
      <c r="AK136" s="29"/>
      <c r="AL136" s="27"/>
      <c r="AM136" s="44"/>
      <c r="AN136" s="68"/>
      <c r="AO136" s="46"/>
      <c r="AP136" s="47"/>
      <c r="AQ136" s="43">
        <f t="shared" si="83"/>
        <v>4590</v>
      </c>
      <c r="AR136" s="43">
        <f t="shared" si="2"/>
        <v>229.5</v>
      </c>
      <c r="AS136" s="43">
        <f t="shared" si="3"/>
        <v>803.25</v>
      </c>
      <c r="AT136" s="48">
        <f t="shared" si="4"/>
        <v>3557.25</v>
      </c>
      <c r="AU136" s="49">
        <f t="shared" si="79"/>
        <v>3557.25</v>
      </c>
      <c r="AV136" s="48"/>
      <c r="AW136" s="34">
        <f t="shared" si="5"/>
        <v>18144</v>
      </c>
      <c r="AX136" s="50">
        <f t="shared" si="6"/>
        <v>3557.25</v>
      </c>
      <c r="AY136" s="43"/>
      <c r="AZ136" s="27"/>
      <c r="BA136" s="48">
        <f t="shared" si="80"/>
        <v>3557.25</v>
      </c>
      <c r="BB136" s="27"/>
      <c r="BC136" s="27"/>
      <c r="BD136" s="51"/>
      <c r="BE136" s="52"/>
      <c r="BF136" s="27" t="s">
        <v>545</v>
      </c>
      <c r="BG136" s="53">
        <v>0.0</v>
      </c>
      <c r="BH136" s="53" t="str">
        <f t="shared" ref="BH136:BH138" si="85">'[1]2023'!Q293</f>
        <v>#REF!</v>
      </c>
      <c r="BI136" s="27"/>
      <c r="BJ136" s="27"/>
      <c r="BK136" s="27" t="s">
        <v>76</v>
      </c>
      <c r="BL136" s="27"/>
    </row>
    <row r="137" ht="14.25" customHeight="1">
      <c r="A137" s="26" t="s">
        <v>55</v>
      </c>
      <c r="B137" s="26" t="s">
        <v>56</v>
      </c>
      <c r="C137" s="26" t="s">
        <v>57</v>
      </c>
      <c r="D137" s="26" t="s">
        <v>81</v>
      </c>
      <c r="E137" s="27" t="s">
        <v>548</v>
      </c>
      <c r="F137" s="26" t="s">
        <v>549</v>
      </c>
      <c r="G137" s="29" t="s">
        <v>547</v>
      </c>
      <c r="H137" s="30">
        <v>45000.0</v>
      </c>
      <c r="I137" s="30">
        <v>45365.0</v>
      </c>
      <c r="J137" s="31">
        <v>0.0</v>
      </c>
      <c r="K137" s="26" t="s">
        <v>352</v>
      </c>
      <c r="L137" s="32" t="s">
        <v>75</v>
      </c>
      <c r="M137" s="33">
        <v>15930.0</v>
      </c>
      <c r="N137" s="34">
        <v>17010.87</v>
      </c>
      <c r="O137" s="27" t="s">
        <v>76</v>
      </c>
      <c r="P137" s="35" t="s">
        <v>104</v>
      </c>
      <c r="Q137" s="35" t="s">
        <v>85</v>
      </c>
      <c r="R137" s="36" t="e">
        <v>#VALUE!</v>
      </c>
      <c r="S137" s="35" t="s">
        <v>86</v>
      </c>
      <c r="T137" s="35">
        <v>0.0</v>
      </c>
      <c r="U137" s="37" t="s">
        <v>67</v>
      </c>
      <c r="V137" s="38"/>
      <c r="W137" s="38"/>
      <c r="X137" s="27"/>
      <c r="Y137" s="39"/>
      <c r="Z137" s="39"/>
      <c r="AA137" s="39"/>
      <c r="AB137" s="40"/>
      <c r="AC137" s="27">
        <f t="shared" si="84"/>
        <v>0</v>
      </c>
      <c r="AD137" s="41">
        <f t="shared" ref="AD137:AD138" si="86">IF(AND(S137="0",O137="Paid"),M137*15%,0)</f>
        <v>2389.5</v>
      </c>
      <c r="AE137" s="42"/>
      <c r="AF137" s="87">
        <v>45020.0</v>
      </c>
      <c r="AG137" s="43">
        <f t="shared" si="82"/>
        <v>4086.045</v>
      </c>
      <c r="AH137" s="29"/>
      <c r="AI137" s="29"/>
      <c r="AJ137" s="29"/>
      <c r="AK137" s="29"/>
      <c r="AL137" s="27"/>
      <c r="AM137" s="44"/>
      <c r="AN137" s="47"/>
      <c r="AO137" s="46"/>
      <c r="AP137" s="47"/>
      <c r="AQ137" s="43">
        <f t="shared" si="83"/>
        <v>4301.1</v>
      </c>
      <c r="AR137" s="43">
        <f t="shared" si="2"/>
        <v>215.055</v>
      </c>
      <c r="AS137" s="43">
        <f t="shared" si="3"/>
        <v>752.6925</v>
      </c>
      <c r="AT137" s="48">
        <f t="shared" si="4"/>
        <v>3333.3525</v>
      </c>
      <c r="AU137" s="49">
        <f t="shared" si="79"/>
        <v>3333.3525</v>
      </c>
      <c r="AV137" s="48"/>
      <c r="AW137" s="34">
        <f t="shared" si="5"/>
        <v>14621.37</v>
      </c>
      <c r="AX137" s="50">
        <f t="shared" si="6"/>
        <v>943.8525</v>
      </c>
      <c r="AY137" s="43"/>
      <c r="AZ137" s="27"/>
      <c r="BA137" s="48">
        <f t="shared" si="80"/>
        <v>3333.3525</v>
      </c>
      <c r="BB137" s="27"/>
      <c r="BC137" s="27"/>
      <c r="BD137" s="51"/>
      <c r="BE137" s="52"/>
      <c r="BF137" s="27" t="s">
        <v>548</v>
      </c>
      <c r="BG137" s="53">
        <v>45172.0</v>
      </c>
      <c r="BH137" s="53" t="str">
        <f t="shared" si="85"/>
        <v>#REF!</v>
      </c>
      <c r="BI137" s="27"/>
      <c r="BJ137" s="27"/>
      <c r="BK137" s="27" t="s">
        <v>76</v>
      </c>
      <c r="BL137" s="27"/>
    </row>
    <row r="138" ht="14.25" customHeight="1">
      <c r="A138" s="26" t="s">
        <v>55</v>
      </c>
      <c r="B138" s="26" t="s">
        <v>56</v>
      </c>
      <c r="C138" s="26" t="s">
        <v>57</v>
      </c>
      <c r="D138" s="26" t="s">
        <v>81</v>
      </c>
      <c r="E138" s="27" t="s">
        <v>550</v>
      </c>
      <c r="F138" s="26" t="s">
        <v>551</v>
      </c>
      <c r="G138" s="29" t="s">
        <v>547</v>
      </c>
      <c r="H138" s="30">
        <v>45000.0</v>
      </c>
      <c r="I138" s="30">
        <v>45365.0</v>
      </c>
      <c r="J138" s="31">
        <v>0.0</v>
      </c>
      <c r="K138" s="26" t="s">
        <v>352</v>
      </c>
      <c r="L138" s="32" t="s">
        <v>75</v>
      </c>
      <c r="M138" s="33">
        <v>20160.0</v>
      </c>
      <c r="N138" s="34">
        <v>21490.44</v>
      </c>
      <c r="O138" s="27" t="s">
        <v>76</v>
      </c>
      <c r="P138" s="35" t="s">
        <v>122</v>
      </c>
      <c r="Q138" s="35" t="s">
        <v>90</v>
      </c>
      <c r="R138" s="36" t="e">
        <v>#VALUE!</v>
      </c>
      <c r="S138" s="35" t="s">
        <v>86</v>
      </c>
      <c r="T138" s="35">
        <v>0.0</v>
      </c>
      <c r="U138" s="37" t="s">
        <v>67</v>
      </c>
      <c r="V138" s="38"/>
      <c r="W138" s="38"/>
      <c r="X138" s="27"/>
      <c r="Y138" s="39"/>
      <c r="Z138" s="39"/>
      <c r="AA138" s="39"/>
      <c r="AB138" s="40"/>
      <c r="AC138" s="27">
        <f t="shared" si="84"/>
        <v>0</v>
      </c>
      <c r="AD138" s="41">
        <f t="shared" si="86"/>
        <v>3024</v>
      </c>
      <c r="AE138" s="42"/>
      <c r="AF138" s="27"/>
      <c r="AG138" s="43">
        <f t="shared" si="82"/>
        <v>5171.04</v>
      </c>
      <c r="AH138" s="29"/>
      <c r="AI138" s="29"/>
      <c r="AJ138" s="29"/>
      <c r="AK138" s="29"/>
      <c r="AL138" s="27"/>
      <c r="AM138" s="44"/>
      <c r="AN138" s="47"/>
      <c r="AO138" s="46"/>
      <c r="AP138" s="47"/>
      <c r="AQ138" s="43">
        <f t="shared" si="83"/>
        <v>5443.2</v>
      </c>
      <c r="AR138" s="43">
        <f t="shared" si="2"/>
        <v>272.16</v>
      </c>
      <c r="AS138" s="43">
        <f t="shared" si="3"/>
        <v>952.56</v>
      </c>
      <c r="AT138" s="48">
        <f t="shared" si="4"/>
        <v>4218.48</v>
      </c>
      <c r="AU138" s="49">
        <f t="shared" si="79"/>
        <v>4218.48</v>
      </c>
      <c r="AV138" s="48"/>
      <c r="AW138" s="34">
        <f t="shared" si="5"/>
        <v>18466.44</v>
      </c>
      <c r="AX138" s="50">
        <f t="shared" si="6"/>
        <v>1194.48</v>
      </c>
      <c r="AY138" s="43"/>
      <c r="AZ138" s="27"/>
      <c r="BA138" s="48">
        <f t="shared" si="80"/>
        <v>4218.48</v>
      </c>
      <c r="BB138" s="27"/>
      <c r="BC138" s="27"/>
      <c r="BD138" s="51"/>
      <c r="BE138" s="52"/>
      <c r="BF138" s="27" t="s">
        <v>550</v>
      </c>
      <c r="BG138" s="53">
        <v>45263.0</v>
      </c>
      <c r="BH138" s="53" t="str">
        <f t="shared" si="85"/>
        <v>#REF!</v>
      </c>
      <c r="BI138" s="27"/>
      <c r="BJ138" s="27"/>
      <c r="BK138" s="27" t="s">
        <v>76</v>
      </c>
      <c r="BL138" s="27"/>
    </row>
    <row r="139" ht="14.25" customHeight="1">
      <c r="A139" s="26" t="s">
        <v>55</v>
      </c>
      <c r="B139" s="26" t="s">
        <v>56</v>
      </c>
      <c r="C139" s="26" t="s">
        <v>57</v>
      </c>
      <c r="D139" s="26" t="s">
        <v>81</v>
      </c>
      <c r="E139" s="27" t="s">
        <v>552</v>
      </c>
      <c r="F139" s="26" t="s">
        <v>553</v>
      </c>
      <c r="G139" s="29" t="s">
        <v>547</v>
      </c>
      <c r="H139" s="30">
        <v>45000.0</v>
      </c>
      <c r="I139" s="30">
        <v>45365.0</v>
      </c>
      <c r="J139" s="31">
        <v>0.0</v>
      </c>
      <c r="K139" s="26" t="s">
        <v>352</v>
      </c>
      <c r="L139" s="32" t="s">
        <v>75</v>
      </c>
      <c r="M139" s="33">
        <v>29426.25</v>
      </c>
      <c r="N139" s="34">
        <v>31303.4</v>
      </c>
      <c r="O139" s="27" t="s">
        <v>76</v>
      </c>
      <c r="P139" s="35" t="s">
        <v>89</v>
      </c>
      <c r="Q139" s="35" t="s">
        <v>65</v>
      </c>
      <c r="R139" s="36" t="e">
        <v>#VALUE!</v>
      </c>
      <c r="S139" s="35" t="s">
        <v>86</v>
      </c>
      <c r="T139" s="35">
        <v>0.0</v>
      </c>
      <c r="U139" s="37" t="s">
        <v>67</v>
      </c>
      <c r="V139" s="38"/>
      <c r="W139" s="38"/>
      <c r="X139" s="27"/>
      <c r="Y139" s="39"/>
      <c r="Z139" s="39"/>
      <c r="AA139" s="39"/>
      <c r="AB139" s="40"/>
      <c r="AC139" s="27">
        <f t="shared" si="84"/>
        <v>0</v>
      </c>
      <c r="AD139" s="41"/>
      <c r="AE139" s="42"/>
      <c r="AF139" s="27"/>
      <c r="AG139" s="43">
        <f t="shared" si="82"/>
        <v>7547.833125</v>
      </c>
      <c r="AH139" s="29"/>
      <c r="AI139" s="29"/>
      <c r="AJ139" s="29"/>
      <c r="AK139" s="29"/>
      <c r="AL139" s="27"/>
      <c r="AM139" s="44"/>
      <c r="AN139" s="47"/>
      <c r="AO139" s="46"/>
      <c r="AP139" s="47"/>
      <c r="AQ139" s="43">
        <f t="shared" si="83"/>
        <v>7945.0875</v>
      </c>
      <c r="AR139" s="43">
        <f t="shared" si="2"/>
        <v>397.254375</v>
      </c>
      <c r="AS139" s="43">
        <f t="shared" si="3"/>
        <v>1390.390313</v>
      </c>
      <c r="AT139" s="48">
        <f t="shared" si="4"/>
        <v>6157.442813</v>
      </c>
      <c r="AU139" s="49">
        <f t="shared" si="79"/>
        <v>6157.442813</v>
      </c>
      <c r="AV139" s="48"/>
      <c r="AW139" s="34">
        <f t="shared" si="5"/>
        <v>31303.4</v>
      </c>
      <c r="AX139" s="50">
        <f t="shared" si="6"/>
        <v>6157.442813</v>
      </c>
      <c r="AY139" s="43"/>
      <c r="AZ139" s="27"/>
      <c r="BA139" s="48">
        <f t="shared" si="80"/>
        <v>6157.442813</v>
      </c>
      <c r="BB139" s="27"/>
      <c r="BC139" s="27"/>
      <c r="BD139" s="51"/>
      <c r="BE139" s="52"/>
      <c r="BF139" s="27" t="s">
        <v>552</v>
      </c>
      <c r="BG139" s="53">
        <v>0.0</v>
      </c>
      <c r="BH139" s="53" t="str">
        <f>'[1]2023'!Q336</f>
        <v>#REF!</v>
      </c>
      <c r="BI139" s="27"/>
      <c r="BJ139" s="27"/>
      <c r="BK139" s="27" t="s">
        <v>76</v>
      </c>
      <c r="BL139" s="27"/>
    </row>
    <row r="140" ht="14.25" customHeight="1">
      <c r="A140" s="26" t="s">
        <v>55</v>
      </c>
      <c r="B140" s="26" t="s">
        <v>56</v>
      </c>
      <c r="C140" s="26" t="s">
        <v>57</v>
      </c>
      <c r="D140" s="26" t="s">
        <v>71</v>
      </c>
      <c r="E140" s="27" t="s">
        <v>554</v>
      </c>
      <c r="F140" s="28" t="s">
        <v>555</v>
      </c>
      <c r="G140" s="29" t="s">
        <v>547</v>
      </c>
      <c r="H140" s="30">
        <v>45000.0</v>
      </c>
      <c r="I140" s="30">
        <v>45365.0</v>
      </c>
      <c r="J140" s="31" t="s">
        <v>556</v>
      </c>
      <c r="K140" s="26" t="s">
        <v>352</v>
      </c>
      <c r="L140" s="32" t="s">
        <v>405</v>
      </c>
      <c r="M140" s="33">
        <v>24115.0</v>
      </c>
      <c r="N140" s="34">
        <v>25679.79</v>
      </c>
      <c r="O140" s="27" t="s">
        <v>76</v>
      </c>
      <c r="P140" s="35" t="s">
        <v>104</v>
      </c>
      <c r="Q140" s="35" t="s">
        <v>65</v>
      </c>
      <c r="R140" s="36" t="e">
        <v>#VALUE!</v>
      </c>
      <c r="S140" s="35" t="s">
        <v>66</v>
      </c>
      <c r="T140" s="35">
        <v>0.0</v>
      </c>
      <c r="U140" s="37" t="s">
        <v>67</v>
      </c>
      <c r="V140" s="101">
        <v>900000.0</v>
      </c>
      <c r="W140" s="78" t="s">
        <v>557</v>
      </c>
      <c r="X140" s="27">
        <v>2022.0</v>
      </c>
      <c r="Y140" s="39"/>
      <c r="Z140" s="79" t="s">
        <v>558</v>
      </c>
      <c r="AA140" s="39"/>
      <c r="AB140" s="40"/>
      <c r="AC140" s="27">
        <f t="shared" si="84"/>
        <v>0</v>
      </c>
      <c r="AD140" s="41"/>
      <c r="AE140" s="42"/>
      <c r="AF140" s="27"/>
      <c r="AG140" s="43">
        <f t="shared" si="82"/>
        <v>6185.4975</v>
      </c>
      <c r="AH140" s="29"/>
      <c r="AI140" s="29"/>
      <c r="AJ140" s="29"/>
      <c r="AK140" s="29"/>
      <c r="AL140" s="27"/>
      <c r="AM140" s="44">
        <f>IF((BD140&lt;=2),AU140*10%,(IF((BD140&lt;=3),AU140*20%,IF((BD140&lt;=4),AU140*20%,IF((BD140&gt;=5),AU140*30%,0)))))</f>
        <v>504.606375</v>
      </c>
      <c r="AN140" s="63" t="s">
        <v>75</v>
      </c>
      <c r="AO140" s="46"/>
      <c r="AP140" s="47"/>
      <c r="AQ140" s="43">
        <f t="shared" si="83"/>
        <v>6511.05</v>
      </c>
      <c r="AR140" s="43">
        <f t="shared" si="2"/>
        <v>325.5525</v>
      </c>
      <c r="AS140" s="43">
        <f t="shared" si="3"/>
        <v>1139.43375</v>
      </c>
      <c r="AT140" s="48">
        <f t="shared" si="4"/>
        <v>5046.06375</v>
      </c>
      <c r="AU140" s="49">
        <f t="shared" si="79"/>
        <v>5046.06375</v>
      </c>
      <c r="AV140" s="48"/>
      <c r="AW140" s="34">
        <f t="shared" si="5"/>
        <v>25679.79</v>
      </c>
      <c r="AX140" s="50">
        <f t="shared" si="6"/>
        <v>4541.457375</v>
      </c>
      <c r="AY140" s="43"/>
      <c r="AZ140" s="27"/>
      <c r="BA140" s="48">
        <f t="shared" si="80"/>
        <v>4541.457375</v>
      </c>
      <c r="BB140" s="27"/>
      <c r="BC140" s="27"/>
      <c r="BD140" s="51"/>
      <c r="BE140" s="52"/>
      <c r="BF140" s="27" t="s">
        <v>554</v>
      </c>
      <c r="BG140" s="58" t="s">
        <v>559</v>
      </c>
      <c r="BH140" s="53" t="str">
        <f>'[1]2023'!Q361</f>
        <v>#REF!</v>
      </c>
      <c r="BI140" s="27"/>
      <c r="BJ140" s="27"/>
      <c r="BK140" s="27" t="s">
        <v>76</v>
      </c>
      <c r="BL140" s="27"/>
    </row>
    <row r="141" ht="14.25" customHeight="1">
      <c r="A141" s="26" t="s">
        <v>55</v>
      </c>
      <c r="B141" s="26" t="s">
        <v>56</v>
      </c>
      <c r="C141" s="26" t="s">
        <v>57</v>
      </c>
      <c r="D141" s="26" t="s">
        <v>81</v>
      </c>
      <c r="E141" s="27" t="s">
        <v>560</v>
      </c>
      <c r="F141" s="26" t="s">
        <v>561</v>
      </c>
      <c r="G141" s="29" t="s">
        <v>547</v>
      </c>
      <c r="H141" s="30">
        <v>45000.0</v>
      </c>
      <c r="I141" s="30">
        <v>45365.0</v>
      </c>
      <c r="J141" s="31">
        <v>0.0</v>
      </c>
      <c r="K141" s="26" t="s">
        <v>352</v>
      </c>
      <c r="L141" s="32" t="s">
        <v>63</v>
      </c>
      <c r="M141" s="33">
        <v>0.0</v>
      </c>
      <c r="N141" s="34">
        <v>0.0</v>
      </c>
      <c r="O141" s="27" t="s">
        <v>64</v>
      </c>
      <c r="P141" s="35">
        <v>0.0</v>
      </c>
      <c r="Q141" s="35" t="s">
        <v>90</v>
      </c>
      <c r="R141" s="36" t="e">
        <v>#VALUE!</v>
      </c>
      <c r="S141" s="35" t="s">
        <v>86</v>
      </c>
      <c r="T141" s="35">
        <v>0.0</v>
      </c>
      <c r="U141" s="37" t="s">
        <v>67</v>
      </c>
      <c r="V141" s="38"/>
      <c r="W141" s="38"/>
      <c r="X141" s="27"/>
      <c r="Y141" s="39"/>
      <c r="Z141" s="39"/>
      <c r="AA141" s="39"/>
      <c r="AB141" s="40"/>
      <c r="AC141" s="27">
        <f t="shared" si="84"/>
        <v>0</v>
      </c>
      <c r="AD141" s="41">
        <f>IF(AND(S141="0",O141="Paid"),(M141*15%)-AC141,0)</f>
        <v>0</v>
      </c>
      <c r="AE141" s="42"/>
      <c r="AF141" s="27"/>
      <c r="AG141" s="43">
        <f t="shared" si="82"/>
        <v>0</v>
      </c>
      <c r="AH141" s="29"/>
      <c r="AI141" s="29"/>
      <c r="AJ141" s="29"/>
      <c r="AK141" s="29"/>
      <c r="AL141" s="27"/>
      <c r="AM141" s="44"/>
      <c r="AN141" s="47"/>
      <c r="AO141" s="46"/>
      <c r="AP141" s="47"/>
      <c r="AQ141" s="43" t="b">
        <f>IF(O141="Paid",IF(U141="Motor Plus",(M141*27%),IF(U141="Motor One",(M141*22%),(IF(U141="Golden",(M141*25%),(IF(U141="Classic",(M141*15%),(IF(U141="Wethaq",(M141*28%),IF(U141="Alwataniya",(M141*21%))*0)))))))))</f>
        <v>0</v>
      </c>
      <c r="AR141" s="43">
        <f t="shared" si="2"/>
        <v>0</v>
      </c>
      <c r="AS141" s="43">
        <f t="shared" si="3"/>
        <v>0</v>
      </c>
      <c r="AT141" s="48">
        <f t="shared" si="4"/>
        <v>0</v>
      </c>
      <c r="AU141" s="49">
        <f t="shared" si="79"/>
        <v>0</v>
      </c>
      <c r="AV141" s="48"/>
      <c r="AW141" s="34">
        <f t="shared" si="5"/>
        <v>0</v>
      </c>
      <c r="AX141" s="50">
        <f t="shared" si="6"/>
        <v>0</v>
      </c>
      <c r="AY141" s="43"/>
      <c r="AZ141" s="27"/>
      <c r="BA141" s="48">
        <f t="shared" si="80"/>
        <v>0</v>
      </c>
      <c r="BB141" s="27"/>
      <c r="BC141" s="27"/>
      <c r="BD141" s="51"/>
      <c r="BE141" s="52"/>
      <c r="BF141" s="27" t="s">
        <v>560</v>
      </c>
      <c r="BG141" s="58" t="s">
        <v>562</v>
      </c>
      <c r="BH141" s="53" t="str">
        <f>'[1]2023'!Q383</f>
        <v>#REF!</v>
      </c>
      <c r="BI141" s="27"/>
      <c r="BJ141" s="27"/>
      <c r="BK141" s="27" t="s">
        <v>64</v>
      </c>
      <c r="BL141" s="27"/>
    </row>
    <row r="142" ht="14.25" customHeight="1">
      <c r="A142" s="26" t="s">
        <v>55</v>
      </c>
      <c r="B142" s="26" t="s">
        <v>56</v>
      </c>
      <c r="C142" s="26" t="s">
        <v>57</v>
      </c>
      <c r="D142" s="26" t="s">
        <v>81</v>
      </c>
      <c r="E142" s="27" t="s">
        <v>563</v>
      </c>
      <c r="F142" s="26" t="s">
        <v>564</v>
      </c>
      <c r="G142" s="29" t="s">
        <v>565</v>
      </c>
      <c r="H142" s="30">
        <v>45001.0</v>
      </c>
      <c r="I142" s="30">
        <v>45366.0</v>
      </c>
      <c r="J142" s="31">
        <v>0.0</v>
      </c>
      <c r="K142" s="26" t="s">
        <v>352</v>
      </c>
      <c r="L142" s="32" t="s">
        <v>75</v>
      </c>
      <c r="M142" s="33">
        <v>28320.0</v>
      </c>
      <c r="N142" s="34">
        <v>30131.88</v>
      </c>
      <c r="O142" s="27" t="s">
        <v>76</v>
      </c>
      <c r="P142" s="35" t="s">
        <v>104</v>
      </c>
      <c r="Q142" s="35" t="s">
        <v>90</v>
      </c>
      <c r="R142" s="36" t="e">
        <v>#VALUE!</v>
      </c>
      <c r="S142" s="35" t="s">
        <v>86</v>
      </c>
      <c r="T142" s="35">
        <v>0.0</v>
      </c>
      <c r="U142" s="37" t="s">
        <v>67</v>
      </c>
      <c r="V142" s="38"/>
      <c r="W142" s="38"/>
      <c r="X142" s="27"/>
      <c r="Y142" s="39"/>
      <c r="Z142" s="39"/>
      <c r="AA142" s="39"/>
      <c r="AB142" s="40"/>
      <c r="AC142" s="27">
        <f t="shared" si="84"/>
        <v>0</v>
      </c>
      <c r="AD142" s="41">
        <f>IF(AND(S142="0",O142="Paid"),M142*15%,0)</f>
        <v>4248</v>
      </c>
      <c r="AE142" s="42"/>
      <c r="AF142" s="27"/>
      <c r="AG142" s="43">
        <f t="shared" si="82"/>
        <v>7264.08</v>
      </c>
      <c r="AH142" s="29"/>
      <c r="AI142" s="29"/>
      <c r="AJ142" s="29"/>
      <c r="AK142" s="29"/>
      <c r="AL142" s="27"/>
      <c r="AM142" s="44"/>
      <c r="AN142" s="47"/>
      <c r="AO142" s="46"/>
      <c r="AP142" s="47"/>
      <c r="AQ142" s="43">
        <f t="shared" ref="AQ142:AQ148" si="87">IF(U142="Motor Plus",(M142*27%),IF(U142="Motor One",(M142*22%),(IF(U142="Golden",(M142*25%),(IF(U142="Classic",(M142*15%),(IF(U142="Wethaq",(M142*28%),IF(U142="Alwataniya",(M142*21%))*0))))))))</f>
        <v>7646.4</v>
      </c>
      <c r="AR142" s="43">
        <f t="shared" si="2"/>
        <v>382.32</v>
      </c>
      <c r="AS142" s="43">
        <f t="shared" si="3"/>
        <v>1338.12</v>
      </c>
      <c r="AT142" s="48">
        <f t="shared" si="4"/>
        <v>5925.96</v>
      </c>
      <c r="AU142" s="49">
        <f t="shared" si="79"/>
        <v>5925.96</v>
      </c>
      <c r="AV142" s="48"/>
      <c r="AW142" s="34">
        <f t="shared" si="5"/>
        <v>25883.88</v>
      </c>
      <c r="AX142" s="50">
        <f t="shared" si="6"/>
        <v>1677.96</v>
      </c>
      <c r="AY142" s="43"/>
      <c r="AZ142" s="27"/>
      <c r="BA142" s="48">
        <f t="shared" si="80"/>
        <v>5925.96</v>
      </c>
      <c r="BB142" s="27"/>
      <c r="BC142" s="27"/>
      <c r="BD142" s="51"/>
      <c r="BE142" s="52"/>
      <c r="BF142" s="27" t="s">
        <v>563</v>
      </c>
      <c r="BG142" s="53">
        <v>0.0</v>
      </c>
      <c r="BH142" s="53" t="str">
        <f t="shared" ref="BH142:BH143" si="88">'[1]2023'!Q334</f>
        <v>#REF!</v>
      </c>
      <c r="BI142" s="27"/>
      <c r="BJ142" s="27"/>
      <c r="BK142" s="27" t="s">
        <v>76</v>
      </c>
      <c r="BL142" s="27"/>
    </row>
    <row r="143" ht="14.25" customHeight="1">
      <c r="A143" s="26" t="s">
        <v>55</v>
      </c>
      <c r="B143" s="26" t="s">
        <v>56</v>
      </c>
      <c r="C143" s="26" t="s">
        <v>57</v>
      </c>
      <c r="D143" s="26" t="s">
        <v>81</v>
      </c>
      <c r="E143" s="27" t="s">
        <v>566</v>
      </c>
      <c r="F143" s="26" t="s">
        <v>567</v>
      </c>
      <c r="G143" s="29" t="s">
        <v>565</v>
      </c>
      <c r="H143" s="30">
        <v>45001.0</v>
      </c>
      <c r="I143" s="30">
        <v>45366.0</v>
      </c>
      <c r="J143" s="31">
        <v>0.0</v>
      </c>
      <c r="K143" s="26" t="s">
        <v>352</v>
      </c>
      <c r="L143" s="32" t="s">
        <v>75</v>
      </c>
      <c r="M143" s="33">
        <v>15600.0</v>
      </c>
      <c r="N143" s="34">
        <v>16661.4</v>
      </c>
      <c r="O143" s="27" t="s">
        <v>76</v>
      </c>
      <c r="P143" s="35" t="s">
        <v>95</v>
      </c>
      <c r="Q143" s="35" t="s">
        <v>65</v>
      </c>
      <c r="R143" s="36" t="e">
        <v>#VALUE!</v>
      </c>
      <c r="S143" s="35" t="s">
        <v>86</v>
      </c>
      <c r="T143" s="35">
        <v>0.0</v>
      </c>
      <c r="U143" s="37" t="s">
        <v>67</v>
      </c>
      <c r="V143" s="38"/>
      <c r="W143" s="38"/>
      <c r="X143" s="27"/>
      <c r="Y143" s="39"/>
      <c r="Z143" s="39"/>
      <c r="AA143" s="39"/>
      <c r="AB143" s="40"/>
      <c r="AC143" s="27">
        <f t="shared" si="84"/>
        <v>0</v>
      </c>
      <c r="AD143" s="41"/>
      <c r="AE143" s="42"/>
      <c r="AF143" s="27"/>
      <c r="AG143" s="43">
        <f t="shared" si="82"/>
        <v>4001.4</v>
      </c>
      <c r="AH143" s="29"/>
      <c r="AI143" s="29"/>
      <c r="AJ143" s="29"/>
      <c r="AK143" s="29"/>
      <c r="AL143" s="27"/>
      <c r="AM143" s="44"/>
      <c r="AN143" s="47"/>
      <c r="AO143" s="46"/>
      <c r="AP143" s="47"/>
      <c r="AQ143" s="43">
        <f t="shared" si="87"/>
        <v>4212</v>
      </c>
      <c r="AR143" s="43">
        <f t="shared" si="2"/>
        <v>210.6</v>
      </c>
      <c r="AS143" s="43">
        <f t="shared" si="3"/>
        <v>737.1</v>
      </c>
      <c r="AT143" s="48">
        <f t="shared" si="4"/>
        <v>3264.3</v>
      </c>
      <c r="AU143" s="49">
        <f t="shared" si="79"/>
        <v>3264.3</v>
      </c>
      <c r="AV143" s="48"/>
      <c r="AW143" s="34">
        <f t="shared" si="5"/>
        <v>16661.4</v>
      </c>
      <c r="AX143" s="50">
        <f t="shared" si="6"/>
        <v>3264.3</v>
      </c>
      <c r="AY143" s="43"/>
      <c r="AZ143" s="27"/>
      <c r="BA143" s="48">
        <f t="shared" si="80"/>
        <v>3264.3</v>
      </c>
      <c r="BB143" s="27"/>
      <c r="BC143" s="27"/>
      <c r="BD143" s="51"/>
      <c r="BE143" s="52"/>
      <c r="BF143" s="27" t="s">
        <v>566</v>
      </c>
      <c r="BG143" s="53" t="s">
        <v>568</v>
      </c>
      <c r="BH143" s="53" t="str">
        <f t="shared" si="88"/>
        <v>#REF!</v>
      </c>
      <c r="BI143" s="27"/>
      <c r="BJ143" s="27"/>
      <c r="BK143" s="27" t="s">
        <v>76</v>
      </c>
      <c r="BL143" s="27"/>
    </row>
    <row r="144" ht="14.25" customHeight="1">
      <c r="A144" s="26" t="s">
        <v>55</v>
      </c>
      <c r="B144" s="26" t="s">
        <v>56</v>
      </c>
      <c r="C144" s="26" t="s">
        <v>57</v>
      </c>
      <c r="D144" s="26" t="s">
        <v>81</v>
      </c>
      <c r="E144" s="27" t="s">
        <v>569</v>
      </c>
      <c r="F144" s="26" t="s">
        <v>570</v>
      </c>
      <c r="G144" s="29" t="s">
        <v>565</v>
      </c>
      <c r="H144" s="30">
        <v>45001.0</v>
      </c>
      <c r="I144" s="30">
        <v>45366.0</v>
      </c>
      <c r="J144" s="31">
        <v>0.0</v>
      </c>
      <c r="K144" s="26" t="s">
        <v>352</v>
      </c>
      <c r="L144" s="32" t="s">
        <v>75</v>
      </c>
      <c r="M144" s="33">
        <v>20650.0</v>
      </c>
      <c r="N144" s="34">
        <v>22009.35</v>
      </c>
      <c r="O144" s="27" t="s">
        <v>76</v>
      </c>
      <c r="P144" s="35" t="s">
        <v>104</v>
      </c>
      <c r="Q144" s="35" t="s">
        <v>65</v>
      </c>
      <c r="R144" s="36" t="e">
        <v>#VALUE!</v>
      </c>
      <c r="S144" s="35" t="s">
        <v>86</v>
      </c>
      <c r="T144" s="35">
        <v>0.0</v>
      </c>
      <c r="U144" s="37" t="s">
        <v>67</v>
      </c>
      <c r="V144" s="38"/>
      <c r="W144" s="38"/>
      <c r="X144" s="27"/>
      <c r="Y144" s="39"/>
      <c r="Z144" s="39"/>
      <c r="AA144" s="39"/>
      <c r="AB144" s="40"/>
      <c r="AC144" s="27">
        <f t="shared" si="84"/>
        <v>0</v>
      </c>
      <c r="AD144" s="41"/>
      <c r="AE144" s="42"/>
      <c r="AF144" s="27"/>
      <c r="AG144" s="43">
        <f t="shared" si="82"/>
        <v>5296.725</v>
      </c>
      <c r="AH144" s="29"/>
      <c r="AI144" s="29"/>
      <c r="AJ144" s="29"/>
      <c r="AK144" s="29"/>
      <c r="AL144" s="27"/>
      <c r="AM144" s="44"/>
      <c r="AN144" s="47"/>
      <c r="AO144" s="46"/>
      <c r="AP144" s="47"/>
      <c r="AQ144" s="43">
        <f t="shared" si="87"/>
        <v>5575.5</v>
      </c>
      <c r="AR144" s="43">
        <f t="shared" si="2"/>
        <v>278.775</v>
      </c>
      <c r="AS144" s="43">
        <f t="shared" si="3"/>
        <v>975.7125</v>
      </c>
      <c r="AT144" s="48">
        <f t="shared" si="4"/>
        <v>4321.0125</v>
      </c>
      <c r="AU144" s="49">
        <f t="shared" si="79"/>
        <v>4321.0125</v>
      </c>
      <c r="AV144" s="48"/>
      <c r="AW144" s="34">
        <f t="shared" si="5"/>
        <v>22009.35</v>
      </c>
      <c r="AX144" s="50">
        <f t="shared" si="6"/>
        <v>4321.0125</v>
      </c>
      <c r="AY144" s="43"/>
      <c r="AZ144" s="27"/>
      <c r="BA144" s="48">
        <f t="shared" si="80"/>
        <v>4321.0125</v>
      </c>
      <c r="BB144" s="27"/>
      <c r="BC144" s="27"/>
      <c r="BD144" s="51"/>
      <c r="BE144" s="52"/>
      <c r="BF144" s="27" t="s">
        <v>569</v>
      </c>
      <c r="BG144" s="53">
        <v>0.0</v>
      </c>
      <c r="BH144" s="53" t="str">
        <f>'[1]2023'!Q354</f>
        <v>#REF!</v>
      </c>
      <c r="BI144" s="27"/>
      <c r="BJ144" s="27"/>
      <c r="BK144" s="27" t="s">
        <v>76</v>
      </c>
      <c r="BL144" s="27"/>
    </row>
    <row r="145" ht="14.25" customHeight="1">
      <c r="A145" s="26" t="s">
        <v>55</v>
      </c>
      <c r="B145" s="26" t="s">
        <v>56</v>
      </c>
      <c r="C145" s="26" t="s">
        <v>57</v>
      </c>
      <c r="D145" s="26" t="s">
        <v>81</v>
      </c>
      <c r="E145" s="27" t="s">
        <v>571</v>
      </c>
      <c r="F145" s="28" t="s">
        <v>572</v>
      </c>
      <c r="G145" s="29" t="s">
        <v>565</v>
      </c>
      <c r="H145" s="30">
        <v>45001.0</v>
      </c>
      <c r="I145" s="30">
        <v>45366.0</v>
      </c>
      <c r="J145" s="31">
        <v>0.0</v>
      </c>
      <c r="K145" s="26" t="s">
        <v>352</v>
      </c>
      <c r="L145" s="32" t="s">
        <v>75</v>
      </c>
      <c r="M145" s="33">
        <v>14455.0</v>
      </c>
      <c r="N145" s="34">
        <v>15449.85</v>
      </c>
      <c r="O145" s="27" t="s">
        <v>76</v>
      </c>
      <c r="P145" s="35" t="s">
        <v>122</v>
      </c>
      <c r="Q145" s="35" t="s">
        <v>90</v>
      </c>
      <c r="R145" s="36" t="e">
        <v>#VALUE!</v>
      </c>
      <c r="S145" s="35" t="s">
        <v>86</v>
      </c>
      <c r="T145" s="35">
        <v>0.0</v>
      </c>
      <c r="U145" s="37" t="s">
        <v>67</v>
      </c>
      <c r="V145" s="38"/>
      <c r="W145" s="38"/>
      <c r="X145" s="27"/>
      <c r="Y145" s="39"/>
      <c r="Z145" s="39"/>
      <c r="AA145" s="39"/>
      <c r="AB145" s="40"/>
      <c r="AC145" s="27">
        <f t="shared" si="84"/>
        <v>0</v>
      </c>
      <c r="AD145" s="41">
        <f>IF(AND(S145="0",O145="Paid"),M145*15%,0)</f>
        <v>2168.25</v>
      </c>
      <c r="AE145" s="42"/>
      <c r="AF145" s="27"/>
      <c r="AG145" s="43">
        <f t="shared" si="82"/>
        <v>3707.7075</v>
      </c>
      <c r="AH145" s="29"/>
      <c r="AI145" s="29"/>
      <c r="AJ145" s="29"/>
      <c r="AK145" s="29"/>
      <c r="AL145" s="27"/>
      <c r="AM145" s="44"/>
      <c r="AN145" s="47"/>
      <c r="AO145" s="46"/>
      <c r="AP145" s="47"/>
      <c r="AQ145" s="43">
        <f t="shared" si="87"/>
        <v>3902.85</v>
      </c>
      <c r="AR145" s="43">
        <f t="shared" si="2"/>
        <v>195.1425</v>
      </c>
      <c r="AS145" s="43">
        <f t="shared" si="3"/>
        <v>682.99875</v>
      </c>
      <c r="AT145" s="48">
        <f t="shared" si="4"/>
        <v>3024.70875</v>
      </c>
      <c r="AU145" s="49">
        <f t="shared" si="79"/>
        <v>3024.70875</v>
      </c>
      <c r="AV145" s="48"/>
      <c r="AW145" s="34">
        <f t="shared" si="5"/>
        <v>13281.6</v>
      </c>
      <c r="AX145" s="50">
        <f t="shared" si="6"/>
        <v>856.45875</v>
      </c>
      <c r="AY145" s="43"/>
      <c r="AZ145" s="27"/>
      <c r="BA145" s="48">
        <f t="shared" si="80"/>
        <v>3024.70875</v>
      </c>
      <c r="BB145" s="27"/>
      <c r="BC145" s="27"/>
      <c r="BD145" s="51"/>
      <c r="BE145" s="52"/>
      <c r="BF145" s="27" t="s">
        <v>571</v>
      </c>
      <c r="BG145" s="53">
        <v>0.0</v>
      </c>
      <c r="BH145" s="53" t="str">
        <f t="shared" ref="BH145:BH146" si="89">'[1]2023'!Q364</f>
        <v>#REF!</v>
      </c>
      <c r="BI145" s="27"/>
      <c r="BJ145" s="27"/>
      <c r="BK145" s="27" t="s">
        <v>76</v>
      </c>
      <c r="BL145" s="27"/>
    </row>
    <row r="146" ht="14.25" customHeight="1">
      <c r="A146" s="26" t="s">
        <v>55</v>
      </c>
      <c r="B146" s="26" t="s">
        <v>56</v>
      </c>
      <c r="C146" s="26" t="s">
        <v>57</v>
      </c>
      <c r="D146" s="26" t="s">
        <v>71</v>
      </c>
      <c r="E146" s="27" t="s">
        <v>573</v>
      </c>
      <c r="F146" s="28" t="s">
        <v>574</v>
      </c>
      <c r="G146" s="29" t="s">
        <v>565</v>
      </c>
      <c r="H146" s="30">
        <v>45001.0</v>
      </c>
      <c r="I146" s="30">
        <v>45366.0</v>
      </c>
      <c r="J146" s="31" t="s">
        <v>575</v>
      </c>
      <c r="K146" s="26" t="s">
        <v>352</v>
      </c>
      <c r="L146" s="73" t="s">
        <v>405</v>
      </c>
      <c r="M146" s="33">
        <v>27500.0</v>
      </c>
      <c r="N146" s="34">
        <v>29264.5</v>
      </c>
      <c r="O146" s="27" t="s">
        <v>76</v>
      </c>
      <c r="P146" s="35" t="s">
        <v>89</v>
      </c>
      <c r="Q146" s="35" t="s">
        <v>65</v>
      </c>
      <c r="R146" s="36" t="e">
        <v>#VALUE!</v>
      </c>
      <c r="S146" s="35" t="s">
        <v>66</v>
      </c>
      <c r="T146" s="35">
        <v>0.0</v>
      </c>
      <c r="U146" s="37" t="s">
        <v>67</v>
      </c>
      <c r="V146" s="101">
        <v>1250000.0</v>
      </c>
      <c r="W146" s="78">
        <v>44245.0</v>
      </c>
      <c r="X146" s="27">
        <v>2022.0</v>
      </c>
      <c r="Y146" s="39"/>
      <c r="Z146" s="79" t="s">
        <v>211</v>
      </c>
      <c r="AA146" s="39"/>
      <c r="AB146" s="40"/>
      <c r="AC146" s="27">
        <f t="shared" si="84"/>
        <v>0</v>
      </c>
      <c r="AD146" s="41"/>
      <c r="AE146" s="42"/>
      <c r="AF146" s="27"/>
      <c r="AG146" s="43">
        <f t="shared" si="82"/>
        <v>7053.75</v>
      </c>
      <c r="AH146" s="29"/>
      <c r="AI146" s="29"/>
      <c r="AJ146" s="29"/>
      <c r="AK146" s="75"/>
      <c r="AL146" s="44"/>
      <c r="AM146" s="44">
        <f>IF((BD146&lt;=2),AU146*10%,(IF((BD146&lt;=3),AU146*20%,IF((BD146&lt;=4),AU146*20%,IF((BD146&gt;=5),AU146*30%,0)))))</f>
        <v>575.4375</v>
      </c>
      <c r="AN146" s="63" t="s">
        <v>75</v>
      </c>
      <c r="AO146" s="46"/>
      <c r="AP146" s="47"/>
      <c r="AQ146" s="43">
        <f t="shared" si="87"/>
        <v>7425</v>
      </c>
      <c r="AR146" s="43">
        <f t="shared" si="2"/>
        <v>371.25</v>
      </c>
      <c r="AS146" s="43">
        <f t="shared" si="3"/>
        <v>1299.375</v>
      </c>
      <c r="AT146" s="48">
        <f t="shared" si="4"/>
        <v>5754.375</v>
      </c>
      <c r="AU146" s="49">
        <f t="shared" si="79"/>
        <v>5754.375</v>
      </c>
      <c r="AV146" s="48"/>
      <c r="AW146" s="34">
        <f t="shared" si="5"/>
        <v>29264.5</v>
      </c>
      <c r="AX146" s="50">
        <f t="shared" si="6"/>
        <v>5178.9375</v>
      </c>
      <c r="AY146" s="48"/>
      <c r="AZ146" s="27"/>
      <c r="BA146" s="48">
        <f t="shared" si="80"/>
        <v>5178.9375</v>
      </c>
      <c r="BB146" s="27"/>
      <c r="BC146" s="27"/>
      <c r="BD146" s="51"/>
      <c r="BE146" s="52"/>
      <c r="BF146" s="27" t="s">
        <v>573</v>
      </c>
      <c r="BG146" s="58" t="s">
        <v>576</v>
      </c>
      <c r="BH146" s="53" t="str">
        <f t="shared" si="89"/>
        <v>#REF!</v>
      </c>
      <c r="BI146" s="27"/>
      <c r="BJ146" s="27"/>
      <c r="BK146" s="27" t="s">
        <v>76</v>
      </c>
      <c r="BL146" s="27"/>
    </row>
    <row r="147" ht="14.25" customHeight="1">
      <c r="A147" s="26" t="s">
        <v>55</v>
      </c>
      <c r="B147" s="26" t="s">
        <v>56</v>
      </c>
      <c r="C147" s="26" t="s">
        <v>57</v>
      </c>
      <c r="D147" s="26" t="s">
        <v>81</v>
      </c>
      <c r="E147" s="27" t="s">
        <v>577</v>
      </c>
      <c r="F147" s="26" t="s">
        <v>578</v>
      </c>
      <c r="G147" s="29" t="s">
        <v>565</v>
      </c>
      <c r="H147" s="30">
        <v>45001.0</v>
      </c>
      <c r="I147" s="30">
        <v>45366.0</v>
      </c>
      <c r="J147" s="31">
        <v>0.0</v>
      </c>
      <c r="K147" s="26" t="s">
        <v>352</v>
      </c>
      <c r="L147" s="73" t="s">
        <v>75</v>
      </c>
      <c r="M147" s="33">
        <v>29500.0</v>
      </c>
      <c r="N147" s="34">
        <v>31381.5</v>
      </c>
      <c r="O147" s="27" t="s">
        <v>76</v>
      </c>
      <c r="P147" s="35" t="s">
        <v>104</v>
      </c>
      <c r="Q147" s="35" t="s">
        <v>65</v>
      </c>
      <c r="R147" s="36" t="e">
        <v>#VALUE!</v>
      </c>
      <c r="S147" s="35" t="s">
        <v>86</v>
      </c>
      <c r="T147" s="54" t="s">
        <v>163</v>
      </c>
      <c r="U147" s="37" t="s">
        <v>67</v>
      </c>
      <c r="V147" s="38"/>
      <c r="W147" s="38"/>
      <c r="X147" s="27"/>
      <c r="Y147" s="39"/>
      <c r="Z147" s="39"/>
      <c r="AA147" s="39"/>
      <c r="AB147" s="40"/>
      <c r="AC147" s="27">
        <f t="shared" si="84"/>
        <v>0</v>
      </c>
      <c r="AD147" s="41"/>
      <c r="AE147" s="42"/>
      <c r="AF147" s="27"/>
      <c r="AG147" s="43">
        <f t="shared" si="82"/>
        <v>7566.75</v>
      </c>
      <c r="AH147" s="29"/>
      <c r="AI147" s="29"/>
      <c r="AJ147" s="29"/>
      <c r="AK147" s="75"/>
      <c r="AL147" s="44"/>
      <c r="AM147" s="44"/>
      <c r="AN147" s="47"/>
      <c r="AO147" s="70">
        <f>M147*15%</f>
        <v>4425</v>
      </c>
      <c r="AP147" s="71">
        <v>45267.0</v>
      </c>
      <c r="AQ147" s="43">
        <f t="shared" si="87"/>
        <v>7965</v>
      </c>
      <c r="AR147" s="43">
        <f t="shared" si="2"/>
        <v>398.25</v>
      </c>
      <c r="AS147" s="43">
        <f t="shared" si="3"/>
        <v>1393.875</v>
      </c>
      <c r="AT147" s="48">
        <f t="shared" si="4"/>
        <v>6172.875</v>
      </c>
      <c r="AU147" s="49">
        <f t="shared" si="79"/>
        <v>6172.875</v>
      </c>
      <c r="AV147" s="48"/>
      <c r="AW147" s="34">
        <f t="shared" si="5"/>
        <v>31381.5</v>
      </c>
      <c r="AX147" s="50">
        <f t="shared" si="6"/>
        <v>1747.875</v>
      </c>
      <c r="AY147" s="48"/>
      <c r="AZ147" s="27"/>
      <c r="BA147" s="48">
        <f t="shared" si="80"/>
        <v>1747.875</v>
      </c>
      <c r="BB147" s="27"/>
      <c r="BC147" s="27"/>
      <c r="BD147" s="51"/>
      <c r="BE147" s="52"/>
      <c r="BF147" s="27" t="s">
        <v>577</v>
      </c>
      <c r="BG147" s="58" t="s">
        <v>562</v>
      </c>
      <c r="BH147" s="53" t="str">
        <f>'[1]2023'!Q442</f>
        <v>#REF!</v>
      </c>
      <c r="BI147" s="27"/>
      <c r="BJ147" s="27"/>
      <c r="BK147" s="27" t="s">
        <v>76</v>
      </c>
      <c r="BL147" s="27"/>
    </row>
    <row r="148" ht="14.25" customHeight="1">
      <c r="A148" s="26" t="s">
        <v>55</v>
      </c>
      <c r="B148" s="26" t="s">
        <v>56</v>
      </c>
      <c r="C148" s="26" t="s">
        <v>57</v>
      </c>
      <c r="D148" s="26" t="s">
        <v>81</v>
      </c>
      <c r="E148" s="27" t="s">
        <v>579</v>
      </c>
      <c r="F148" s="28" t="s">
        <v>580</v>
      </c>
      <c r="G148" s="29" t="s">
        <v>565</v>
      </c>
      <c r="H148" s="30">
        <v>45001.0</v>
      </c>
      <c r="I148" s="30">
        <v>45366.0</v>
      </c>
      <c r="J148" s="31">
        <v>0.0</v>
      </c>
      <c r="K148" s="26" t="s">
        <v>352</v>
      </c>
      <c r="L148" s="73" t="s">
        <v>305</v>
      </c>
      <c r="M148" s="33">
        <v>21468.38</v>
      </c>
      <c r="N148" s="34">
        <v>22876.02</v>
      </c>
      <c r="O148" s="27" t="s">
        <v>76</v>
      </c>
      <c r="P148" s="35" t="s">
        <v>142</v>
      </c>
      <c r="Q148" s="35" t="s">
        <v>90</v>
      </c>
      <c r="R148" s="36" t="e">
        <v>#VALUE!</v>
      </c>
      <c r="S148" s="35" t="s">
        <v>86</v>
      </c>
      <c r="T148" s="35">
        <v>0.0</v>
      </c>
      <c r="U148" s="37" t="s">
        <v>67</v>
      </c>
      <c r="V148" s="38"/>
      <c r="W148" s="38"/>
      <c r="X148" s="27"/>
      <c r="Y148" s="39"/>
      <c r="Z148" s="39"/>
      <c r="AA148" s="39"/>
      <c r="AB148" s="40"/>
      <c r="AC148" s="27">
        <f t="shared" si="84"/>
        <v>0</v>
      </c>
      <c r="AD148" s="41">
        <f>IF(AND(S148="0",O148="Paid"),M148*15%,0)</f>
        <v>3220.257</v>
      </c>
      <c r="AE148" s="42"/>
      <c r="AF148" s="27" t="s">
        <v>306</v>
      </c>
      <c r="AG148" s="43">
        <f t="shared" si="82"/>
        <v>5506.63947</v>
      </c>
      <c r="AH148" s="29"/>
      <c r="AI148" s="29"/>
      <c r="AJ148" s="29"/>
      <c r="AK148" s="75"/>
      <c r="AL148" s="44"/>
      <c r="AM148" s="44"/>
      <c r="AN148" s="68"/>
      <c r="AO148" s="46"/>
      <c r="AP148" s="47"/>
      <c r="AQ148" s="43">
        <f t="shared" si="87"/>
        <v>5796.4626</v>
      </c>
      <c r="AR148" s="43">
        <f t="shared" si="2"/>
        <v>289.82313</v>
      </c>
      <c r="AS148" s="43">
        <f t="shared" si="3"/>
        <v>1014.380955</v>
      </c>
      <c r="AT148" s="48">
        <f t="shared" si="4"/>
        <v>4492.258515</v>
      </c>
      <c r="AU148" s="49">
        <f t="shared" si="79"/>
        <v>4492.258515</v>
      </c>
      <c r="AV148" s="48"/>
      <c r="AW148" s="82">
        <f t="shared" si="5"/>
        <v>19655.763</v>
      </c>
      <c r="AX148" s="50">
        <f t="shared" si="6"/>
        <v>1272.001515</v>
      </c>
      <c r="AY148" s="48"/>
      <c r="AZ148" s="27"/>
      <c r="BA148" s="48">
        <f t="shared" si="80"/>
        <v>4492.258515</v>
      </c>
      <c r="BB148" s="27"/>
      <c r="BC148" s="27"/>
      <c r="BD148" s="51"/>
      <c r="BE148" s="52"/>
      <c r="BF148" s="27" t="s">
        <v>579</v>
      </c>
      <c r="BG148" s="58" t="s">
        <v>562</v>
      </c>
      <c r="BH148" s="53" t="str">
        <f>'[1]2023'!Q444</f>
        <v>#REF!</v>
      </c>
      <c r="BI148" s="27"/>
      <c r="BJ148" s="27"/>
      <c r="BK148" s="27" t="s">
        <v>76</v>
      </c>
      <c r="BL148" s="27"/>
    </row>
    <row r="149" ht="14.25" customHeight="1">
      <c r="A149" s="26" t="s">
        <v>55</v>
      </c>
      <c r="B149" s="26" t="s">
        <v>56</v>
      </c>
      <c r="C149" s="26" t="s">
        <v>57</v>
      </c>
      <c r="D149" s="26" t="s">
        <v>81</v>
      </c>
      <c r="E149" s="27" t="s">
        <v>581</v>
      </c>
      <c r="F149" s="26" t="s">
        <v>582</v>
      </c>
      <c r="G149" s="29" t="s">
        <v>583</v>
      </c>
      <c r="H149" s="30">
        <v>45002.0</v>
      </c>
      <c r="I149" s="30">
        <v>45367.0</v>
      </c>
      <c r="J149" s="31">
        <v>0.0</v>
      </c>
      <c r="K149" s="26" t="s">
        <v>352</v>
      </c>
      <c r="L149" s="32" t="s">
        <v>63</v>
      </c>
      <c r="M149" s="33">
        <v>0.0</v>
      </c>
      <c r="N149" s="34">
        <v>0.0</v>
      </c>
      <c r="O149" s="27" t="s">
        <v>64</v>
      </c>
      <c r="P149" s="35">
        <v>0.0</v>
      </c>
      <c r="Q149" s="35" t="s">
        <v>90</v>
      </c>
      <c r="R149" s="36" t="e">
        <v>#VALUE!</v>
      </c>
      <c r="S149" s="35" t="s">
        <v>86</v>
      </c>
      <c r="T149" s="35">
        <v>0.0</v>
      </c>
      <c r="U149" s="37">
        <v>0.0</v>
      </c>
      <c r="V149" s="38"/>
      <c r="W149" s="38"/>
      <c r="X149" s="27"/>
      <c r="Y149" s="39"/>
      <c r="Z149" s="39"/>
      <c r="AA149" s="39"/>
      <c r="AB149" s="40"/>
      <c r="AC149" s="27">
        <f t="shared" si="84"/>
        <v>0</v>
      </c>
      <c r="AD149" s="41">
        <f>IF(AND(S149="0",O149="Paid"),(M149*15%)-AC149,0)</f>
        <v>0</v>
      </c>
      <c r="AE149" s="42"/>
      <c r="AF149" s="27"/>
      <c r="AG149" s="43">
        <f>IF(O149="Paid",IF(A149="Alwataniya",(M149*21%)-((M149*21%)*5%),IF((A149="GIG"),(M149*25%)-((M149*25%)*5%),IF((A149="Allianz"),(M149*27%)-((M149*27%)*20%),0))),0)</f>
        <v>0</v>
      </c>
      <c r="AH149" s="29"/>
      <c r="AI149" s="29"/>
      <c r="AJ149" s="29"/>
      <c r="AK149" s="29"/>
      <c r="AL149" s="27"/>
      <c r="AM149" s="44"/>
      <c r="AN149" s="47"/>
      <c r="AO149" s="46"/>
      <c r="AP149" s="47"/>
      <c r="AQ149" s="43" t="b">
        <f>IF(O149="Paid",IF(U149="Motor Plus",(M149*27%),IF(U149="Motor One",(M149*22%),(IF(U149="Golden",(M149*25%),(IF(U149="Classic",(M149*15%),(IF(U149="Wethaq",(M149*28%),IF(U149="Alwataniya",(M149*21%))*0)))))))))</f>
        <v>0</v>
      </c>
      <c r="AR149" s="43">
        <f t="shared" si="2"/>
        <v>0</v>
      </c>
      <c r="AS149" s="43">
        <f t="shared" si="3"/>
        <v>0</v>
      </c>
      <c r="AT149" s="48">
        <f t="shared" si="4"/>
        <v>0</v>
      </c>
      <c r="AU149" s="49">
        <f t="shared" si="79"/>
        <v>0</v>
      </c>
      <c r="AV149" s="48"/>
      <c r="AW149" s="34">
        <f t="shared" si="5"/>
        <v>0</v>
      </c>
      <c r="AX149" s="50">
        <f t="shared" si="6"/>
        <v>0</v>
      </c>
      <c r="AY149" s="43"/>
      <c r="AZ149" s="27"/>
      <c r="BA149" s="48">
        <f t="shared" si="80"/>
        <v>0</v>
      </c>
      <c r="BB149" s="27"/>
      <c r="BC149" s="27"/>
      <c r="BD149" s="51"/>
      <c r="BE149" s="52"/>
      <c r="BF149" s="27" t="s">
        <v>581</v>
      </c>
      <c r="BG149" s="53">
        <v>0.0</v>
      </c>
      <c r="BH149" s="53" t="str">
        <f>'[1]2023'!Q303</f>
        <v>#REF!</v>
      </c>
      <c r="BI149" s="27"/>
      <c r="BJ149" s="27"/>
      <c r="BK149" s="27" t="s">
        <v>64</v>
      </c>
      <c r="BL149" s="27"/>
    </row>
    <row r="150" ht="14.25" customHeight="1">
      <c r="A150" s="26" t="s">
        <v>55</v>
      </c>
      <c r="B150" s="26" t="s">
        <v>56</v>
      </c>
      <c r="C150" s="26" t="s">
        <v>57</v>
      </c>
      <c r="D150" s="26" t="s">
        <v>81</v>
      </c>
      <c r="E150" s="27" t="s">
        <v>584</v>
      </c>
      <c r="F150" s="26" t="s">
        <v>585</v>
      </c>
      <c r="G150" s="29" t="s">
        <v>586</v>
      </c>
      <c r="H150" s="30">
        <v>45003.0</v>
      </c>
      <c r="I150" s="30">
        <v>45368.0</v>
      </c>
      <c r="J150" s="31">
        <v>0.0</v>
      </c>
      <c r="K150" s="26" t="s">
        <v>352</v>
      </c>
      <c r="L150" s="32" t="s">
        <v>75</v>
      </c>
      <c r="M150" s="33">
        <v>26550.0</v>
      </c>
      <c r="N150" s="34">
        <v>28259.45</v>
      </c>
      <c r="O150" s="27" t="s">
        <v>76</v>
      </c>
      <c r="P150" s="35" t="s">
        <v>122</v>
      </c>
      <c r="Q150" s="35" t="s">
        <v>65</v>
      </c>
      <c r="R150" s="36" t="e">
        <v>#VALUE!</v>
      </c>
      <c r="S150" s="35" t="s">
        <v>231</v>
      </c>
      <c r="T150" s="35">
        <v>0.0</v>
      </c>
      <c r="U150" s="37" t="s">
        <v>67</v>
      </c>
      <c r="V150" s="38"/>
      <c r="W150" s="38"/>
      <c r="X150" s="27"/>
      <c r="Y150" s="39"/>
      <c r="Z150" s="39"/>
      <c r="AA150" s="39"/>
      <c r="AB150" s="40"/>
      <c r="AC150" s="27">
        <f t="shared" si="84"/>
        <v>0</v>
      </c>
      <c r="AD150" s="41"/>
      <c r="AE150" s="42"/>
      <c r="AF150" s="27"/>
      <c r="AG150" s="43">
        <f t="shared" ref="AG150:AG160" si="90">IF(O150="Paid",IF(A150="Alwataniya",(M150*21%)-((M150*21%)*5%),IF((A150="GIG"),(M150*25%)-((M150*25%)*5%),IF((A150="Allianz"),(M150*27%)-((M150*27%)*5%),0))),0)</f>
        <v>6810.075</v>
      </c>
      <c r="AH150" s="29"/>
      <c r="AI150" s="29"/>
      <c r="AJ150" s="29"/>
      <c r="AK150" s="29"/>
      <c r="AL150" s="27"/>
      <c r="AM150" s="44">
        <f>IF((BD150&lt;=2),AU150*10%,(IF((BD150&lt;=3),AU150*20%,IF((BD150&lt;=4),AU150*20%,IF((BD150&gt;=5),AU150*30%,0)))))</f>
        <v>555.55875</v>
      </c>
      <c r="AN150" s="80"/>
      <c r="AO150" s="46">
        <f>M150*15%</f>
        <v>3982.5</v>
      </c>
      <c r="AP150" s="80" t="s">
        <v>587</v>
      </c>
      <c r="AQ150" s="43">
        <f t="shared" ref="AQ150:AQ151" si="91">IF(U150="Motor Plus",(M150*27%),IF(U150="Motor One",(M150*22%),(IF(U150="Golden",(M150*25%),(IF(U150="Classic",(M150*15%),(IF(U150="Wethaq",(M150*28%),IF(U150="Alwataniya",(M150*21%))*0))))))))</f>
        <v>7168.5</v>
      </c>
      <c r="AR150" s="43">
        <f t="shared" si="2"/>
        <v>358.425</v>
      </c>
      <c r="AS150" s="43">
        <f t="shared" si="3"/>
        <v>1254.4875</v>
      </c>
      <c r="AT150" s="48">
        <f t="shared" si="4"/>
        <v>5555.5875</v>
      </c>
      <c r="AU150" s="49">
        <f t="shared" si="79"/>
        <v>5555.5875</v>
      </c>
      <c r="AV150" s="48"/>
      <c r="AW150" s="34">
        <f t="shared" si="5"/>
        <v>28259.45</v>
      </c>
      <c r="AX150" s="50">
        <f t="shared" si="6"/>
        <v>1017.52875</v>
      </c>
      <c r="AY150" s="43"/>
      <c r="AZ150" s="27"/>
      <c r="BA150" s="48">
        <f t="shared" si="80"/>
        <v>1017.52875</v>
      </c>
      <c r="BB150" s="27"/>
      <c r="BC150" s="27"/>
      <c r="BD150" s="51"/>
      <c r="BE150" s="52"/>
      <c r="BF150" s="27" t="s">
        <v>584</v>
      </c>
      <c r="BG150" s="53">
        <v>45172.0</v>
      </c>
      <c r="BH150" s="53" t="str">
        <f t="shared" ref="BH150:BH151" si="92">'[1]2023'!Q306</f>
        <v>#REF!</v>
      </c>
      <c r="BI150" s="27"/>
      <c r="BJ150" s="27"/>
      <c r="BK150" s="27" t="s">
        <v>76</v>
      </c>
      <c r="BL150" s="27"/>
    </row>
    <row r="151" ht="14.25" customHeight="1">
      <c r="A151" s="26" t="s">
        <v>55</v>
      </c>
      <c r="B151" s="26" t="s">
        <v>56</v>
      </c>
      <c r="C151" s="26" t="s">
        <v>57</v>
      </c>
      <c r="D151" s="26" t="s">
        <v>81</v>
      </c>
      <c r="E151" s="27" t="s">
        <v>588</v>
      </c>
      <c r="F151" s="26" t="s">
        <v>589</v>
      </c>
      <c r="G151" s="29" t="s">
        <v>586</v>
      </c>
      <c r="H151" s="30">
        <v>45003.0</v>
      </c>
      <c r="I151" s="30">
        <v>45368.0</v>
      </c>
      <c r="J151" s="31">
        <v>0.0</v>
      </c>
      <c r="K151" s="26" t="s">
        <v>352</v>
      </c>
      <c r="L151" s="102">
        <v>45005.0</v>
      </c>
      <c r="M151" s="33">
        <v>5310.0</v>
      </c>
      <c r="N151" s="34">
        <v>5764.29</v>
      </c>
      <c r="O151" s="27" t="s">
        <v>76</v>
      </c>
      <c r="P151" s="35" t="s">
        <v>162</v>
      </c>
      <c r="Q151" s="35" t="s">
        <v>65</v>
      </c>
      <c r="R151" s="36" t="e">
        <v>#VALUE!</v>
      </c>
      <c r="S151" s="35" t="s">
        <v>86</v>
      </c>
      <c r="T151" s="35">
        <v>0.0</v>
      </c>
      <c r="U151" s="37" t="s">
        <v>67</v>
      </c>
      <c r="V151" s="38"/>
      <c r="W151" s="38"/>
      <c r="X151" s="27"/>
      <c r="Y151" s="39"/>
      <c r="Z151" s="39"/>
      <c r="AA151" s="39"/>
      <c r="AB151" s="40"/>
      <c r="AC151" s="27">
        <f t="shared" si="84"/>
        <v>0</v>
      </c>
      <c r="AD151" s="41"/>
      <c r="AE151" s="42"/>
      <c r="AF151" s="27"/>
      <c r="AG151" s="43">
        <f t="shared" si="90"/>
        <v>1362.015</v>
      </c>
      <c r="AH151" s="29"/>
      <c r="AI151" s="29"/>
      <c r="AJ151" s="29"/>
      <c r="AK151" s="75"/>
      <c r="AL151" s="44"/>
      <c r="AM151" s="27"/>
      <c r="AN151" s="47"/>
      <c r="AO151" s="76"/>
      <c r="AP151" s="47"/>
      <c r="AQ151" s="43">
        <f t="shared" si="91"/>
        <v>1433.7</v>
      </c>
      <c r="AR151" s="43">
        <f t="shared" si="2"/>
        <v>71.685</v>
      </c>
      <c r="AS151" s="43">
        <f t="shared" si="3"/>
        <v>250.8975</v>
      </c>
      <c r="AT151" s="48">
        <f t="shared" si="4"/>
        <v>1111.1175</v>
      </c>
      <c r="AU151" s="49">
        <f t="shared" si="79"/>
        <v>1111.1175</v>
      </c>
      <c r="AV151" s="48"/>
      <c r="AW151" s="34">
        <f t="shared" si="5"/>
        <v>5764.29</v>
      </c>
      <c r="AX151" s="50">
        <f t="shared" si="6"/>
        <v>1111.1175</v>
      </c>
      <c r="AY151" s="48"/>
      <c r="AZ151" s="27"/>
      <c r="BA151" s="48">
        <f t="shared" si="80"/>
        <v>1111.1175</v>
      </c>
      <c r="BB151" s="27"/>
      <c r="BC151" s="27"/>
      <c r="BD151" s="51"/>
      <c r="BE151" s="52"/>
      <c r="BF151" s="27" t="s">
        <v>588</v>
      </c>
      <c r="BG151" s="58" t="s">
        <v>590</v>
      </c>
      <c r="BH151" s="53" t="str">
        <f t="shared" si="92"/>
        <v>#REF!</v>
      </c>
      <c r="BI151" s="27"/>
      <c r="BJ151" s="27"/>
      <c r="BK151" s="27" t="s">
        <v>76</v>
      </c>
      <c r="BL151" s="27"/>
    </row>
    <row r="152" ht="14.25" customHeight="1">
      <c r="A152" s="26" t="s">
        <v>55</v>
      </c>
      <c r="B152" s="26" t="s">
        <v>56</v>
      </c>
      <c r="C152" s="26" t="s">
        <v>57</v>
      </c>
      <c r="D152" s="26" t="s">
        <v>81</v>
      </c>
      <c r="E152" s="27" t="s">
        <v>591</v>
      </c>
      <c r="F152" s="26" t="s">
        <v>592</v>
      </c>
      <c r="G152" s="29" t="s">
        <v>586</v>
      </c>
      <c r="H152" s="30">
        <v>45003.0</v>
      </c>
      <c r="I152" s="30">
        <v>45368.0</v>
      </c>
      <c r="J152" s="31">
        <v>0.0</v>
      </c>
      <c r="K152" s="26" t="s">
        <v>352</v>
      </c>
      <c r="L152" s="73" t="s">
        <v>63</v>
      </c>
      <c r="M152" s="33">
        <v>0.0</v>
      </c>
      <c r="N152" s="34">
        <v>0.0</v>
      </c>
      <c r="O152" s="27" t="s">
        <v>64</v>
      </c>
      <c r="P152" s="35">
        <v>0.0</v>
      </c>
      <c r="Q152" s="35" t="s">
        <v>90</v>
      </c>
      <c r="R152" s="36" t="e">
        <v>#VALUE!</v>
      </c>
      <c r="S152" s="35" t="s">
        <v>86</v>
      </c>
      <c r="T152" s="35">
        <v>0.0</v>
      </c>
      <c r="U152" s="37" t="s">
        <v>67</v>
      </c>
      <c r="V152" s="38"/>
      <c r="W152" s="38"/>
      <c r="X152" s="27"/>
      <c r="Y152" s="39"/>
      <c r="Z152" s="39"/>
      <c r="AA152" s="39"/>
      <c r="AB152" s="40"/>
      <c r="AC152" s="27">
        <f t="shared" si="84"/>
        <v>0</v>
      </c>
      <c r="AD152" s="41">
        <f>IF(AND(S152="0",O152="Paid"),(M152*15%)-AC152,0)</f>
        <v>0</v>
      </c>
      <c r="AE152" s="42"/>
      <c r="AF152" s="27"/>
      <c r="AG152" s="43">
        <f t="shared" si="90"/>
        <v>0</v>
      </c>
      <c r="AH152" s="29"/>
      <c r="AI152" s="29"/>
      <c r="AJ152" s="29"/>
      <c r="AK152" s="75"/>
      <c r="AL152" s="44"/>
      <c r="AM152" s="27"/>
      <c r="AN152" s="47"/>
      <c r="AO152" s="76"/>
      <c r="AP152" s="47"/>
      <c r="AQ152" s="43" t="b">
        <f>IF(O152="Paid",IF(U152="Motor Plus",(M152*27%),IF(U152="Motor One",(M152*22%),(IF(U152="Golden",(M152*25%),(IF(U152="Classic",(M152*15%),(IF(U152="Wethaq",(M152*28%),IF(U152="Alwataniya",(M152*21%))*0)))))))))</f>
        <v>0</v>
      </c>
      <c r="AR152" s="43">
        <f t="shared" si="2"/>
        <v>0</v>
      </c>
      <c r="AS152" s="43">
        <f t="shared" si="3"/>
        <v>0</v>
      </c>
      <c r="AT152" s="48">
        <f t="shared" si="4"/>
        <v>0</v>
      </c>
      <c r="AU152" s="49">
        <f t="shared" si="79"/>
        <v>0</v>
      </c>
      <c r="AV152" s="48"/>
      <c r="AW152" s="34">
        <f t="shared" si="5"/>
        <v>0</v>
      </c>
      <c r="AX152" s="50">
        <f t="shared" si="6"/>
        <v>0</v>
      </c>
      <c r="AY152" s="48"/>
      <c r="AZ152" s="27"/>
      <c r="BA152" s="48">
        <f t="shared" si="80"/>
        <v>0</v>
      </c>
      <c r="BB152" s="27"/>
      <c r="BC152" s="27"/>
      <c r="BD152" s="51"/>
      <c r="BE152" s="52"/>
      <c r="BF152" s="27" t="s">
        <v>591</v>
      </c>
      <c r="BG152" s="53">
        <v>0.0</v>
      </c>
      <c r="BH152" s="53" t="str">
        <f>'[1]2023'!Q311</f>
        <v>#REF!</v>
      </c>
      <c r="BI152" s="27"/>
      <c r="BJ152" s="27"/>
      <c r="BK152" s="27" t="s">
        <v>64</v>
      </c>
      <c r="BL152" s="27"/>
    </row>
    <row r="153" ht="14.25" customHeight="1">
      <c r="A153" s="26" t="s">
        <v>55</v>
      </c>
      <c r="B153" s="26" t="s">
        <v>56</v>
      </c>
      <c r="C153" s="26" t="s">
        <v>57</v>
      </c>
      <c r="D153" s="26" t="s">
        <v>81</v>
      </c>
      <c r="E153" s="27" t="s">
        <v>593</v>
      </c>
      <c r="F153" s="26" t="s">
        <v>594</v>
      </c>
      <c r="G153" s="29" t="s">
        <v>586</v>
      </c>
      <c r="H153" s="30">
        <v>45003.0</v>
      </c>
      <c r="I153" s="30">
        <v>45368.0</v>
      </c>
      <c r="J153" s="31">
        <v>0.0</v>
      </c>
      <c r="K153" s="26" t="s">
        <v>352</v>
      </c>
      <c r="L153" s="73" t="s">
        <v>75</v>
      </c>
      <c r="M153" s="33">
        <v>9900.0</v>
      </c>
      <c r="N153" s="34">
        <v>10625.1</v>
      </c>
      <c r="O153" s="27" t="s">
        <v>76</v>
      </c>
      <c r="P153" s="35" t="s">
        <v>122</v>
      </c>
      <c r="Q153" s="35">
        <v>0.0</v>
      </c>
      <c r="R153" s="36" t="e">
        <v>#VALUE!</v>
      </c>
      <c r="S153" s="35" t="s">
        <v>86</v>
      </c>
      <c r="T153" s="35">
        <v>0.0</v>
      </c>
      <c r="U153" s="37" t="s">
        <v>67</v>
      </c>
      <c r="V153" s="38"/>
      <c r="W153" s="38"/>
      <c r="X153" s="27"/>
      <c r="Y153" s="39"/>
      <c r="Z153" s="39"/>
      <c r="AA153" s="39"/>
      <c r="AB153" s="40"/>
      <c r="AC153" s="27">
        <f t="shared" si="84"/>
        <v>0</v>
      </c>
      <c r="AD153" s="41">
        <f t="shared" ref="AD153:AD154" si="93">IF(AND(S153="0",O153="Paid"),M153*15%,0)</f>
        <v>1485</v>
      </c>
      <c r="AE153" s="42"/>
      <c r="AF153" s="27"/>
      <c r="AG153" s="43">
        <f t="shared" si="90"/>
        <v>2539.35</v>
      </c>
      <c r="AH153" s="29"/>
      <c r="AI153" s="29"/>
      <c r="AJ153" s="29"/>
      <c r="AK153" s="75"/>
      <c r="AL153" s="44"/>
      <c r="AM153" s="44"/>
      <c r="AN153" s="47"/>
      <c r="AO153" s="46"/>
      <c r="AP153" s="47"/>
      <c r="AQ153" s="43">
        <f t="shared" ref="AQ153:AQ160" si="94">IF(U153="Motor Plus",(M153*27%),IF(U153="Motor One",(M153*22%),(IF(U153="Golden",(M153*25%),(IF(U153="Classic",(M153*15%),(IF(U153="Wethaq",(M153*28%),IF(U153="Alwataniya",(M153*21%))*0))))))))</f>
        <v>2673</v>
      </c>
      <c r="AR153" s="43">
        <f t="shared" si="2"/>
        <v>133.65</v>
      </c>
      <c r="AS153" s="43">
        <f t="shared" si="3"/>
        <v>467.775</v>
      </c>
      <c r="AT153" s="48">
        <f t="shared" si="4"/>
        <v>2071.575</v>
      </c>
      <c r="AU153" s="103">
        <f t="shared" si="79"/>
        <v>2071.575</v>
      </c>
      <c r="AV153" s="48"/>
      <c r="AW153" s="34">
        <f t="shared" si="5"/>
        <v>9140.1</v>
      </c>
      <c r="AX153" s="50">
        <f t="shared" si="6"/>
        <v>586.575</v>
      </c>
      <c r="AY153" s="48"/>
      <c r="AZ153" s="27"/>
      <c r="BA153" s="48">
        <f t="shared" si="80"/>
        <v>2071.575</v>
      </c>
      <c r="BB153" s="27"/>
      <c r="BC153" s="27"/>
      <c r="BD153" s="51"/>
      <c r="BE153" s="52"/>
      <c r="BF153" s="27" t="s">
        <v>593</v>
      </c>
      <c r="BG153" s="53">
        <v>45263.0</v>
      </c>
      <c r="BH153" s="53" t="str">
        <f>'[1]2023'!Q330</f>
        <v>#REF!</v>
      </c>
      <c r="BI153" s="27"/>
      <c r="BJ153" s="27"/>
      <c r="BK153" s="27" t="s">
        <v>76</v>
      </c>
      <c r="BL153" s="27"/>
    </row>
    <row r="154" ht="14.25" customHeight="1">
      <c r="A154" s="26" t="s">
        <v>55</v>
      </c>
      <c r="B154" s="26" t="s">
        <v>56</v>
      </c>
      <c r="C154" s="26" t="s">
        <v>57</v>
      </c>
      <c r="D154" s="26" t="s">
        <v>81</v>
      </c>
      <c r="E154" s="27" t="s">
        <v>595</v>
      </c>
      <c r="F154" s="26" t="s">
        <v>596</v>
      </c>
      <c r="G154" s="29" t="s">
        <v>586</v>
      </c>
      <c r="H154" s="30">
        <v>45003.0</v>
      </c>
      <c r="I154" s="30">
        <v>45368.0</v>
      </c>
      <c r="J154" s="31">
        <v>0.0</v>
      </c>
      <c r="K154" s="26" t="s">
        <v>352</v>
      </c>
      <c r="L154" s="73" t="s">
        <v>75</v>
      </c>
      <c r="M154" s="33">
        <v>20650.0</v>
      </c>
      <c r="N154" s="34">
        <v>22009.35</v>
      </c>
      <c r="O154" s="27" t="s">
        <v>76</v>
      </c>
      <c r="P154" s="35" t="s">
        <v>104</v>
      </c>
      <c r="Q154" s="35" t="s">
        <v>90</v>
      </c>
      <c r="R154" s="36" t="e">
        <v>#VALUE!</v>
      </c>
      <c r="S154" s="35" t="s">
        <v>86</v>
      </c>
      <c r="T154" s="35">
        <v>0.0</v>
      </c>
      <c r="U154" s="37" t="s">
        <v>67</v>
      </c>
      <c r="V154" s="38"/>
      <c r="W154" s="38"/>
      <c r="X154" s="27"/>
      <c r="Y154" s="39"/>
      <c r="Z154" s="39"/>
      <c r="AA154" s="39"/>
      <c r="AB154" s="40"/>
      <c r="AC154" s="27">
        <f t="shared" si="84"/>
        <v>0</v>
      </c>
      <c r="AD154" s="41">
        <f t="shared" si="93"/>
        <v>3097.5</v>
      </c>
      <c r="AE154" s="42"/>
      <c r="AF154" s="27"/>
      <c r="AG154" s="43">
        <f t="shared" si="90"/>
        <v>5296.725</v>
      </c>
      <c r="AH154" s="29"/>
      <c r="AI154" s="29"/>
      <c r="AJ154" s="29"/>
      <c r="AK154" s="75"/>
      <c r="AL154" s="44"/>
      <c r="AM154" s="44"/>
      <c r="AN154" s="47"/>
      <c r="AO154" s="46"/>
      <c r="AP154" s="47"/>
      <c r="AQ154" s="43">
        <f t="shared" si="94"/>
        <v>5575.5</v>
      </c>
      <c r="AR154" s="43">
        <f t="shared" si="2"/>
        <v>278.775</v>
      </c>
      <c r="AS154" s="43">
        <f t="shared" si="3"/>
        <v>975.7125</v>
      </c>
      <c r="AT154" s="48">
        <f t="shared" si="4"/>
        <v>4321.0125</v>
      </c>
      <c r="AU154" s="49">
        <f t="shared" si="79"/>
        <v>4321.0125</v>
      </c>
      <c r="AV154" s="48"/>
      <c r="AW154" s="34">
        <f t="shared" si="5"/>
        <v>18911.85</v>
      </c>
      <c r="AX154" s="50">
        <f t="shared" si="6"/>
        <v>1223.5125</v>
      </c>
      <c r="AY154" s="48"/>
      <c r="AZ154" s="27"/>
      <c r="BA154" s="48">
        <f t="shared" si="80"/>
        <v>4321.0125</v>
      </c>
      <c r="BB154" s="27"/>
      <c r="BC154" s="27"/>
      <c r="BD154" s="51"/>
      <c r="BE154" s="52"/>
      <c r="BF154" s="27" t="s">
        <v>595</v>
      </c>
      <c r="BG154" s="53">
        <v>0.0</v>
      </c>
      <c r="BH154" s="53" t="str">
        <f>'[1]2023'!Q353</f>
        <v>#REF!</v>
      </c>
      <c r="BI154" s="27"/>
      <c r="BJ154" s="27"/>
      <c r="BK154" s="27" t="s">
        <v>76</v>
      </c>
      <c r="BL154" s="27"/>
    </row>
    <row r="155" ht="14.25" customHeight="1">
      <c r="A155" s="26" t="s">
        <v>55</v>
      </c>
      <c r="B155" s="26" t="s">
        <v>56</v>
      </c>
      <c r="C155" s="26" t="s">
        <v>57</v>
      </c>
      <c r="D155" s="26" t="s">
        <v>71</v>
      </c>
      <c r="E155" s="27" t="s">
        <v>597</v>
      </c>
      <c r="F155" s="28" t="s">
        <v>598</v>
      </c>
      <c r="G155" s="29" t="s">
        <v>586</v>
      </c>
      <c r="H155" s="30">
        <v>45003.0</v>
      </c>
      <c r="I155" s="30">
        <v>45368.0</v>
      </c>
      <c r="J155" s="31" t="s">
        <v>599</v>
      </c>
      <c r="K155" s="26" t="s">
        <v>352</v>
      </c>
      <c r="L155" s="73" t="s">
        <v>405</v>
      </c>
      <c r="M155" s="33">
        <v>23600.0</v>
      </c>
      <c r="N155" s="34">
        <v>25134.4</v>
      </c>
      <c r="O155" s="27" t="s">
        <v>76</v>
      </c>
      <c r="P155" s="35" t="s">
        <v>89</v>
      </c>
      <c r="Q155" s="35" t="s">
        <v>65</v>
      </c>
      <c r="R155" s="36" t="e">
        <v>#VALUE!</v>
      </c>
      <c r="S155" s="35" t="s">
        <v>66</v>
      </c>
      <c r="T155" s="35">
        <v>0.0</v>
      </c>
      <c r="U155" s="37" t="s">
        <v>67</v>
      </c>
      <c r="V155" s="38">
        <v>1000000.0</v>
      </c>
      <c r="W155" s="78" t="s">
        <v>600</v>
      </c>
      <c r="X155" s="27">
        <v>2022.0</v>
      </c>
      <c r="Y155" s="39"/>
      <c r="Z155" s="79" t="s">
        <v>208</v>
      </c>
      <c r="AA155" s="39"/>
      <c r="AB155" s="40"/>
      <c r="AC155" s="27">
        <f t="shared" si="84"/>
        <v>0</v>
      </c>
      <c r="AD155" s="41"/>
      <c r="AE155" s="42"/>
      <c r="AF155" s="27"/>
      <c r="AG155" s="43">
        <f t="shared" si="90"/>
        <v>6053.4</v>
      </c>
      <c r="AH155" s="29"/>
      <c r="AI155" s="29"/>
      <c r="AJ155" s="29"/>
      <c r="AK155" s="75"/>
      <c r="AL155" s="44"/>
      <c r="AM155" s="44">
        <f>IF((BD155&lt;=2),AU155*10%,(IF((BD155&lt;=3),AU155*20%,IF((BD155&lt;=4),AU155*20%,IF((BD155&gt;=5),AU155*30%,0)))))</f>
        <v>493.83</v>
      </c>
      <c r="AN155" s="63" t="s">
        <v>75</v>
      </c>
      <c r="AO155" s="46"/>
      <c r="AP155" s="47"/>
      <c r="AQ155" s="43">
        <f t="shared" si="94"/>
        <v>6372</v>
      </c>
      <c r="AR155" s="43">
        <f t="shared" si="2"/>
        <v>318.6</v>
      </c>
      <c r="AS155" s="43">
        <f t="shared" si="3"/>
        <v>1115.1</v>
      </c>
      <c r="AT155" s="48">
        <f t="shared" si="4"/>
        <v>4938.3</v>
      </c>
      <c r="AU155" s="49">
        <f t="shared" si="79"/>
        <v>4938.3</v>
      </c>
      <c r="AV155" s="48"/>
      <c r="AW155" s="34">
        <f t="shared" si="5"/>
        <v>25134.4</v>
      </c>
      <c r="AX155" s="50">
        <f t="shared" si="6"/>
        <v>4444.47</v>
      </c>
      <c r="AY155" s="48"/>
      <c r="AZ155" s="27"/>
      <c r="BA155" s="48">
        <f t="shared" si="80"/>
        <v>4444.47</v>
      </c>
      <c r="BB155" s="27"/>
      <c r="BC155" s="27"/>
      <c r="BD155" s="51"/>
      <c r="BE155" s="52"/>
      <c r="BF155" s="27" t="s">
        <v>597</v>
      </c>
      <c r="BG155" s="58" t="s">
        <v>601</v>
      </c>
      <c r="BH155" s="53" t="str">
        <f>'[1]2023'!Q363</f>
        <v>#REF!</v>
      </c>
      <c r="BI155" s="27"/>
      <c r="BJ155" s="27"/>
      <c r="BK155" s="27" t="s">
        <v>76</v>
      </c>
      <c r="BL155" s="27"/>
    </row>
    <row r="156" ht="14.25" customHeight="1">
      <c r="A156" s="26" t="s">
        <v>55</v>
      </c>
      <c r="B156" s="26" t="s">
        <v>56</v>
      </c>
      <c r="C156" s="26" t="s">
        <v>57</v>
      </c>
      <c r="D156" s="26" t="s">
        <v>81</v>
      </c>
      <c r="E156" s="27" t="s">
        <v>602</v>
      </c>
      <c r="F156" s="26" t="s">
        <v>603</v>
      </c>
      <c r="G156" s="29" t="s">
        <v>586</v>
      </c>
      <c r="H156" s="30">
        <v>45003.0</v>
      </c>
      <c r="I156" s="30">
        <v>45368.0</v>
      </c>
      <c r="J156" s="31">
        <v>0.0</v>
      </c>
      <c r="K156" s="26" t="s">
        <v>352</v>
      </c>
      <c r="L156" s="32" t="s">
        <v>75</v>
      </c>
      <c r="M156" s="33">
        <v>13650.0</v>
      </c>
      <c r="N156" s="34">
        <v>14596.35</v>
      </c>
      <c r="O156" s="27" t="s">
        <v>76</v>
      </c>
      <c r="P156" s="35" t="s">
        <v>104</v>
      </c>
      <c r="Q156" s="35" t="s">
        <v>65</v>
      </c>
      <c r="R156" s="36" t="e">
        <v>#VALUE!</v>
      </c>
      <c r="S156" s="35" t="s">
        <v>86</v>
      </c>
      <c r="T156" s="54" t="s">
        <v>604</v>
      </c>
      <c r="U156" s="37" t="s">
        <v>67</v>
      </c>
      <c r="V156" s="38"/>
      <c r="W156" s="38"/>
      <c r="X156" s="27"/>
      <c r="Y156" s="39"/>
      <c r="Z156" s="39"/>
      <c r="AA156" s="39"/>
      <c r="AB156" s="40"/>
      <c r="AC156" s="27">
        <f t="shared" si="84"/>
        <v>0</v>
      </c>
      <c r="AD156" s="41"/>
      <c r="AE156" s="42"/>
      <c r="AF156" s="29"/>
      <c r="AG156" s="43">
        <f t="shared" si="90"/>
        <v>3501.225</v>
      </c>
      <c r="AH156" s="29"/>
      <c r="AI156" s="29"/>
      <c r="AJ156" s="29"/>
      <c r="AK156" s="29"/>
      <c r="AL156" s="27"/>
      <c r="AM156" s="44"/>
      <c r="AN156" s="47"/>
      <c r="AO156" s="70">
        <f>M156*15%</f>
        <v>2047.5</v>
      </c>
      <c r="AP156" s="29">
        <v>45203.0</v>
      </c>
      <c r="AQ156" s="43">
        <f t="shared" si="94"/>
        <v>3685.5</v>
      </c>
      <c r="AR156" s="43">
        <f t="shared" si="2"/>
        <v>184.275</v>
      </c>
      <c r="AS156" s="43">
        <f t="shared" si="3"/>
        <v>644.9625</v>
      </c>
      <c r="AT156" s="48">
        <f t="shared" si="4"/>
        <v>2856.2625</v>
      </c>
      <c r="AU156" s="49">
        <f t="shared" si="79"/>
        <v>2856.2625</v>
      </c>
      <c r="AV156" s="48"/>
      <c r="AW156" s="34">
        <f t="shared" si="5"/>
        <v>14596.35</v>
      </c>
      <c r="AX156" s="50">
        <f t="shared" si="6"/>
        <v>808.7625</v>
      </c>
      <c r="AY156" s="43"/>
      <c r="AZ156" s="27"/>
      <c r="BA156" s="48">
        <f t="shared" si="80"/>
        <v>808.7625</v>
      </c>
      <c r="BB156" s="27"/>
      <c r="BC156" s="27"/>
      <c r="BD156" s="51"/>
      <c r="BE156" s="52"/>
      <c r="BF156" s="27" t="s">
        <v>602</v>
      </c>
      <c r="BG156" s="53" t="s">
        <v>605</v>
      </c>
      <c r="BH156" s="53" t="str">
        <f>'[1]2023'!Q379</f>
        <v>#REF!</v>
      </c>
      <c r="BI156" s="27"/>
      <c r="BJ156" s="27"/>
      <c r="BK156" s="27" t="s">
        <v>76</v>
      </c>
      <c r="BL156" s="64" t="s">
        <v>606</v>
      </c>
    </row>
    <row r="157" ht="14.25" customHeight="1">
      <c r="A157" s="26" t="s">
        <v>55</v>
      </c>
      <c r="B157" s="26" t="s">
        <v>56</v>
      </c>
      <c r="C157" s="26" t="s">
        <v>57</v>
      </c>
      <c r="D157" s="26" t="s">
        <v>81</v>
      </c>
      <c r="E157" s="27" t="s">
        <v>607</v>
      </c>
      <c r="F157" s="28" t="s">
        <v>608</v>
      </c>
      <c r="G157" s="29" t="s">
        <v>586</v>
      </c>
      <c r="H157" s="30">
        <v>45003.0</v>
      </c>
      <c r="I157" s="30">
        <v>45368.0</v>
      </c>
      <c r="J157" s="31">
        <v>0.0</v>
      </c>
      <c r="K157" s="26" t="s">
        <v>352</v>
      </c>
      <c r="L157" s="32" t="s">
        <v>75</v>
      </c>
      <c r="M157" s="33">
        <v>36400.0</v>
      </c>
      <c r="N157" s="34">
        <v>38689.6</v>
      </c>
      <c r="O157" s="27" t="s">
        <v>76</v>
      </c>
      <c r="P157" s="35" t="s">
        <v>122</v>
      </c>
      <c r="Q157" s="35">
        <v>0.0</v>
      </c>
      <c r="R157" s="36" t="e">
        <v>#VALUE!</v>
      </c>
      <c r="S157" s="35" t="s">
        <v>86</v>
      </c>
      <c r="T157" s="35">
        <v>0.0</v>
      </c>
      <c r="U157" s="37" t="s">
        <v>67</v>
      </c>
      <c r="V157" s="38"/>
      <c r="W157" s="38"/>
      <c r="X157" s="27"/>
      <c r="Y157" s="39"/>
      <c r="Z157" s="39"/>
      <c r="AA157" s="39"/>
      <c r="AB157" s="40"/>
      <c r="AC157" s="27">
        <f t="shared" si="84"/>
        <v>0</v>
      </c>
      <c r="AD157" s="41">
        <f t="shared" ref="AD157:AD160" si="95">IF(AND(S157="0",O157="Paid"),M157*15%,0)</f>
        <v>5460</v>
      </c>
      <c r="AE157" s="42"/>
      <c r="AF157" s="27"/>
      <c r="AG157" s="43">
        <f t="shared" si="90"/>
        <v>9336.6</v>
      </c>
      <c r="AH157" s="29"/>
      <c r="AI157" s="29"/>
      <c r="AJ157" s="29"/>
      <c r="AK157" s="29"/>
      <c r="AL157" s="27"/>
      <c r="AM157" s="44"/>
      <c r="AN157" s="47"/>
      <c r="AO157" s="46"/>
      <c r="AP157" s="47"/>
      <c r="AQ157" s="43">
        <f t="shared" si="94"/>
        <v>9828</v>
      </c>
      <c r="AR157" s="43">
        <f t="shared" si="2"/>
        <v>491.4</v>
      </c>
      <c r="AS157" s="43">
        <f t="shared" si="3"/>
        <v>1719.9</v>
      </c>
      <c r="AT157" s="48">
        <f t="shared" si="4"/>
        <v>7616.7</v>
      </c>
      <c r="AU157" s="49">
        <f t="shared" si="79"/>
        <v>7616.7</v>
      </c>
      <c r="AV157" s="48"/>
      <c r="AW157" s="34">
        <f t="shared" si="5"/>
        <v>33229.6</v>
      </c>
      <c r="AX157" s="50">
        <f t="shared" si="6"/>
        <v>2156.7</v>
      </c>
      <c r="AY157" s="43"/>
      <c r="AZ157" s="27"/>
      <c r="BA157" s="48">
        <f t="shared" si="80"/>
        <v>7616.7</v>
      </c>
      <c r="BB157" s="27"/>
      <c r="BC157" s="27"/>
      <c r="BD157" s="51"/>
      <c r="BE157" s="52"/>
      <c r="BF157" s="27" t="s">
        <v>607</v>
      </c>
      <c r="BG157" s="53">
        <v>0.0</v>
      </c>
      <c r="BH157" s="53" t="str">
        <f>'[1]2023'!Q426</f>
        <v>#REF!</v>
      </c>
      <c r="BI157" s="27"/>
      <c r="BJ157" s="27"/>
      <c r="BK157" s="27" t="s">
        <v>76</v>
      </c>
      <c r="BL157" s="27"/>
    </row>
    <row r="158" ht="14.25" customHeight="1">
      <c r="A158" s="26" t="s">
        <v>55</v>
      </c>
      <c r="B158" s="26" t="s">
        <v>56</v>
      </c>
      <c r="C158" s="26" t="s">
        <v>57</v>
      </c>
      <c r="D158" s="26" t="s">
        <v>81</v>
      </c>
      <c r="E158" s="27" t="s">
        <v>609</v>
      </c>
      <c r="F158" s="26" t="s">
        <v>610</v>
      </c>
      <c r="G158" s="29" t="s">
        <v>586</v>
      </c>
      <c r="H158" s="30">
        <v>45003.0</v>
      </c>
      <c r="I158" s="30">
        <v>45368.0</v>
      </c>
      <c r="J158" s="31">
        <v>0.0</v>
      </c>
      <c r="K158" s="26" t="s">
        <v>352</v>
      </c>
      <c r="L158" s="69">
        <v>45264.0</v>
      </c>
      <c r="M158" s="33">
        <v>19800.0</v>
      </c>
      <c r="N158" s="34">
        <v>21109.2</v>
      </c>
      <c r="O158" s="27" t="s">
        <v>76</v>
      </c>
      <c r="P158" s="35" t="s">
        <v>162</v>
      </c>
      <c r="Q158" s="35" t="s">
        <v>108</v>
      </c>
      <c r="R158" s="36" t="e">
        <v>#VALUE!</v>
      </c>
      <c r="S158" s="35" t="s">
        <v>86</v>
      </c>
      <c r="T158" s="35">
        <v>0.0</v>
      </c>
      <c r="U158" s="37" t="s">
        <v>67</v>
      </c>
      <c r="V158" s="38"/>
      <c r="W158" s="38"/>
      <c r="X158" s="27"/>
      <c r="Y158" s="39"/>
      <c r="Z158" s="39"/>
      <c r="AA158" s="39"/>
      <c r="AB158" s="40"/>
      <c r="AC158" s="27">
        <f t="shared" si="84"/>
        <v>0</v>
      </c>
      <c r="AD158" s="41">
        <f t="shared" si="95"/>
        <v>2970</v>
      </c>
      <c r="AE158" s="42"/>
      <c r="AF158" s="29">
        <v>44931.0</v>
      </c>
      <c r="AG158" s="43">
        <f t="shared" si="90"/>
        <v>5078.7</v>
      </c>
      <c r="AH158" s="29"/>
      <c r="AI158" s="29"/>
      <c r="AJ158" s="29"/>
      <c r="AK158" s="29"/>
      <c r="AL158" s="27"/>
      <c r="AM158" s="44"/>
      <c r="AN158" s="47"/>
      <c r="AO158" s="46"/>
      <c r="AP158" s="47"/>
      <c r="AQ158" s="43">
        <f t="shared" si="94"/>
        <v>5346</v>
      </c>
      <c r="AR158" s="43">
        <f t="shared" si="2"/>
        <v>267.3</v>
      </c>
      <c r="AS158" s="43">
        <f t="shared" si="3"/>
        <v>935.55</v>
      </c>
      <c r="AT158" s="48">
        <f t="shared" si="4"/>
        <v>4143.15</v>
      </c>
      <c r="AU158" s="49">
        <f t="shared" si="79"/>
        <v>4143.15</v>
      </c>
      <c r="AV158" s="48"/>
      <c r="AW158" s="34">
        <f t="shared" si="5"/>
        <v>18139.2</v>
      </c>
      <c r="AX158" s="50">
        <f t="shared" si="6"/>
        <v>1173.15</v>
      </c>
      <c r="AY158" s="43"/>
      <c r="AZ158" s="27"/>
      <c r="BA158" s="48">
        <f t="shared" si="80"/>
        <v>4143.15</v>
      </c>
      <c r="BB158" s="27"/>
      <c r="BC158" s="27"/>
      <c r="BD158" s="51"/>
      <c r="BE158" s="52"/>
      <c r="BF158" s="27" t="s">
        <v>609</v>
      </c>
      <c r="BG158" s="58" t="s">
        <v>562</v>
      </c>
      <c r="BH158" s="53" t="str">
        <f>'[1]2023'!Q449</f>
        <v>#REF!</v>
      </c>
      <c r="BI158" s="27"/>
      <c r="BJ158" s="27"/>
      <c r="BK158" s="27" t="s">
        <v>76</v>
      </c>
      <c r="BL158" s="27"/>
    </row>
    <row r="159" ht="14.25" customHeight="1">
      <c r="A159" s="26" t="s">
        <v>55</v>
      </c>
      <c r="B159" s="26" t="s">
        <v>56</v>
      </c>
      <c r="C159" s="26" t="s">
        <v>57</v>
      </c>
      <c r="D159" s="26" t="s">
        <v>81</v>
      </c>
      <c r="E159" s="27" t="s">
        <v>611</v>
      </c>
      <c r="F159" s="28" t="s">
        <v>612</v>
      </c>
      <c r="G159" s="29" t="s">
        <v>586</v>
      </c>
      <c r="H159" s="30">
        <v>45003.0</v>
      </c>
      <c r="I159" s="30">
        <v>45368.0</v>
      </c>
      <c r="J159" s="31">
        <v>0.0</v>
      </c>
      <c r="K159" s="26" t="s">
        <v>352</v>
      </c>
      <c r="L159" s="69">
        <v>45267.0</v>
      </c>
      <c r="M159" s="33">
        <v>32450.0</v>
      </c>
      <c r="N159" s="34">
        <v>34505.55</v>
      </c>
      <c r="O159" s="27" t="s">
        <v>76</v>
      </c>
      <c r="P159" s="35" t="s">
        <v>142</v>
      </c>
      <c r="Q159" s="35" t="s">
        <v>90</v>
      </c>
      <c r="R159" s="36" t="e">
        <v>#VALUE!</v>
      </c>
      <c r="S159" s="35" t="s">
        <v>86</v>
      </c>
      <c r="T159" s="35">
        <v>0.0</v>
      </c>
      <c r="U159" s="37" t="s">
        <v>67</v>
      </c>
      <c r="V159" s="38"/>
      <c r="W159" s="38"/>
      <c r="X159" s="27"/>
      <c r="Y159" s="39"/>
      <c r="Z159" s="79" t="s">
        <v>208</v>
      </c>
      <c r="AA159" s="39"/>
      <c r="AB159" s="40"/>
      <c r="AC159" s="27">
        <f t="shared" si="84"/>
        <v>0</v>
      </c>
      <c r="AD159" s="41">
        <f t="shared" si="95"/>
        <v>4867.5</v>
      </c>
      <c r="AE159" s="42"/>
      <c r="AF159" s="27" t="s">
        <v>306</v>
      </c>
      <c r="AG159" s="43">
        <f t="shared" si="90"/>
        <v>8323.425</v>
      </c>
      <c r="AH159" s="29"/>
      <c r="AI159" s="29"/>
      <c r="AJ159" s="29"/>
      <c r="AK159" s="29"/>
      <c r="AL159" s="27"/>
      <c r="AM159" s="44"/>
      <c r="AN159" s="93"/>
      <c r="AO159" s="46"/>
      <c r="AP159" s="47"/>
      <c r="AQ159" s="43">
        <f t="shared" si="94"/>
        <v>8761.5</v>
      </c>
      <c r="AR159" s="43">
        <f t="shared" si="2"/>
        <v>438.075</v>
      </c>
      <c r="AS159" s="43">
        <f t="shared" si="3"/>
        <v>1533.2625</v>
      </c>
      <c r="AT159" s="48">
        <f t="shared" si="4"/>
        <v>6790.1625</v>
      </c>
      <c r="AU159" s="49">
        <f t="shared" si="79"/>
        <v>6790.1625</v>
      </c>
      <c r="AV159" s="48"/>
      <c r="AW159" s="34">
        <f t="shared" si="5"/>
        <v>29638.05</v>
      </c>
      <c r="AX159" s="50">
        <f t="shared" si="6"/>
        <v>1922.6625</v>
      </c>
      <c r="AY159" s="43"/>
      <c r="AZ159" s="43"/>
      <c r="BA159" s="48">
        <f t="shared" si="80"/>
        <v>6790.1625</v>
      </c>
      <c r="BB159" s="27"/>
      <c r="BC159" s="27"/>
      <c r="BD159" s="51"/>
      <c r="BE159" s="52"/>
      <c r="BF159" s="80" t="s">
        <v>611</v>
      </c>
      <c r="BG159" s="53">
        <v>0.0</v>
      </c>
      <c r="BH159" s="53" t="str">
        <f>'[1]2023'!Q574</f>
        <v>#REF!</v>
      </c>
      <c r="BI159" s="27"/>
      <c r="BJ159" s="27"/>
      <c r="BK159" s="27" t="s">
        <v>76</v>
      </c>
      <c r="BL159" s="27"/>
    </row>
    <row r="160" ht="14.25" customHeight="1">
      <c r="A160" s="26" t="s">
        <v>55</v>
      </c>
      <c r="B160" s="26" t="s">
        <v>56</v>
      </c>
      <c r="C160" s="26" t="s">
        <v>57</v>
      </c>
      <c r="D160" s="26" t="s">
        <v>81</v>
      </c>
      <c r="E160" s="27" t="s">
        <v>613</v>
      </c>
      <c r="F160" s="26" t="s">
        <v>614</v>
      </c>
      <c r="G160" s="29" t="s">
        <v>615</v>
      </c>
      <c r="H160" s="30">
        <v>45004.0</v>
      </c>
      <c r="I160" s="30">
        <v>45369.0</v>
      </c>
      <c r="J160" s="31">
        <v>0.0</v>
      </c>
      <c r="K160" s="26" t="s">
        <v>352</v>
      </c>
      <c r="L160" s="32" t="s">
        <v>75</v>
      </c>
      <c r="M160" s="33">
        <v>70770.0</v>
      </c>
      <c r="N160" s="34">
        <v>75086.43</v>
      </c>
      <c r="O160" s="27" t="s">
        <v>76</v>
      </c>
      <c r="P160" s="35" t="s">
        <v>89</v>
      </c>
      <c r="Q160" s="35" t="s">
        <v>108</v>
      </c>
      <c r="R160" s="36" t="e">
        <v>#VALUE!</v>
      </c>
      <c r="S160" s="35" t="s">
        <v>86</v>
      </c>
      <c r="T160" s="35">
        <v>0.0</v>
      </c>
      <c r="U160" s="37" t="s">
        <v>67</v>
      </c>
      <c r="V160" s="38"/>
      <c r="W160" s="38"/>
      <c r="X160" s="27"/>
      <c r="Y160" s="39"/>
      <c r="Z160" s="39"/>
      <c r="AA160" s="39"/>
      <c r="AB160" s="27"/>
      <c r="AC160" s="27">
        <f t="shared" si="84"/>
        <v>0</v>
      </c>
      <c r="AD160" s="41">
        <f t="shared" si="95"/>
        <v>10615.5</v>
      </c>
      <c r="AE160" s="42"/>
      <c r="AF160" s="29">
        <v>44931.0</v>
      </c>
      <c r="AG160" s="43">
        <f t="shared" si="90"/>
        <v>18152.505</v>
      </c>
      <c r="AH160" s="29"/>
      <c r="AI160" s="29"/>
      <c r="AJ160" s="29"/>
      <c r="AK160" s="29"/>
      <c r="AL160" s="27"/>
      <c r="AM160" s="44"/>
      <c r="AN160" s="47"/>
      <c r="AO160" s="46"/>
      <c r="AP160" s="47"/>
      <c r="AQ160" s="43">
        <f t="shared" si="94"/>
        <v>19107.9</v>
      </c>
      <c r="AR160" s="43">
        <f t="shared" si="2"/>
        <v>955.395</v>
      </c>
      <c r="AS160" s="43">
        <f t="shared" si="3"/>
        <v>3343.8825</v>
      </c>
      <c r="AT160" s="48">
        <f t="shared" si="4"/>
        <v>14808.6225</v>
      </c>
      <c r="AU160" s="49">
        <f t="shared" si="79"/>
        <v>14808.6225</v>
      </c>
      <c r="AV160" s="48"/>
      <c r="AW160" s="34">
        <f t="shared" si="5"/>
        <v>64470.93</v>
      </c>
      <c r="AX160" s="50">
        <f t="shared" si="6"/>
        <v>4193.1225</v>
      </c>
      <c r="AY160" s="43"/>
      <c r="AZ160" s="27"/>
      <c r="BA160" s="48">
        <f t="shared" si="80"/>
        <v>14808.6225</v>
      </c>
      <c r="BB160" s="27"/>
      <c r="BC160" s="27"/>
      <c r="BD160" s="51"/>
      <c r="BE160" s="52"/>
      <c r="BF160" s="27" t="s">
        <v>613</v>
      </c>
      <c r="BG160" s="53">
        <v>0.0</v>
      </c>
      <c r="BH160" s="53" t="str">
        <f>'[1]2023'!Q232</f>
        <v>#REF!</v>
      </c>
      <c r="BI160" s="27"/>
      <c r="BJ160" s="27"/>
      <c r="BK160" s="27" t="s">
        <v>76</v>
      </c>
      <c r="BL160" s="27"/>
    </row>
    <row r="161" ht="14.25" customHeight="1">
      <c r="A161" s="26" t="s">
        <v>111</v>
      </c>
      <c r="B161" s="26" t="s">
        <v>56</v>
      </c>
      <c r="C161" s="26" t="s">
        <v>57</v>
      </c>
      <c r="D161" s="26" t="s">
        <v>71</v>
      </c>
      <c r="E161" s="27" t="s">
        <v>616</v>
      </c>
      <c r="F161" s="28" t="s">
        <v>617</v>
      </c>
      <c r="G161" s="29" t="s">
        <v>615</v>
      </c>
      <c r="H161" s="30">
        <v>45004.0</v>
      </c>
      <c r="I161" s="30">
        <v>45369.0</v>
      </c>
      <c r="J161" s="31" t="s">
        <v>618</v>
      </c>
      <c r="K161" s="26" t="s">
        <v>352</v>
      </c>
      <c r="L161" s="32" t="s">
        <v>63</v>
      </c>
      <c r="M161" s="33">
        <v>43460.06</v>
      </c>
      <c r="N161" s="34">
        <v>46280.0</v>
      </c>
      <c r="O161" s="27" t="s">
        <v>64</v>
      </c>
      <c r="P161" s="35">
        <v>0.0</v>
      </c>
      <c r="Q161" s="35" t="s">
        <v>114</v>
      </c>
      <c r="R161" s="36" t="e">
        <v>#VALUE!</v>
      </c>
      <c r="S161" s="35" t="s">
        <v>86</v>
      </c>
      <c r="T161" s="35">
        <v>0.0</v>
      </c>
      <c r="U161" s="37" t="s">
        <v>115</v>
      </c>
      <c r="V161" s="38"/>
      <c r="W161" s="38"/>
      <c r="X161" s="27"/>
      <c r="Y161" s="39"/>
      <c r="Z161" s="39" t="s">
        <v>619</v>
      </c>
      <c r="AA161" s="39"/>
      <c r="AB161" s="40"/>
      <c r="AC161" s="27">
        <f t="shared" si="84"/>
        <v>0</v>
      </c>
      <c r="AD161" s="41">
        <f>IF(AND(S161="0",O161="Paid"),(M161*15%)-AC161,0)</f>
        <v>0</v>
      </c>
      <c r="AE161" s="42"/>
      <c r="AF161" s="27"/>
      <c r="AG161" s="43">
        <f>IF(O161="Paid",IF(A161="Alwataniya",(M161*21%)-((M161*21%)*5%),IF((A161="GIG"),(M161*25%)-((M161*25%)*5%),IF((A161="Allianz"),(M161*27%)-((M161*27%)*20%),0))),0)</f>
        <v>0</v>
      </c>
      <c r="AH161" s="29"/>
      <c r="AI161" s="29" t="s">
        <v>63</v>
      </c>
      <c r="AJ161" s="29"/>
      <c r="AK161" s="29"/>
      <c r="AL161" s="27"/>
      <c r="AM161" s="44"/>
      <c r="AN161" s="47"/>
      <c r="AO161" s="46"/>
      <c r="AP161" s="47"/>
      <c r="AQ161" s="43" t="b">
        <f>IF(O161="Paid",IF(U161="Motor Plus",(M161*27%),IF(U161="Motor One",(M161*22%),(IF(U161="Golden",(M161*25%),(IF(U161="Classic",(M161*15%),(IF(U161="Wethaq",(M161*28%),IF(U161="Alwataniya",(M161*21%))*0)))))))))</f>
        <v>0</v>
      </c>
      <c r="AR161" s="43">
        <f t="shared" si="2"/>
        <v>0</v>
      </c>
      <c r="AS161" s="43">
        <f t="shared" si="3"/>
        <v>0</v>
      </c>
      <c r="AT161" s="48">
        <f t="shared" si="4"/>
        <v>0</v>
      </c>
      <c r="AU161" s="49">
        <f t="shared" si="79"/>
        <v>0</v>
      </c>
      <c r="AV161" s="48"/>
      <c r="AW161" s="34">
        <f t="shared" si="5"/>
        <v>46280</v>
      </c>
      <c r="AX161" s="50">
        <f t="shared" si="6"/>
        <v>0</v>
      </c>
      <c r="AY161" s="43"/>
      <c r="AZ161" s="27"/>
      <c r="BA161" s="48">
        <f t="shared" si="80"/>
        <v>0</v>
      </c>
      <c r="BB161" s="27"/>
      <c r="BC161" s="27"/>
      <c r="BD161" s="51"/>
      <c r="BE161" s="52"/>
      <c r="BF161" s="27" t="s">
        <v>616</v>
      </c>
      <c r="BG161" s="58" t="s">
        <v>620</v>
      </c>
      <c r="BH161" s="53" t="str">
        <f>'[1]2023'!Q274</f>
        <v>#REF!</v>
      </c>
      <c r="BI161" s="27"/>
      <c r="BJ161" s="27"/>
      <c r="BK161" s="27" t="s">
        <v>64</v>
      </c>
      <c r="BL161" s="27" t="s">
        <v>523</v>
      </c>
    </row>
    <row r="162" ht="14.25" customHeight="1">
      <c r="A162" s="26" t="s">
        <v>55</v>
      </c>
      <c r="B162" s="26" t="s">
        <v>56</v>
      </c>
      <c r="C162" s="26" t="s">
        <v>57</v>
      </c>
      <c r="D162" s="26" t="s">
        <v>81</v>
      </c>
      <c r="E162" s="27" t="s">
        <v>621</v>
      </c>
      <c r="F162" s="26" t="s">
        <v>622</v>
      </c>
      <c r="G162" s="29" t="s">
        <v>615</v>
      </c>
      <c r="H162" s="30">
        <v>45004.0</v>
      </c>
      <c r="I162" s="30">
        <v>45369.0</v>
      </c>
      <c r="J162" s="31" t="s">
        <v>623</v>
      </c>
      <c r="K162" s="26" t="s">
        <v>352</v>
      </c>
      <c r="L162" s="32" t="s">
        <v>75</v>
      </c>
      <c r="M162" s="33">
        <v>10725.0</v>
      </c>
      <c r="N162" s="34">
        <v>11498.78</v>
      </c>
      <c r="O162" s="27" t="s">
        <v>76</v>
      </c>
      <c r="P162" s="35" t="s">
        <v>104</v>
      </c>
      <c r="Q162" s="35" t="s">
        <v>65</v>
      </c>
      <c r="R162" s="36" t="e">
        <v>#VALUE!</v>
      </c>
      <c r="S162" s="35" t="s">
        <v>86</v>
      </c>
      <c r="T162" s="35">
        <v>0.0</v>
      </c>
      <c r="U162" s="37" t="s">
        <v>67</v>
      </c>
      <c r="V162" s="38"/>
      <c r="W162" s="38"/>
      <c r="X162" s="27"/>
      <c r="Y162" s="39"/>
      <c r="Z162" s="39"/>
      <c r="AA162" s="39"/>
      <c r="AB162" s="40"/>
      <c r="AC162" s="27">
        <f t="shared" si="84"/>
        <v>0</v>
      </c>
      <c r="AD162" s="41"/>
      <c r="AE162" s="42"/>
      <c r="AF162" s="27"/>
      <c r="AG162" s="43">
        <f>IF(O162="Paid",IF(A162="Alwataniya",(M162*21%)-((M162*21%)*5%),IF((A162="GIG"),(M162*25%)-((M162*25%)*5%),IF((A162="Allianz"),(M162*27%)-((M162*27%)*5%),0))),0)</f>
        <v>2750.9625</v>
      </c>
      <c r="AH162" s="29"/>
      <c r="AI162" s="29"/>
      <c r="AJ162" s="29"/>
      <c r="AK162" s="29"/>
      <c r="AL162" s="27"/>
      <c r="AM162" s="44"/>
      <c r="AN162" s="47"/>
      <c r="AO162" s="46"/>
      <c r="AP162" s="47"/>
      <c r="AQ162" s="43">
        <f t="shared" ref="AQ162:AQ165" si="96">IF(U162="Motor Plus",(M162*27%),IF(U162="Motor One",(M162*22%),(IF(U162="Golden",(M162*25%),(IF(U162="Classic",(M162*15%),(IF(U162="Wethaq",(M162*28%),IF(U162="Alwataniya",(M162*21%))*0))))))))</f>
        <v>2895.75</v>
      </c>
      <c r="AR162" s="43">
        <f t="shared" si="2"/>
        <v>144.7875</v>
      </c>
      <c r="AS162" s="43">
        <f t="shared" si="3"/>
        <v>506.75625</v>
      </c>
      <c r="AT162" s="48">
        <f t="shared" si="4"/>
        <v>2244.20625</v>
      </c>
      <c r="AU162" s="49">
        <f t="shared" si="79"/>
        <v>2244.20625</v>
      </c>
      <c r="AV162" s="48"/>
      <c r="AW162" s="34">
        <f t="shared" si="5"/>
        <v>11498.78</v>
      </c>
      <c r="AX162" s="50">
        <f t="shared" si="6"/>
        <v>2244.20625</v>
      </c>
      <c r="AY162" s="43"/>
      <c r="AZ162" s="27"/>
      <c r="BA162" s="48">
        <f t="shared" si="80"/>
        <v>2244.20625</v>
      </c>
      <c r="BB162" s="27"/>
      <c r="BC162" s="27"/>
      <c r="BD162" s="51"/>
      <c r="BE162" s="52"/>
      <c r="BF162" s="27" t="s">
        <v>621</v>
      </c>
      <c r="BG162" s="53" t="s">
        <v>624</v>
      </c>
      <c r="BH162" s="53" t="str">
        <f>'[1]2023'!Q308</f>
        <v>#REF!</v>
      </c>
      <c r="BI162" s="27"/>
      <c r="BJ162" s="27"/>
      <c r="BK162" s="27" t="s">
        <v>76</v>
      </c>
      <c r="BL162" s="27"/>
    </row>
    <row r="163" ht="14.25" customHeight="1">
      <c r="A163" s="26" t="s">
        <v>111</v>
      </c>
      <c r="B163" s="26" t="s">
        <v>56</v>
      </c>
      <c r="C163" s="26" t="s">
        <v>57</v>
      </c>
      <c r="D163" s="26" t="s">
        <v>71</v>
      </c>
      <c r="E163" s="27" t="s">
        <v>625</v>
      </c>
      <c r="F163" s="28" t="s">
        <v>626</v>
      </c>
      <c r="G163" s="29" t="s">
        <v>615</v>
      </c>
      <c r="H163" s="30">
        <v>45004.0</v>
      </c>
      <c r="I163" s="30">
        <v>45369.0</v>
      </c>
      <c r="J163" s="31" t="s">
        <v>627</v>
      </c>
      <c r="K163" s="26" t="s">
        <v>352</v>
      </c>
      <c r="L163" s="32" t="s">
        <v>75</v>
      </c>
      <c r="M163" s="33">
        <v>13298.09</v>
      </c>
      <c r="N163" s="34">
        <v>14339.0</v>
      </c>
      <c r="O163" s="27" t="s">
        <v>76</v>
      </c>
      <c r="P163" s="35" t="s">
        <v>509</v>
      </c>
      <c r="Q163" s="35" t="s">
        <v>114</v>
      </c>
      <c r="R163" s="36" t="e">
        <v>#VALUE!</v>
      </c>
      <c r="S163" s="35" t="s">
        <v>231</v>
      </c>
      <c r="T163" s="35">
        <v>0.0</v>
      </c>
      <c r="U163" s="37" t="s">
        <v>115</v>
      </c>
      <c r="V163" s="38">
        <v>550000.0</v>
      </c>
      <c r="W163" s="38"/>
      <c r="X163" s="27"/>
      <c r="Y163" s="39"/>
      <c r="Z163" s="79" t="s">
        <v>628</v>
      </c>
      <c r="AA163" s="39"/>
      <c r="AB163" s="40"/>
      <c r="AC163" s="27">
        <f t="shared" si="84"/>
        <v>0</v>
      </c>
      <c r="AD163" s="41">
        <f>IF(AND(S163="0",O163="Paid"),(M163*15%)-AC163,0)</f>
        <v>0</v>
      </c>
      <c r="AE163" s="42"/>
      <c r="AF163" s="27"/>
      <c r="AG163" s="43">
        <f t="shared" ref="AG163:AG165" si="97">IF(O163="Paid",IF(A163="Alwataniya",(M163*21%)-((M163*21%)*5%),IF((A163="GIG"),(M163*25%)-((M163*25%)*5%),IF((A163="Allianz"),(M163*27%)-((M163*27%)*20%),0))),0)</f>
        <v>3158.296375</v>
      </c>
      <c r="AH163" s="29" t="s">
        <v>75</v>
      </c>
      <c r="AI163" s="61" t="s">
        <v>535</v>
      </c>
      <c r="AJ163" s="40"/>
      <c r="AK163" s="62" t="s">
        <v>63</v>
      </c>
      <c r="AL163" s="27"/>
      <c r="AM163" s="44">
        <f>IF((BD163&lt;=2),AU163*10%,(IF((BD163&lt;=3),AU163*20%,IF((BD163&lt;=4),AU163*20%,IF((BD163&gt;=5),AU163*30%,0)))))</f>
        <v>257.6504938</v>
      </c>
      <c r="AN163" s="47"/>
      <c r="AO163" s="46">
        <f>M163*15%</f>
        <v>1994.7135</v>
      </c>
      <c r="AP163" s="47" t="s">
        <v>75</v>
      </c>
      <c r="AQ163" s="43">
        <f t="shared" si="96"/>
        <v>3324.5225</v>
      </c>
      <c r="AR163" s="43">
        <f t="shared" si="2"/>
        <v>166.226125</v>
      </c>
      <c r="AS163" s="43">
        <f t="shared" si="3"/>
        <v>581.7914375</v>
      </c>
      <c r="AT163" s="48">
        <f t="shared" si="4"/>
        <v>2576.504938</v>
      </c>
      <c r="AU163" s="49">
        <f t="shared" si="79"/>
        <v>2576.504938</v>
      </c>
      <c r="AV163" s="48"/>
      <c r="AW163" s="34">
        <f t="shared" si="5"/>
        <v>14339</v>
      </c>
      <c r="AX163" s="50">
        <f t="shared" si="6"/>
        <v>324.1409438</v>
      </c>
      <c r="AY163" s="43"/>
      <c r="AZ163" s="27"/>
      <c r="BA163" s="48">
        <f t="shared" si="80"/>
        <v>324.1409438</v>
      </c>
      <c r="BB163" s="27">
        <f>M163*15%</f>
        <v>1994.7135</v>
      </c>
      <c r="BC163" s="27" t="s">
        <v>233</v>
      </c>
      <c r="BD163" s="51"/>
      <c r="BE163" s="52"/>
      <c r="BF163" s="27" t="s">
        <v>625</v>
      </c>
      <c r="BG163" s="58" t="s">
        <v>629</v>
      </c>
      <c r="BH163" s="53" t="str">
        <f t="shared" ref="BH163:BH165" si="98">'[1]2023'!Q373</f>
        <v>#REF!</v>
      </c>
      <c r="BI163" s="27"/>
      <c r="BJ163" s="27"/>
      <c r="BK163" s="27" t="s">
        <v>76</v>
      </c>
      <c r="BL163" s="27"/>
    </row>
    <row r="164" ht="14.25" customHeight="1">
      <c r="A164" s="26" t="s">
        <v>111</v>
      </c>
      <c r="B164" s="26" t="s">
        <v>56</v>
      </c>
      <c r="C164" s="26" t="s">
        <v>57</v>
      </c>
      <c r="D164" s="26" t="s">
        <v>71</v>
      </c>
      <c r="E164" s="27" t="s">
        <v>630</v>
      </c>
      <c r="F164" s="28" t="s">
        <v>631</v>
      </c>
      <c r="G164" s="29" t="s">
        <v>615</v>
      </c>
      <c r="H164" s="30">
        <v>45004.0</v>
      </c>
      <c r="I164" s="30">
        <v>45369.0</v>
      </c>
      <c r="J164" s="31" t="s">
        <v>632</v>
      </c>
      <c r="K164" s="26" t="s">
        <v>352</v>
      </c>
      <c r="L164" s="32" t="s">
        <v>75</v>
      </c>
      <c r="M164" s="33">
        <v>12067.15</v>
      </c>
      <c r="N164" s="34">
        <v>13035.0</v>
      </c>
      <c r="O164" s="27" t="s">
        <v>76</v>
      </c>
      <c r="P164" s="35" t="s">
        <v>509</v>
      </c>
      <c r="Q164" s="35" t="s">
        <v>114</v>
      </c>
      <c r="R164" s="36" t="e">
        <v>#VALUE!</v>
      </c>
      <c r="S164" s="35" t="s">
        <v>78</v>
      </c>
      <c r="T164" s="54" t="s">
        <v>510</v>
      </c>
      <c r="U164" s="37" t="s">
        <v>115</v>
      </c>
      <c r="V164" s="38">
        <v>500000.0</v>
      </c>
      <c r="W164" s="38"/>
      <c r="X164" s="27"/>
      <c r="Y164" s="39"/>
      <c r="Z164" s="79" t="s">
        <v>633</v>
      </c>
      <c r="AA164" s="39"/>
      <c r="AB164" s="40"/>
      <c r="AC164" s="27">
        <f t="shared" si="84"/>
        <v>0</v>
      </c>
      <c r="AD164" s="41"/>
      <c r="AE164" s="42"/>
      <c r="AF164" s="27"/>
      <c r="AG164" s="43">
        <f t="shared" si="97"/>
        <v>2865.948125</v>
      </c>
      <c r="AH164" s="29" t="s">
        <v>75</v>
      </c>
      <c r="AI164" s="61" t="s">
        <v>634</v>
      </c>
      <c r="AJ164" s="40">
        <v>0.25</v>
      </c>
      <c r="AK164" s="62" t="s">
        <v>63</v>
      </c>
      <c r="AL164" s="27"/>
      <c r="AM164" s="44"/>
      <c r="AN164" s="104"/>
      <c r="AO164" s="95">
        <f t="shared" ref="AO164:AO165" si="99">M164*AJ164-((M164*AJ164)*22.5%)</f>
        <v>2338.010313</v>
      </c>
      <c r="AP164" s="47" t="s">
        <v>75</v>
      </c>
      <c r="AQ164" s="43">
        <f t="shared" si="96"/>
        <v>3016.7875</v>
      </c>
      <c r="AR164" s="43">
        <f t="shared" si="2"/>
        <v>150.839375</v>
      </c>
      <c r="AS164" s="43">
        <f t="shared" si="3"/>
        <v>527.9378125</v>
      </c>
      <c r="AT164" s="48">
        <f t="shared" si="4"/>
        <v>2338.010313</v>
      </c>
      <c r="AU164" s="49">
        <f t="shared" si="79"/>
        <v>2338.010313</v>
      </c>
      <c r="AV164" s="48"/>
      <c r="AW164" s="34">
        <f t="shared" si="5"/>
        <v>13035</v>
      </c>
      <c r="AX164" s="50">
        <f t="shared" si="6"/>
        <v>0</v>
      </c>
      <c r="AY164" s="43"/>
      <c r="AZ164" s="27"/>
      <c r="BA164" s="48" t="str">
        <f t="shared" ref="BA164:BA165" si="100">IF(S164&lt;&gt;0,AU164-#REF!-AM164,(AG164-AD164-AE164-AS164))</f>
        <v>#REF!</v>
      </c>
      <c r="BB164" s="27"/>
      <c r="BC164" s="27"/>
      <c r="BD164" s="51"/>
      <c r="BE164" s="52"/>
      <c r="BF164" s="27" t="s">
        <v>630</v>
      </c>
      <c r="BG164" s="58" t="s">
        <v>635</v>
      </c>
      <c r="BH164" s="53" t="str">
        <f t="shared" si="98"/>
        <v>#REF!</v>
      </c>
      <c r="BI164" s="27"/>
      <c r="BJ164" s="27"/>
      <c r="BK164" s="27" t="s">
        <v>76</v>
      </c>
      <c r="BL164" s="27"/>
    </row>
    <row r="165" ht="14.25" customHeight="1">
      <c r="A165" s="26" t="s">
        <v>111</v>
      </c>
      <c r="B165" s="26" t="s">
        <v>56</v>
      </c>
      <c r="C165" s="26" t="s">
        <v>57</v>
      </c>
      <c r="D165" s="26" t="s">
        <v>71</v>
      </c>
      <c r="E165" s="27" t="s">
        <v>636</v>
      </c>
      <c r="F165" s="28" t="s">
        <v>637</v>
      </c>
      <c r="G165" s="29" t="s">
        <v>615</v>
      </c>
      <c r="H165" s="30">
        <v>45004.0</v>
      </c>
      <c r="I165" s="30">
        <v>45369.0</v>
      </c>
      <c r="J165" s="31" t="s">
        <v>618</v>
      </c>
      <c r="K165" s="26" t="s">
        <v>352</v>
      </c>
      <c r="L165" s="32" t="s">
        <v>75</v>
      </c>
      <c r="M165" s="33">
        <v>43460.06</v>
      </c>
      <c r="N165" s="34">
        <v>46280.0</v>
      </c>
      <c r="O165" s="27" t="s">
        <v>76</v>
      </c>
      <c r="P165" s="35" t="s">
        <v>509</v>
      </c>
      <c r="Q165" s="35" t="s">
        <v>114</v>
      </c>
      <c r="R165" s="36" t="e">
        <v>#VALUE!</v>
      </c>
      <c r="S165" s="35" t="s">
        <v>78</v>
      </c>
      <c r="T165" s="54" t="s">
        <v>510</v>
      </c>
      <c r="U165" s="37" t="s">
        <v>115</v>
      </c>
      <c r="V165" s="38">
        <v>1780000.0</v>
      </c>
      <c r="W165" s="38"/>
      <c r="X165" s="27"/>
      <c r="Y165" s="39"/>
      <c r="Z165" s="39" t="s">
        <v>619</v>
      </c>
      <c r="AA165" s="39"/>
      <c r="AB165" s="40"/>
      <c r="AC165" s="27">
        <f t="shared" si="84"/>
        <v>0</v>
      </c>
      <c r="AD165" s="41"/>
      <c r="AE165" s="42"/>
      <c r="AF165" s="27"/>
      <c r="AG165" s="43">
        <f t="shared" si="97"/>
        <v>10321.76425</v>
      </c>
      <c r="AH165" s="29" t="s">
        <v>75</v>
      </c>
      <c r="AI165" s="61" t="s">
        <v>525</v>
      </c>
      <c r="AJ165" s="40">
        <v>0.25</v>
      </c>
      <c r="AK165" s="62" t="s">
        <v>63</v>
      </c>
      <c r="AL165" s="27"/>
      <c r="AM165" s="44"/>
      <c r="AN165" s="56"/>
      <c r="AO165" s="95">
        <f t="shared" si="99"/>
        <v>8420.386625</v>
      </c>
      <c r="AP165" s="47" t="s">
        <v>75</v>
      </c>
      <c r="AQ165" s="43">
        <f t="shared" si="96"/>
        <v>10865.015</v>
      </c>
      <c r="AR165" s="43">
        <f t="shared" si="2"/>
        <v>543.25075</v>
      </c>
      <c r="AS165" s="43">
        <f t="shared" si="3"/>
        <v>1901.377625</v>
      </c>
      <c r="AT165" s="48">
        <f t="shared" si="4"/>
        <v>8420.386625</v>
      </c>
      <c r="AU165" s="49">
        <f t="shared" si="79"/>
        <v>8420.386625</v>
      </c>
      <c r="AV165" s="48"/>
      <c r="AW165" s="34">
        <f t="shared" si="5"/>
        <v>46280</v>
      </c>
      <c r="AX165" s="50">
        <f t="shared" si="6"/>
        <v>0</v>
      </c>
      <c r="AY165" s="43"/>
      <c r="AZ165" s="27"/>
      <c r="BA165" s="48" t="str">
        <f t="shared" si="100"/>
        <v>#REF!</v>
      </c>
      <c r="BB165" s="27"/>
      <c r="BC165" s="27"/>
      <c r="BD165" s="51"/>
      <c r="BE165" s="52"/>
      <c r="BF165" s="80" t="s">
        <v>636</v>
      </c>
      <c r="BG165" s="58" t="s">
        <v>638</v>
      </c>
      <c r="BH165" s="53" t="str">
        <f t="shared" si="98"/>
        <v>#REF!</v>
      </c>
      <c r="BI165" s="27"/>
      <c r="BJ165" s="27"/>
      <c r="BK165" s="27" t="s">
        <v>76</v>
      </c>
      <c r="BL165" s="27"/>
    </row>
    <row r="166" ht="14.25" customHeight="1">
      <c r="A166" s="26" t="s">
        <v>111</v>
      </c>
      <c r="B166" s="26" t="s">
        <v>56</v>
      </c>
      <c r="C166" s="26" t="s">
        <v>57</v>
      </c>
      <c r="D166" s="26" t="s">
        <v>71</v>
      </c>
      <c r="E166" s="27" t="s">
        <v>639</v>
      </c>
      <c r="F166" s="28" t="s">
        <v>640</v>
      </c>
      <c r="G166" s="29">
        <v>45004.0</v>
      </c>
      <c r="H166" s="30">
        <v>45004.0</v>
      </c>
      <c r="I166" s="30">
        <v>45369.0</v>
      </c>
      <c r="J166" s="31">
        <v>0.0</v>
      </c>
      <c r="K166" s="26" t="s">
        <v>352</v>
      </c>
      <c r="L166" s="32" t="s">
        <v>63</v>
      </c>
      <c r="M166" s="33">
        <v>38000.0</v>
      </c>
      <c r="N166" s="34">
        <v>40498.0</v>
      </c>
      <c r="O166" s="27" t="s">
        <v>64</v>
      </c>
      <c r="P166" s="35">
        <v>0.0</v>
      </c>
      <c r="Q166" s="35">
        <v>0.0</v>
      </c>
      <c r="R166" s="36">
        <v>45013.0</v>
      </c>
      <c r="S166" s="35" t="s">
        <v>86</v>
      </c>
      <c r="T166" s="35">
        <v>0.0</v>
      </c>
      <c r="U166" s="37" t="s">
        <v>149</v>
      </c>
      <c r="V166" s="38">
        <v>1900000.0</v>
      </c>
      <c r="W166" s="38"/>
      <c r="X166" s="27"/>
      <c r="Y166" s="39"/>
      <c r="Z166" s="39" t="s">
        <v>641</v>
      </c>
      <c r="AA166" s="39"/>
      <c r="AB166" s="27"/>
      <c r="AC166" s="27">
        <f t="shared" si="84"/>
        <v>0</v>
      </c>
      <c r="AD166" s="41">
        <f t="shared" ref="AD166:AD167" si="101">IF(AND(S166="0",O166="Paid"),(M166*15%)-AC166,0)</f>
        <v>0</v>
      </c>
      <c r="AE166" s="42"/>
      <c r="AF166" s="27"/>
      <c r="AG166" s="43">
        <f t="shared" ref="AG166:AG167" si="102">IF(O166="Paid",IF(A166="Alwataniya",(M166*21%)-((M166*21%)*5%),IF((A166="GIG"),(M166*15%)-((M166*15%)*5%),IF((A166="Allianz"),(M166*27%)-((M166*27%)*20%),0))),0)</f>
        <v>0</v>
      </c>
      <c r="AH166" s="29"/>
      <c r="AI166" s="29"/>
      <c r="AJ166" s="29"/>
      <c r="AK166" s="29"/>
      <c r="AL166" s="27"/>
      <c r="AM166" s="44"/>
      <c r="AN166" s="47"/>
      <c r="AO166" s="46"/>
      <c r="AP166" s="47"/>
      <c r="AQ166" s="43" t="b">
        <f t="shared" ref="AQ166:AQ167" si="103">IF(O166="Paid",IF(U166="Motor Plus",(M166*27%),IF(U166="Motor One",(M166*22%),(IF(U166="Golden",(M166*25%),(IF(U166="Classic",(M166*15%),(IF(U166="Wethaq",(M166*28%),IF(U166="Alwataniya",(M166*21%))*0)))))))))</f>
        <v>0</v>
      </c>
      <c r="AR166" s="43">
        <f t="shared" si="2"/>
        <v>0</v>
      </c>
      <c r="AS166" s="43">
        <f t="shared" si="3"/>
        <v>0</v>
      </c>
      <c r="AT166" s="48">
        <f t="shared" si="4"/>
        <v>0</v>
      </c>
      <c r="AU166" s="49">
        <f t="shared" ref="AU166:AU167" si="104">AQ166-AR166-AS166-AC166-AO166</f>
        <v>0</v>
      </c>
      <c r="AV166" s="48"/>
      <c r="AW166" s="34">
        <f t="shared" si="5"/>
        <v>40498</v>
      </c>
      <c r="AX166" s="50">
        <f t="shared" si="6"/>
        <v>0</v>
      </c>
      <c r="AY166" s="43"/>
      <c r="AZ166" s="47"/>
      <c r="BA166" s="48">
        <f t="shared" ref="BA166:BA187" si="105">IF(S166&lt;&gt;0,AU166-AO166-AM166,(AG166-AD166-AE166-AS166))</f>
        <v>0</v>
      </c>
      <c r="BB166" s="27"/>
      <c r="BC166" s="27"/>
      <c r="BD166" s="51"/>
      <c r="BE166" s="52"/>
      <c r="BF166" s="27"/>
      <c r="BG166" s="53">
        <v>0.0</v>
      </c>
      <c r="BH166" s="53" t="str">
        <f t="shared" ref="BH166:BH167" si="106">'[1]2023'!Q1333</f>
        <v>#REF!</v>
      </c>
      <c r="BI166" s="27"/>
      <c r="BJ166" s="27"/>
      <c r="BK166" s="27" t="s">
        <v>64</v>
      </c>
      <c r="BL166" s="27"/>
    </row>
    <row r="167" ht="14.25" customHeight="1">
      <c r="A167" s="26" t="s">
        <v>111</v>
      </c>
      <c r="B167" s="26" t="s">
        <v>56</v>
      </c>
      <c r="C167" s="26" t="s">
        <v>57</v>
      </c>
      <c r="D167" s="26" t="s">
        <v>71</v>
      </c>
      <c r="E167" s="27" t="s">
        <v>642</v>
      </c>
      <c r="F167" s="28" t="s">
        <v>643</v>
      </c>
      <c r="G167" s="29">
        <v>45004.0</v>
      </c>
      <c r="H167" s="30">
        <v>45004.0</v>
      </c>
      <c r="I167" s="30">
        <v>45369.0</v>
      </c>
      <c r="J167" s="31">
        <v>0.0</v>
      </c>
      <c r="K167" s="26" t="s">
        <v>352</v>
      </c>
      <c r="L167" s="32" t="s">
        <v>63</v>
      </c>
      <c r="M167" s="33">
        <v>20000.0</v>
      </c>
      <c r="N167" s="34">
        <v>21436.0</v>
      </c>
      <c r="O167" s="27" t="s">
        <v>64</v>
      </c>
      <c r="P167" s="35">
        <v>0.0</v>
      </c>
      <c r="Q167" s="35">
        <v>0.0</v>
      </c>
      <c r="R167" s="36">
        <v>45013.0</v>
      </c>
      <c r="S167" s="35" t="s">
        <v>86</v>
      </c>
      <c r="T167" s="35">
        <v>0.0</v>
      </c>
      <c r="U167" s="37" t="s">
        <v>149</v>
      </c>
      <c r="V167" s="38">
        <v>1000000.0</v>
      </c>
      <c r="W167" s="38"/>
      <c r="X167" s="27"/>
      <c r="Y167" s="39"/>
      <c r="Z167" s="39" t="s">
        <v>644</v>
      </c>
      <c r="AA167" s="39"/>
      <c r="AB167" s="27"/>
      <c r="AC167" s="27">
        <f t="shared" si="84"/>
        <v>0</v>
      </c>
      <c r="AD167" s="41">
        <f t="shared" si="101"/>
        <v>0</v>
      </c>
      <c r="AE167" s="42"/>
      <c r="AF167" s="27"/>
      <c r="AG167" s="43">
        <f t="shared" si="102"/>
        <v>0</v>
      </c>
      <c r="AH167" s="29"/>
      <c r="AI167" s="29"/>
      <c r="AJ167" s="29"/>
      <c r="AK167" s="29"/>
      <c r="AL167" s="27"/>
      <c r="AM167" s="44"/>
      <c r="AN167" s="47"/>
      <c r="AO167" s="46"/>
      <c r="AP167" s="47"/>
      <c r="AQ167" s="43" t="b">
        <f t="shared" si="103"/>
        <v>0</v>
      </c>
      <c r="AR167" s="43">
        <f t="shared" si="2"/>
        <v>0</v>
      </c>
      <c r="AS167" s="43">
        <f t="shared" si="3"/>
        <v>0</v>
      </c>
      <c r="AT167" s="48">
        <f t="shared" si="4"/>
        <v>0</v>
      </c>
      <c r="AU167" s="49">
        <f t="shared" si="104"/>
        <v>0</v>
      </c>
      <c r="AV167" s="48"/>
      <c r="AW167" s="34">
        <f t="shared" si="5"/>
        <v>21436</v>
      </c>
      <c r="AX167" s="50">
        <f t="shared" si="6"/>
        <v>0</v>
      </c>
      <c r="AY167" s="43"/>
      <c r="AZ167" s="47"/>
      <c r="BA167" s="48">
        <f t="shared" si="105"/>
        <v>0</v>
      </c>
      <c r="BB167" s="27"/>
      <c r="BC167" s="27"/>
      <c r="BD167" s="51"/>
      <c r="BE167" s="52"/>
      <c r="BF167" s="27"/>
      <c r="BG167" s="53">
        <v>0.0</v>
      </c>
      <c r="BH167" s="53" t="str">
        <f t="shared" si="106"/>
        <v>#REF!</v>
      </c>
      <c r="BI167" s="27"/>
      <c r="BJ167" s="27"/>
      <c r="BK167" s="27" t="s">
        <v>64</v>
      </c>
      <c r="BL167" s="27"/>
    </row>
    <row r="168" ht="14.25" customHeight="1">
      <c r="A168" s="26" t="s">
        <v>55</v>
      </c>
      <c r="B168" s="26" t="s">
        <v>56</v>
      </c>
      <c r="C168" s="26" t="s">
        <v>57</v>
      </c>
      <c r="D168" s="26" t="s">
        <v>81</v>
      </c>
      <c r="E168" s="27" t="s">
        <v>645</v>
      </c>
      <c r="F168" s="28" t="s">
        <v>646</v>
      </c>
      <c r="G168" s="29">
        <v>45005.0</v>
      </c>
      <c r="H168" s="30">
        <v>45005.0</v>
      </c>
      <c r="I168" s="30">
        <v>45370.0</v>
      </c>
      <c r="J168" s="31" t="s">
        <v>647</v>
      </c>
      <c r="K168" s="26" t="s">
        <v>352</v>
      </c>
      <c r="L168" s="32" t="s">
        <v>75</v>
      </c>
      <c r="M168" s="33">
        <v>27253.6</v>
      </c>
      <c r="N168" s="34">
        <v>29002.56</v>
      </c>
      <c r="O168" s="27" t="s">
        <v>76</v>
      </c>
      <c r="P168" s="35" t="s">
        <v>104</v>
      </c>
      <c r="Q168" s="35" t="s">
        <v>65</v>
      </c>
      <c r="R168" s="36">
        <v>45005.0</v>
      </c>
      <c r="S168" s="35" t="s">
        <v>86</v>
      </c>
      <c r="T168" s="54" t="s">
        <v>163</v>
      </c>
      <c r="U168" s="37" t="s">
        <v>67</v>
      </c>
      <c r="V168" s="38"/>
      <c r="W168" s="38"/>
      <c r="X168" s="27"/>
      <c r="Y168" s="39"/>
      <c r="Z168" s="39"/>
      <c r="AA168" s="39"/>
      <c r="AB168" s="40"/>
      <c r="AC168" s="27">
        <f t="shared" si="84"/>
        <v>0</v>
      </c>
      <c r="AD168" s="41"/>
      <c r="AE168" s="42"/>
      <c r="AF168" s="27"/>
      <c r="AG168" s="43">
        <f t="shared" ref="AG168:AG174" si="107">IF(O168="Paid",IF(A168="Alwataniya",(M168*21%)-((M168*21%)*5%),IF((A168="GIG"),(M168*25%)-((M168*25%)*5%),IF((A168="Allianz"),(M168*27%)-((M168*27%)*5%),0))),0)</f>
        <v>6990.5484</v>
      </c>
      <c r="AH168" s="29"/>
      <c r="AI168" s="29"/>
      <c r="AJ168" s="29"/>
      <c r="AK168" s="29"/>
      <c r="AL168" s="27"/>
      <c r="AM168" s="44"/>
      <c r="AN168" s="47"/>
      <c r="AO168" s="70">
        <f>M168*15%</f>
        <v>4088.04</v>
      </c>
      <c r="AP168" s="71">
        <v>45267.0</v>
      </c>
      <c r="AQ168" s="43">
        <f t="shared" ref="AQ168:AQ170" si="108">IF(U168="Motor Plus",(M168*27%),IF(U168="Motor One",(M168*22%),(IF(U168="Golden",(M168*25%),(IF(U168="Classic",(M168*15%),(IF(U168="Wethaq",(M168*28%),IF(U168="Alwataniya",(M168*21%))*0))))))))</f>
        <v>7358.472</v>
      </c>
      <c r="AR168" s="43">
        <f t="shared" si="2"/>
        <v>367.9236</v>
      </c>
      <c r="AS168" s="43">
        <f t="shared" si="3"/>
        <v>1287.7326</v>
      </c>
      <c r="AT168" s="48">
        <f t="shared" si="4"/>
        <v>5702.8158</v>
      </c>
      <c r="AU168" s="49">
        <f t="shared" ref="AU168:AU177" si="109">AQ168-AR168-AS168-AC168</f>
        <v>5702.8158</v>
      </c>
      <c r="AV168" s="48"/>
      <c r="AW168" s="34">
        <f t="shared" si="5"/>
        <v>29002.56</v>
      </c>
      <c r="AX168" s="50">
        <f t="shared" si="6"/>
        <v>1614.7758</v>
      </c>
      <c r="AY168" s="43"/>
      <c r="AZ168" s="27"/>
      <c r="BA168" s="48">
        <f t="shared" si="105"/>
        <v>1614.7758</v>
      </c>
      <c r="BB168" s="27"/>
      <c r="BC168" s="27"/>
      <c r="BD168" s="51"/>
      <c r="BE168" s="52"/>
      <c r="BF168" s="27" t="s">
        <v>645</v>
      </c>
      <c r="BG168" s="53" t="s">
        <v>335</v>
      </c>
      <c r="BH168" s="53" t="str">
        <f>'[1]2023'!Q270</f>
        <v>#REF!</v>
      </c>
      <c r="BI168" s="27"/>
      <c r="BJ168" s="27"/>
      <c r="BK168" s="27" t="s">
        <v>76</v>
      </c>
      <c r="BL168" s="27"/>
    </row>
    <row r="169" ht="14.25" customHeight="1">
      <c r="A169" s="26" t="s">
        <v>55</v>
      </c>
      <c r="B169" s="26" t="s">
        <v>56</v>
      </c>
      <c r="C169" s="26" t="s">
        <v>57</v>
      </c>
      <c r="D169" s="26" t="s">
        <v>81</v>
      </c>
      <c r="E169" s="27" t="s">
        <v>648</v>
      </c>
      <c r="F169" s="26" t="s">
        <v>649</v>
      </c>
      <c r="G169" s="29" t="s">
        <v>405</v>
      </c>
      <c r="H169" s="30">
        <v>45005.0</v>
      </c>
      <c r="I169" s="30">
        <v>45370.0</v>
      </c>
      <c r="J169" s="31">
        <v>0.0</v>
      </c>
      <c r="K169" s="26" t="s">
        <v>352</v>
      </c>
      <c r="L169" s="69">
        <v>45264.0</v>
      </c>
      <c r="M169" s="33">
        <v>19617.5</v>
      </c>
      <c r="N169" s="34">
        <v>20915.95</v>
      </c>
      <c r="O169" s="27" t="s">
        <v>76</v>
      </c>
      <c r="P169" s="35" t="s">
        <v>142</v>
      </c>
      <c r="Q169" s="35" t="s">
        <v>90</v>
      </c>
      <c r="R169" s="36" t="e">
        <v>#VALUE!</v>
      </c>
      <c r="S169" s="35" t="s">
        <v>86</v>
      </c>
      <c r="T169" s="35">
        <v>0.0</v>
      </c>
      <c r="U169" s="37" t="s">
        <v>67</v>
      </c>
      <c r="V169" s="38"/>
      <c r="W169" s="38"/>
      <c r="X169" s="27"/>
      <c r="Y169" s="39"/>
      <c r="Z169" s="39"/>
      <c r="AA169" s="39"/>
      <c r="AB169" s="40"/>
      <c r="AC169" s="27">
        <f t="shared" si="84"/>
        <v>0</v>
      </c>
      <c r="AD169" s="41">
        <f t="shared" ref="AD169:AD170" si="110">IF(AND(S169="0",O169="Paid"),M169*15%,0)</f>
        <v>2942.625</v>
      </c>
      <c r="AE169" s="42"/>
      <c r="AF169" s="29">
        <v>45264.0</v>
      </c>
      <c r="AG169" s="43">
        <f t="shared" si="107"/>
        <v>5031.88875</v>
      </c>
      <c r="AH169" s="29"/>
      <c r="AI169" s="29"/>
      <c r="AJ169" s="29"/>
      <c r="AK169" s="29"/>
      <c r="AL169" s="27"/>
      <c r="AM169" s="44"/>
      <c r="AN169" s="47"/>
      <c r="AO169" s="46"/>
      <c r="AP169" s="47"/>
      <c r="AQ169" s="43">
        <f t="shared" si="108"/>
        <v>5296.725</v>
      </c>
      <c r="AR169" s="43">
        <f t="shared" si="2"/>
        <v>264.83625</v>
      </c>
      <c r="AS169" s="43">
        <f t="shared" si="3"/>
        <v>926.926875</v>
      </c>
      <c r="AT169" s="48">
        <f t="shared" si="4"/>
        <v>4104.961875</v>
      </c>
      <c r="AU169" s="49">
        <f t="shared" si="109"/>
        <v>4104.961875</v>
      </c>
      <c r="AV169" s="48"/>
      <c r="AW169" s="34">
        <f t="shared" si="5"/>
        <v>17973.325</v>
      </c>
      <c r="AX169" s="50">
        <f t="shared" si="6"/>
        <v>1162.336875</v>
      </c>
      <c r="AY169" s="43"/>
      <c r="AZ169" s="27"/>
      <c r="BA169" s="48">
        <f t="shared" si="105"/>
        <v>4104.961875</v>
      </c>
      <c r="BB169" s="27"/>
      <c r="BC169" s="27"/>
      <c r="BD169" s="51"/>
      <c r="BE169" s="52"/>
      <c r="BF169" s="27" t="s">
        <v>648</v>
      </c>
      <c r="BG169" s="53">
        <v>0.0</v>
      </c>
      <c r="BH169" s="53" t="str">
        <f>'[1]2023'!Q310</f>
        <v>#REF!</v>
      </c>
      <c r="BI169" s="27"/>
      <c r="BJ169" s="27"/>
      <c r="BK169" s="27" t="s">
        <v>76</v>
      </c>
      <c r="BL169" s="27"/>
    </row>
    <row r="170" ht="14.25" customHeight="1">
      <c r="A170" s="26" t="s">
        <v>55</v>
      </c>
      <c r="B170" s="26" t="s">
        <v>56</v>
      </c>
      <c r="C170" s="26" t="s">
        <v>57</v>
      </c>
      <c r="D170" s="26" t="s">
        <v>81</v>
      </c>
      <c r="E170" s="27" t="s">
        <v>650</v>
      </c>
      <c r="F170" s="26" t="s">
        <v>651</v>
      </c>
      <c r="G170" s="29" t="s">
        <v>405</v>
      </c>
      <c r="H170" s="30">
        <v>45005.0</v>
      </c>
      <c r="I170" s="30">
        <v>45370.0</v>
      </c>
      <c r="J170" s="31" t="s">
        <v>652</v>
      </c>
      <c r="K170" s="26" t="s">
        <v>352</v>
      </c>
      <c r="L170" s="73" t="s">
        <v>75</v>
      </c>
      <c r="M170" s="33">
        <v>20650.0</v>
      </c>
      <c r="N170" s="34">
        <v>22009.35</v>
      </c>
      <c r="O170" s="27" t="s">
        <v>76</v>
      </c>
      <c r="P170" s="35" t="s">
        <v>104</v>
      </c>
      <c r="Q170" s="35" t="s">
        <v>90</v>
      </c>
      <c r="R170" s="36" t="e">
        <v>#VALUE!</v>
      </c>
      <c r="S170" s="35" t="s">
        <v>86</v>
      </c>
      <c r="T170" s="35">
        <v>0.0</v>
      </c>
      <c r="U170" s="37" t="s">
        <v>67</v>
      </c>
      <c r="V170" s="38"/>
      <c r="W170" s="38"/>
      <c r="X170" s="27"/>
      <c r="Y170" s="39"/>
      <c r="Z170" s="39"/>
      <c r="AA170" s="39"/>
      <c r="AB170" s="40"/>
      <c r="AC170" s="27">
        <f t="shared" si="84"/>
        <v>0</v>
      </c>
      <c r="AD170" s="41">
        <f t="shared" si="110"/>
        <v>3097.5</v>
      </c>
      <c r="AE170" s="42"/>
      <c r="AF170" s="27"/>
      <c r="AG170" s="43">
        <f t="shared" si="107"/>
        <v>5296.725</v>
      </c>
      <c r="AH170" s="29"/>
      <c r="AI170" s="29"/>
      <c r="AJ170" s="29"/>
      <c r="AK170" s="75"/>
      <c r="AL170" s="44"/>
      <c r="AM170" s="44"/>
      <c r="AN170" s="68"/>
      <c r="AO170" s="46"/>
      <c r="AP170" s="47"/>
      <c r="AQ170" s="43">
        <f t="shared" si="108"/>
        <v>5575.5</v>
      </c>
      <c r="AR170" s="43">
        <f t="shared" si="2"/>
        <v>278.775</v>
      </c>
      <c r="AS170" s="43">
        <f t="shared" si="3"/>
        <v>975.7125</v>
      </c>
      <c r="AT170" s="48">
        <f t="shared" si="4"/>
        <v>4321.0125</v>
      </c>
      <c r="AU170" s="49">
        <f t="shared" si="109"/>
        <v>4321.0125</v>
      </c>
      <c r="AV170" s="48"/>
      <c r="AW170" s="34">
        <f t="shared" si="5"/>
        <v>18911.85</v>
      </c>
      <c r="AX170" s="50">
        <f t="shared" si="6"/>
        <v>1223.5125</v>
      </c>
      <c r="AY170" s="48"/>
      <c r="AZ170" s="27"/>
      <c r="BA170" s="48">
        <f t="shared" si="105"/>
        <v>4321.0125</v>
      </c>
      <c r="BB170" s="27"/>
      <c r="BC170" s="27"/>
      <c r="BD170" s="51"/>
      <c r="BE170" s="52"/>
      <c r="BF170" s="27" t="s">
        <v>650</v>
      </c>
      <c r="BG170" s="58" t="s">
        <v>653</v>
      </c>
      <c r="BH170" s="53" t="str">
        <f>'[1]2023'!Q314</f>
        <v>#REF!</v>
      </c>
      <c r="BI170" s="27"/>
      <c r="BJ170" s="27"/>
      <c r="BK170" s="27" t="s">
        <v>76</v>
      </c>
      <c r="BL170" s="27"/>
    </row>
    <row r="171" ht="14.25" customHeight="1">
      <c r="A171" s="26" t="s">
        <v>55</v>
      </c>
      <c r="B171" s="26" t="s">
        <v>56</v>
      </c>
      <c r="C171" s="26" t="s">
        <v>57</v>
      </c>
      <c r="D171" s="26" t="s">
        <v>81</v>
      </c>
      <c r="E171" s="27" t="s">
        <v>654</v>
      </c>
      <c r="F171" s="26" t="s">
        <v>655</v>
      </c>
      <c r="G171" s="29" t="s">
        <v>405</v>
      </c>
      <c r="H171" s="30">
        <v>45005.0</v>
      </c>
      <c r="I171" s="30">
        <v>45370.0</v>
      </c>
      <c r="J171" s="31">
        <v>0.0</v>
      </c>
      <c r="K171" s="26" t="s">
        <v>352</v>
      </c>
      <c r="L171" s="32" t="s">
        <v>63</v>
      </c>
      <c r="M171" s="33">
        <v>0.0</v>
      </c>
      <c r="N171" s="34">
        <v>0.0</v>
      </c>
      <c r="O171" s="27" t="s">
        <v>64</v>
      </c>
      <c r="P171" s="35">
        <v>0.0</v>
      </c>
      <c r="Q171" s="35" t="s">
        <v>90</v>
      </c>
      <c r="R171" s="36" t="e">
        <v>#VALUE!</v>
      </c>
      <c r="S171" s="35" t="s">
        <v>86</v>
      </c>
      <c r="T171" s="35">
        <v>0.0</v>
      </c>
      <c r="U171" s="37" t="s">
        <v>67</v>
      </c>
      <c r="V171" s="38"/>
      <c r="W171" s="38"/>
      <c r="X171" s="27"/>
      <c r="Y171" s="39"/>
      <c r="Z171" s="39"/>
      <c r="AA171" s="39"/>
      <c r="AB171" s="40"/>
      <c r="AC171" s="27">
        <f t="shared" si="84"/>
        <v>0</v>
      </c>
      <c r="AD171" s="41">
        <f>IF(AND(S171="0",O171="Paid"),(M171*15%)-AC171,0)</f>
        <v>0</v>
      </c>
      <c r="AE171" s="42"/>
      <c r="AF171" s="27"/>
      <c r="AG171" s="43">
        <f t="shared" si="107"/>
        <v>0</v>
      </c>
      <c r="AH171" s="29"/>
      <c r="AI171" s="29"/>
      <c r="AJ171" s="29"/>
      <c r="AK171" s="29"/>
      <c r="AL171" s="27"/>
      <c r="AM171" s="44"/>
      <c r="AN171" s="68"/>
      <c r="AO171" s="46"/>
      <c r="AP171" s="47"/>
      <c r="AQ171" s="43" t="b">
        <f>IF(O171="Paid",IF(U171="Motor Plus",(M171*27%),IF(U171="Motor One",(M171*22%),(IF(U171="Golden",(M171*25%),(IF(U171="Classic",(M171*15%),(IF(U171="Wethaq",(M171*28%),IF(U171="Alwataniya",(M171*21%))*0)))))))))</f>
        <v>0</v>
      </c>
      <c r="AR171" s="43">
        <f t="shared" si="2"/>
        <v>0</v>
      </c>
      <c r="AS171" s="43">
        <f t="shared" si="3"/>
        <v>0</v>
      </c>
      <c r="AT171" s="48">
        <f t="shared" si="4"/>
        <v>0</v>
      </c>
      <c r="AU171" s="49">
        <f t="shared" si="109"/>
        <v>0</v>
      </c>
      <c r="AV171" s="48"/>
      <c r="AW171" s="34">
        <f t="shared" si="5"/>
        <v>0</v>
      </c>
      <c r="AX171" s="50">
        <f t="shared" si="6"/>
        <v>0</v>
      </c>
      <c r="AY171" s="43"/>
      <c r="AZ171" s="27"/>
      <c r="BA171" s="48">
        <f t="shared" si="105"/>
        <v>0</v>
      </c>
      <c r="BB171" s="27"/>
      <c r="BC171" s="27"/>
      <c r="BD171" s="51"/>
      <c r="BE171" s="52"/>
      <c r="BF171" s="27" t="s">
        <v>654</v>
      </c>
      <c r="BG171" s="53">
        <v>0.0</v>
      </c>
      <c r="BH171" s="53" t="str">
        <f>'[1]2023'!Q322</f>
        <v>#REF!</v>
      </c>
      <c r="BI171" s="27"/>
      <c r="BJ171" s="27"/>
      <c r="BK171" s="27" t="s">
        <v>64</v>
      </c>
      <c r="BL171" s="27"/>
    </row>
    <row r="172" ht="14.25" customHeight="1">
      <c r="A172" s="26" t="s">
        <v>55</v>
      </c>
      <c r="B172" s="26" t="s">
        <v>56</v>
      </c>
      <c r="C172" s="26" t="s">
        <v>57</v>
      </c>
      <c r="D172" s="26" t="s">
        <v>81</v>
      </c>
      <c r="E172" s="27" t="s">
        <v>656</v>
      </c>
      <c r="F172" s="26" t="s">
        <v>657</v>
      </c>
      <c r="G172" s="29" t="s">
        <v>405</v>
      </c>
      <c r="H172" s="30">
        <v>45005.0</v>
      </c>
      <c r="I172" s="30">
        <v>45370.0</v>
      </c>
      <c r="J172" s="31">
        <v>0.0</v>
      </c>
      <c r="K172" s="26" t="s">
        <v>352</v>
      </c>
      <c r="L172" s="32" t="s">
        <v>305</v>
      </c>
      <c r="M172" s="33">
        <v>24521.88</v>
      </c>
      <c r="N172" s="34">
        <v>26109.66</v>
      </c>
      <c r="O172" s="27" t="s">
        <v>76</v>
      </c>
      <c r="P172" s="35" t="s">
        <v>142</v>
      </c>
      <c r="Q172" s="35" t="s">
        <v>90</v>
      </c>
      <c r="R172" s="36" t="e">
        <v>#VALUE!</v>
      </c>
      <c r="S172" s="35" t="s">
        <v>86</v>
      </c>
      <c r="T172" s="35">
        <v>0.0</v>
      </c>
      <c r="U172" s="37" t="s">
        <v>67</v>
      </c>
      <c r="V172" s="38"/>
      <c r="W172" s="38"/>
      <c r="X172" s="27"/>
      <c r="Y172" s="39"/>
      <c r="Z172" s="39"/>
      <c r="AA172" s="39"/>
      <c r="AB172" s="40"/>
      <c r="AC172" s="27">
        <f t="shared" si="84"/>
        <v>0</v>
      </c>
      <c r="AD172" s="41">
        <f t="shared" ref="AD172:AD176" si="111">IF(AND(S172="0",O172="Paid"),M172*15%,0)</f>
        <v>3678.282</v>
      </c>
      <c r="AE172" s="42"/>
      <c r="AF172" s="27" t="s">
        <v>306</v>
      </c>
      <c r="AG172" s="43">
        <f t="shared" si="107"/>
        <v>6289.86222</v>
      </c>
      <c r="AH172" s="29"/>
      <c r="AI172" s="29"/>
      <c r="AJ172" s="29"/>
      <c r="AK172" s="29"/>
      <c r="AL172" s="27"/>
      <c r="AM172" s="27"/>
      <c r="AN172" s="47"/>
      <c r="AO172" s="46"/>
      <c r="AP172" s="47"/>
      <c r="AQ172" s="43">
        <f t="shared" ref="AQ172:AQ176" si="112">IF(U172="Motor Plus",(M172*27%),IF(U172="Motor One",(M172*22%),(IF(U172="Golden",(M172*25%),(IF(U172="Classic",(M172*15%),(IF(U172="Wethaq",(M172*28%),IF(U172="Alwataniya",(M172*21%))*0))))))))</f>
        <v>6620.9076</v>
      </c>
      <c r="AR172" s="43">
        <f t="shared" si="2"/>
        <v>331.04538</v>
      </c>
      <c r="AS172" s="43">
        <f t="shared" si="3"/>
        <v>1158.65883</v>
      </c>
      <c r="AT172" s="48">
        <f t="shared" si="4"/>
        <v>5131.20339</v>
      </c>
      <c r="AU172" s="49">
        <f t="shared" si="109"/>
        <v>5131.20339</v>
      </c>
      <c r="AV172" s="48"/>
      <c r="AW172" s="82">
        <f t="shared" si="5"/>
        <v>22431.378</v>
      </c>
      <c r="AX172" s="50">
        <f t="shared" si="6"/>
        <v>1452.92139</v>
      </c>
      <c r="AY172" s="43"/>
      <c r="AZ172" s="27"/>
      <c r="BA172" s="48">
        <f t="shared" si="105"/>
        <v>5131.20339</v>
      </c>
      <c r="BB172" s="27"/>
      <c r="BC172" s="27"/>
      <c r="BD172" s="51"/>
      <c r="BE172" s="52"/>
      <c r="BF172" s="27" t="s">
        <v>656</v>
      </c>
      <c r="BG172" s="53">
        <v>0.0</v>
      </c>
      <c r="BH172" s="53" t="str">
        <f>'[1]2023'!Q352</f>
        <v>#REF!</v>
      </c>
      <c r="BI172" s="27"/>
      <c r="BJ172" s="27"/>
      <c r="BK172" s="27" t="s">
        <v>76</v>
      </c>
      <c r="BL172" s="27"/>
    </row>
    <row r="173" ht="14.25" customHeight="1">
      <c r="A173" s="26" t="s">
        <v>55</v>
      </c>
      <c r="B173" s="26" t="s">
        <v>56</v>
      </c>
      <c r="C173" s="26" t="s">
        <v>57</v>
      </c>
      <c r="D173" s="26" t="s">
        <v>58</v>
      </c>
      <c r="E173" s="27" t="s">
        <v>658</v>
      </c>
      <c r="F173" s="26" t="s">
        <v>659</v>
      </c>
      <c r="G173" s="29" t="s">
        <v>405</v>
      </c>
      <c r="H173" s="30">
        <v>45005.0</v>
      </c>
      <c r="I173" s="30">
        <v>45370.0</v>
      </c>
      <c r="J173" s="31" t="s">
        <v>660</v>
      </c>
      <c r="K173" s="26" t="s">
        <v>352</v>
      </c>
      <c r="L173" s="69">
        <v>45264.0</v>
      </c>
      <c r="M173" s="33">
        <v>4224.93</v>
      </c>
      <c r="N173" s="34">
        <v>4474.2</v>
      </c>
      <c r="O173" s="27" t="s">
        <v>76</v>
      </c>
      <c r="P173" s="35" t="s">
        <v>162</v>
      </c>
      <c r="Q173" s="35" t="s">
        <v>90</v>
      </c>
      <c r="R173" s="36" t="e">
        <v>#VALUE!</v>
      </c>
      <c r="S173" s="35" t="s">
        <v>86</v>
      </c>
      <c r="T173" s="35">
        <v>0.0</v>
      </c>
      <c r="U173" s="37" t="s">
        <v>67</v>
      </c>
      <c r="V173" s="38"/>
      <c r="W173" s="38"/>
      <c r="X173" s="27"/>
      <c r="Y173" s="39"/>
      <c r="Z173" s="39"/>
      <c r="AA173" s="39"/>
      <c r="AB173" s="40"/>
      <c r="AC173" s="27">
        <f t="shared" si="84"/>
        <v>0</v>
      </c>
      <c r="AD173" s="41">
        <f t="shared" si="111"/>
        <v>633.7395</v>
      </c>
      <c r="AE173" s="42"/>
      <c r="AF173" s="27"/>
      <c r="AG173" s="43">
        <f t="shared" si="107"/>
        <v>1083.694545</v>
      </c>
      <c r="AH173" s="29"/>
      <c r="AI173" s="29"/>
      <c r="AJ173" s="29"/>
      <c r="AK173" s="29"/>
      <c r="AL173" s="27"/>
      <c r="AM173" s="44"/>
      <c r="AN173" s="68"/>
      <c r="AO173" s="46"/>
      <c r="AP173" s="47"/>
      <c r="AQ173" s="43">
        <f t="shared" si="112"/>
        <v>1140.7311</v>
      </c>
      <c r="AR173" s="43">
        <f t="shared" si="2"/>
        <v>57.036555</v>
      </c>
      <c r="AS173" s="43">
        <f t="shared" si="3"/>
        <v>199.6279425</v>
      </c>
      <c r="AT173" s="48">
        <f t="shared" si="4"/>
        <v>884.0666025</v>
      </c>
      <c r="AU173" s="49">
        <f t="shared" si="109"/>
        <v>884.0666025</v>
      </c>
      <c r="AV173" s="48"/>
      <c r="AW173" s="34">
        <f t="shared" si="5"/>
        <v>3840.4605</v>
      </c>
      <c r="AX173" s="50">
        <f t="shared" si="6"/>
        <v>250.3271025</v>
      </c>
      <c r="AY173" s="43"/>
      <c r="AZ173" s="27"/>
      <c r="BA173" s="48">
        <f t="shared" si="105"/>
        <v>884.0666025</v>
      </c>
      <c r="BB173" s="27"/>
      <c r="BC173" s="27"/>
      <c r="BD173" s="51"/>
      <c r="BE173" s="52"/>
      <c r="BF173" s="27" t="s">
        <v>661</v>
      </c>
      <c r="BG173" s="58" t="s">
        <v>662</v>
      </c>
      <c r="BH173" s="53" t="str">
        <f>'[1]2023'!Q377</f>
        <v>#REF!</v>
      </c>
      <c r="BI173" s="27"/>
      <c r="BJ173" s="27"/>
      <c r="BK173" s="27" t="s">
        <v>76</v>
      </c>
      <c r="BL173" s="27"/>
    </row>
    <row r="174" ht="14.25" customHeight="1">
      <c r="A174" s="26" t="s">
        <v>55</v>
      </c>
      <c r="B174" s="26" t="s">
        <v>56</v>
      </c>
      <c r="C174" s="26" t="s">
        <v>57</v>
      </c>
      <c r="D174" s="26" t="s">
        <v>81</v>
      </c>
      <c r="E174" s="27" t="s">
        <v>663</v>
      </c>
      <c r="F174" s="28" t="s">
        <v>664</v>
      </c>
      <c r="G174" s="29" t="s">
        <v>405</v>
      </c>
      <c r="H174" s="30">
        <v>45005.0</v>
      </c>
      <c r="I174" s="30">
        <v>45370.0</v>
      </c>
      <c r="J174" s="31">
        <v>0.0</v>
      </c>
      <c r="K174" s="26" t="s">
        <v>352</v>
      </c>
      <c r="L174" s="32" t="s">
        <v>305</v>
      </c>
      <c r="M174" s="33">
        <v>19617.5</v>
      </c>
      <c r="N174" s="34">
        <v>20915.95</v>
      </c>
      <c r="O174" s="27" t="s">
        <v>76</v>
      </c>
      <c r="P174" s="35" t="s">
        <v>142</v>
      </c>
      <c r="Q174" s="35" t="s">
        <v>90</v>
      </c>
      <c r="R174" s="36" t="e">
        <v>#VALUE!</v>
      </c>
      <c r="S174" s="35" t="s">
        <v>86</v>
      </c>
      <c r="T174" s="35">
        <v>0.0</v>
      </c>
      <c r="U174" s="37" t="s">
        <v>67</v>
      </c>
      <c r="V174" s="38"/>
      <c r="W174" s="38"/>
      <c r="X174" s="27"/>
      <c r="Y174" s="39"/>
      <c r="Z174" s="79" t="s">
        <v>407</v>
      </c>
      <c r="AA174" s="39"/>
      <c r="AB174" s="40"/>
      <c r="AC174" s="27">
        <f t="shared" si="84"/>
        <v>0</v>
      </c>
      <c r="AD174" s="41">
        <f t="shared" si="111"/>
        <v>2942.625</v>
      </c>
      <c r="AE174" s="42"/>
      <c r="AF174" s="27" t="s">
        <v>306</v>
      </c>
      <c r="AG174" s="43">
        <f t="shared" si="107"/>
        <v>5031.88875</v>
      </c>
      <c r="AH174" s="29"/>
      <c r="AI174" s="29"/>
      <c r="AJ174" s="29"/>
      <c r="AK174" s="29"/>
      <c r="AL174" s="27"/>
      <c r="AM174" s="44"/>
      <c r="AN174" s="47"/>
      <c r="AO174" s="46"/>
      <c r="AP174" s="47"/>
      <c r="AQ174" s="43">
        <f t="shared" si="112"/>
        <v>5296.725</v>
      </c>
      <c r="AR174" s="43">
        <f t="shared" si="2"/>
        <v>264.83625</v>
      </c>
      <c r="AS174" s="43">
        <f t="shared" si="3"/>
        <v>926.926875</v>
      </c>
      <c r="AT174" s="48">
        <f t="shared" si="4"/>
        <v>4104.961875</v>
      </c>
      <c r="AU174" s="49">
        <f t="shared" si="109"/>
        <v>4104.961875</v>
      </c>
      <c r="AV174" s="48"/>
      <c r="AW174" s="82">
        <f t="shared" si="5"/>
        <v>17973.325</v>
      </c>
      <c r="AX174" s="50">
        <f t="shared" si="6"/>
        <v>1162.336875</v>
      </c>
      <c r="AY174" s="43"/>
      <c r="AZ174" s="27"/>
      <c r="BA174" s="48">
        <f t="shared" si="105"/>
        <v>4104.961875</v>
      </c>
      <c r="BB174" s="27"/>
      <c r="BC174" s="27"/>
      <c r="BD174" s="51"/>
      <c r="BE174" s="52"/>
      <c r="BF174" s="27" t="s">
        <v>663</v>
      </c>
      <c r="BG174" s="53">
        <v>0.0</v>
      </c>
      <c r="BH174" s="53" t="str">
        <f>'[1]2023'!Q384</f>
        <v>#REF!</v>
      </c>
      <c r="BI174" s="27"/>
      <c r="BJ174" s="27"/>
      <c r="BK174" s="27" t="s">
        <v>76</v>
      </c>
      <c r="BL174" s="27"/>
    </row>
    <row r="175" ht="14.25" customHeight="1">
      <c r="A175" s="26" t="s">
        <v>111</v>
      </c>
      <c r="B175" s="26" t="s">
        <v>56</v>
      </c>
      <c r="C175" s="26" t="s">
        <v>57</v>
      </c>
      <c r="D175" s="26" t="s">
        <v>71</v>
      </c>
      <c r="E175" s="27" t="s">
        <v>665</v>
      </c>
      <c r="F175" s="28" t="s">
        <v>666</v>
      </c>
      <c r="G175" s="29" t="s">
        <v>405</v>
      </c>
      <c r="H175" s="30">
        <v>45005.0</v>
      </c>
      <c r="I175" s="30">
        <v>45370.0</v>
      </c>
      <c r="J175" s="88" t="s">
        <v>461</v>
      </c>
      <c r="K175" s="26" t="s">
        <v>352</v>
      </c>
      <c r="L175" s="32" t="s">
        <v>75</v>
      </c>
      <c r="M175" s="33">
        <v>38000.0</v>
      </c>
      <c r="N175" s="34">
        <v>40498.0</v>
      </c>
      <c r="O175" s="27" t="s">
        <v>76</v>
      </c>
      <c r="P175" s="35" t="s">
        <v>89</v>
      </c>
      <c r="Q175" s="35">
        <v>0.0</v>
      </c>
      <c r="R175" s="36" t="e">
        <v>#VALUE!</v>
      </c>
      <c r="S175" s="35" t="s">
        <v>78</v>
      </c>
      <c r="T175" s="35">
        <v>0.0</v>
      </c>
      <c r="U175" s="37" t="s">
        <v>149</v>
      </c>
      <c r="V175" s="38">
        <v>1900000.0</v>
      </c>
      <c r="W175" s="38"/>
      <c r="X175" s="27"/>
      <c r="Y175" s="39"/>
      <c r="Z175" s="79" t="s">
        <v>667</v>
      </c>
      <c r="AA175" s="39"/>
      <c r="AB175" s="40"/>
      <c r="AC175" s="27">
        <f t="shared" si="84"/>
        <v>0</v>
      </c>
      <c r="AD175" s="41">
        <f t="shared" si="111"/>
        <v>0</v>
      </c>
      <c r="AE175" s="42"/>
      <c r="AF175" s="27"/>
      <c r="AG175" s="43">
        <f t="shared" ref="AG175:AG178" si="113">IF(AND(O175="Paid",A175="GIG"),((M175*15%)-(((M175*15%)*5%))),0)</f>
        <v>5415</v>
      </c>
      <c r="AH175" s="29" t="s">
        <v>75</v>
      </c>
      <c r="AI175" s="105" t="s">
        <v>668</v>
      </c>
      <c r="AJ175" s="40"/>
      <c r="AK175" s="62" t="s">
        <v>63</v>
      </c>
      <c r="AL175" s="27"/>
      <c r="AM175" s="44"/>
      <c r="AN175" s="47"/>
      <c r="AO175" s="46"/>
      <c r="AP175" s="47"/>
      <c r="AQ175" s="43">
        <f t="shared" si="112"/>
        <v>5700</v>
      </c>
      <c r="AR175" s="43">
        <f t="shared" si="2"/>
        <v>285</v>
      </c>
      <c r="AS175" s="43">
        <f t="shared" si="3"/>
        <v>997.5</v>
      </c>
      <c r="AT175" s="48">
        <f t="shared" si="4"/>
        <v>4417.5</v>
      </c>
      <c r="AU175" s="49">
        <f t="shared" si="109"/>
        <v>4417.5</v>
      </c>
      <c r="AV175" s="48"/>
      <c r="AW175" s="34">
        <f t="shared" si="5"/>
        <v>40498</v>
      </c>
      <c r="AX175" s="50">
        <f t="shared" si="6"/>
        <v>4417.5</v>
      </c>
      <c r="AY175" s="43"/>
      <c r="AZ175" s="27"/>
      <c r="BA175" s="48">
        <f t="shared" si="105"/>
        <v>4417.5</v>
      </c>
      <c r="BB175" s="27"/>
      <c r="BC175" s="27"/>
      <c r="BD175" s="51"/>
      <c r="BE175" s="52"/>
      <c r="BF175" s="77" t="s">
        <v>669</v>
      </c>
      <c r="BG175" s="53">
        <v>0.0</v>
      </c>
      <c r="BH175" s="53" t="str">
        <f t="shared" ref="BH175:BH176" si="114">'[1]2023'!Q386</f>
        <v>#REF!</v>
      </c>
      <c r="BI175" s="27"/>
      <c r="BJ175" s="27"/>
      <c r="BK175" s="27" t="s">
        <v>76</v>
      </c>
      <c r="BL175" s="27"/>
    </row>
    <row r="176" ht="14.25" customHeight="1">
      <c r="A176" s="26" t="s">
        <v>111</v>
      </c>
      <c r="B176" s="26" t="s">
        <v>56</v>
      </c>
      <c r="C176" s="26" t="s">
        <v>57</v>
      </c>
      <c r="D176" s="26" t="s">
        <v>71</v>
      </c>
      <c r="E176" s="27" t="s">
        <v>670</v>
      </c>
      <c r="F176" s="28" t="s">
        <v>666</v>
      </c>
      <c r="G176" s="29" t="s">
        <v>405</v>
      </c>
      <c r="H176" s="30">
        <v>45005.0</v>
      </c>
      <c r="I176" s="30">
        <v>45370.0</v>
      </c>
      <c r="J176" s="88" t="s">
        <v>461</v>
      </c>
      <c r="K176" s="26" t="s">
        <v>352</v>
      </c>
      <c r="L176" s="32" t="s">
        <v>75</v>
      </c>
      <c r="M176" s="33">
        <v>20000.0</v>
      </c>
      <c r="N176" s="34">
        <v>21436.0</v>
      </c>
      <c r="O176" s="27" t="s">
        <v>76</v>
      </c>
      <c r="P176" s="35" t="s">
        <v>89</v>
      </c>
      <c r="Q176" s="35">
        <v>0.0</v>
      </c>
      <c r="R176" s="36" t="e">
        <v>#VALUE!</v>
      </c>
      <c r="S176" s="35" t="s">
        <v>78</v>
      </c>
      <c r="T176" s="35">
        <v>0.0</v>
      </c>
      <c r="U176" s="37" t="s">
        <v>149</v>
      </c>
      <c r="V176" s="38">
        <v>1000000.0</v>
      </c>
      <c r="W176" s="38"/>
      <c r="X176" s="27"/>
      <c r="Y176" s="39"/>
      <c r="Z176" s="79" t="s">
        <v>671</v>
      </c>
      <c r="AA176" s="39"/>
      <c r="AB176" s="40"/>
      <c r="AC176" s="27">
        <f t="shared" si="84"/>
        <v>0</v>
      </c>
      <c r="AD176" s="41">
        <f t="shared" si="111"/>
        <v>0</v>
      </c>
      <c r="AE176" s="42"/>
      <c r="AF176" s="27"/>
      <c r="AG176" s="43">
        <f t="shared" si="113"/>
        <v>2850</v>
      </c>
      <c r="AH176" s="29" t="s">
        <v>75</v>
      </c>
      <c r="AI176" s="105" t="s">
        <v>668</v>
      </c>
      <c r="AJ176" s="40"/>
      <c r="AK176" s="62" t="s">
        <v>63</v>
      </c>
      <c r="AL176" s="27"/>
      <c r="AM176" s="44"/>
      <c r="AN176" s="47"/>
      <c r="AO176" s="46"/>
      <c r="AP176" s="47"/>
      <c r="AQ176" s="43">
        <f t="shared" si="112"/>
        <v>3000</v>
      </c>
      <c r="AR176" s="43">
        <f t="shared" si="2"/>
        <v>150</v>
      </c>
      <c r="AS176" s="43">
        <f t="shared" si="3"/>
        <v>525</v>
      </c>
      <c r="AT176" s="48">
        <f t="shared" si="4"/>
        <v>2325</v>
      </c>
      <c r="AU176" s="49">
        <f t="shared" si="109"/>
        <v>2325</v>
      </c>
      <c r="AV176" s="48"/>
      <c r="AW176" s="34">
        <f t="shared" si="5"/>
        <v>21436</v>
      </c>
      <c r="AX176" s="50">
        <f t="shared" si="6"/>
        <v>2325</v>
      </c>
      <c r="AY176" s="43"/>
      <c r="AZ176" s="27"/>
      <c r="BA176" s="48">
        <f t="shared" si="105"/>
        <v>2325</v>
      </c>
      <c r="BB176" s="27"/>
      <c r="BC176" s="27"/>
      <c r="BD176" s="51"/>
      <c r="BE176" s="52"/>
      <c r="BF176" s="77" t="s">
        <v>672</v>
      </c>
      <c r="BG176" s="53">
        <v>0.0</v>
      </c>
      <c r="BH176" s="53" t="str">
        <f t="shared" si="114"/>
        <v>#REF!</v>
      </c>
      <c r="BI176" s="27"/>
      <c r="BJ176" s="27"/>
      <c r="BK176" s="27" t="s">
        <v>76</v>
      </c>
      <c r="BL176" s="27"/>
    </row>
    <row r="177" ht="14.25" customHeight="1">
      <c r="A177" s="26" t="s">
        <v>111</v>
      </c>
      <c r="B177" s="26" t="s">
        <v>56</v>
      </c>
      <c r="C177" s="26" t="s">
        <v>57</v>
      </c>
      <c r="D177" s="26" t="s">
        <v>71</v>
      </c>
      <c r="E177" s="27" t="s">
        <v>673</v>
      </c>
      <c r="F177" s="28" t="s">
        <v>674</v>
      </c>
      <c r="G177" s="29" t="s">
        <v>405</v>
      </c>
      <c r="H177" s="30">
        <v>45005.0</v>
      </c>
      <c r="I177" s="30">
        <v>45370.0</v>
      </c>
      <c r="J177" s="31" t="s">
        <v>675</v>
      </c>
      <c r="K177" s="26" t="s">
        <v>352</v>
      </c>
      <c r="L177" s="32" t="s">
        <v>63</v>
      </c>
      <c r="M177" s="33">
        <v>12053.07</v>
      </c>
      <c r="N177" s="34">
        <v>13020.0</v>
      </c>
      <c r="O177" s="27" t="s">
        <v>64</v>
      </c>
      <c r="P177" s="35">
        <v>0.0</v>
      </c>
      <c r="Q177" s="35" t="s">
        <v>114</v>
      </c>
      <c r="R177" s="36" t="e">
        <v>#VALUE!</v>
      </c>
      <c r="S177" s="35" t="s">
        <v>676</v>
      </c>
      <c r="T177" s="35">
        <v>0.0</v>
      </c>
      <c r="U177" s="37" t="s">
        <v>149</v>
      </c>
      <c r="V177" s="38">
        <v>600000.0</v>
      </c>
      <c r="W177" s="38"/>
      <c r="X177" s="27"/>
      <c r="Y177" s="39"/>
      <c r="Z177" s="79" t="s">
        <v>677</v>
      </c>
      <c r="AA177" s="39"/>
      <c r="AB177" s="40"/>
      <c r="AC177" s="27">
        <f t="shared" si="84"/>
        <v>0</v>
      </c>
      <c r="AD177" s="41">
        <f t="shared" ref="AD177:AD179" si="115">IF(AND(S177="0",O177="Paid"),(M177*15%)-AC177,0)</f>
        <v>0</v>
      </c>
      <c r="AE177" s="42"/>
      <c r="AF177" s="27"/>
      <c r="AG177" s="43">
        <f t="shared" si="113"/>
        <v>0</v>
      </c>
      <c r="AH177" s="29"/>
      <c r="AI177" s="29" t="s">
        <v>63</v>
      </c>
      <c r="AJ177" s="29"/>
      <c r="AK177" s="29"/>
      <c r="AL177" s="27"/>
      <c r="AM177" s="44"/>
      <c r="AN177" s="47"/>
      <c r="AO177" s="46"/>
      <c r="AP177" s="47"/>
      <c r="AQ177" s="43" t="b">
        <f>IF(O177="Paid",IF(U177="Motor Plus",(M177*27%),IF(U177="Motor One",(M177*22%),(IF(U177="Golden",(M177*25%),(IF(U177="Classic",(M177*15%),(IF(U177="Wethaq",(M177*28%),IF(U177="Alwataniya",(M177*21%))*0)))))))))</f>
        <v>0</v>
      </c>
      <c r="AR177" s="43">
        <f t="shared" si="2"/>
        <v>0</v>
      </c>
      <c r="AS177" s="43">
        <f t="shared" si="3"/>
        <v>0</v>
      </c>
      <c r="AT177" s="48">
        <f t="shared" si="4"/>
        <v>0</v>
      </c>
      <c r="AU177" s="49">
        <f t="shared" si="109"/>
        <v>0</v>
      </c>
      <c r="AV177" s="48"/>
      <c r="AW177" s="34">
        <f t="shared" si="5"/>
        <v>13020</v>
      </c>
      <c r="AX177" s="50">
        <f t="shared" si="6"/>
        <v>0</v>
      </c>
      <c r="AY177" s="43"/>
      <c r="AZ177" s="27"/>
      <c r="BA177" s="48">
        <f t="shared" si="105"/>
        <v>0</v>
      </c>
      <c r="BB177" s="27"/>
      <c r="BC177" s="27"/>
      <c r="BD177" s="51"/>
      <c r="BE177" s="52"/>
      <c r="BF177" s="27" t="s">
        <v>678</v>
      </c>
      <c r="BG177" s="58" t="s">
        <v>679</v>
      </c>
      <c r="BH177" s="53" t="str">
        <f>'[1]2023'!Q389</f>
        <v>#REF!</v>
      </c>
      <c r="BI177" s="27"/>
      <c r="BJ177" s="27"/>
      <c r="BK177" s="27" t="s">
        <v>64</v>
      </c>
      <c r="BL177" s="27"/>
    </row>
    <row r="178" ht="14.25" customHeight="1">
      <c r="A178" s="26" t="s">
        <v>111</v>
      </c>
      <c r="B178" s="26" t="s">
        <v>56</v>
      </c>
      <c r="C178" s="26" t="s">
        <v>57</v>
      </c>
      <c r="D178" s="26" t="s">
        <v>71</v>
      </c>
      <c r="E178" s="27" t="s">
        <v>680</v>
      </c>
      <c r="F178" s="28" t="s">
        <v>681</v>
      </c>
      <c r="G178" s="29" t="s">
        <v>405</v>
      </c>
      <c r="H178" s="30">
        <v>45005.0</v>
      </c>
      <c r="I178" s="30">
        <v>45370.0</v>
      </c>
      <c r="J178" s="31" t="s">
        <v>682</v>
      </c>
      <c r="K178" s="26" t="s">
        <v>352</v>
      </c>
      <c r="L178" s="32" t="s">
        <v>75</v>
      </c>
      <c r="M178" s="33">
        <v>12053.07</v>
      </c>
      <c r="N178" s="34">
        <v>13020.0</v>
      </c>
      <c r="O178" s="27" t="s">
        <v>76</v>
      </c>
      <c r="P178" s="35" t="s">
        <v>509</v>
      </c>
      <c r="Q178" s="35" t="s">
        <v>114</v>
      </c>
      <c r="R178" s="36" t="e">
        <v>#VALUE!</v>
      </c>
      <c r="S178" s="35" t="s">
        <v>683</v>
      </c>
      <c r="T178" s="35">
        <v>0.0</v>
      </c>
      <c r="U178" s="37" t="s">
        <v>149</v>
      </c>
      <c r="V178" s="38">
        <v>600000.0</v>
      </c>
      <c r="W178" s="38"/>
      <c r="X178" s="27"/>
      <c r="Y178" s="39"/>
      <c r="Z178" s="79" t="s">
        <v>684</v>
      </c>
      <c r="AA178" s="39"/>
      <c r="AB178" s="40"/>
      <c r="AC178" s="27">
        <f t="shared" si="84"/>
        <v>0</v>
      </c>
      <c r="AD178" s="41">
        <f t="shared" si="115"/>
        <v>0</v>
      </c>
      <c r="AE178" s="42"/>
      <c r="AF178" s="27"/>
      <c r="AG178" s="43">
        <f t="shared" si="113"/>
        <v>1717.562475</v>
      </c>
      <c r="AH178" s="29" t="s">
        <v>75</v>
      </c>
      <c r="AI178" s="61" t="s">
        <v>75</v>
      </c>
      <c r="AJ178" s="40"/>
      <c r="AK178" s="62" t="s">
        <v>63</v>
      </c>
      <c r="AL178" s="27"/>
      <c r="AM178" s="44">
        <v>140.0</v>
      </c>
      <c r="AN178" s="47" t="s">
        <v>75</v>
      </c>
      <c r="AO178" s="46"/>
      <c r="AP178" s="47"/>
      <c r="AQ178" s="43">
        <f>M178*15%</f>
        <v>1807.9605</v>
      </c>
      <c r="AR178" s="43">
        <f t="shared" si="2"/>
        <v>90.398025</v>
      </c>
      <c r="AS178" s="43">
        <f t="shared" si="3"/>
        <v>316.3930875</v>
      </c>
      <c r="AT178" s="48">
        <f t="shared" si="4"/>
        <v>1401.169388</v>
      </c>
      <c r="AU178" s="48">
        <f>AQ178-AR178-AS178</f>
        <v>1401.169388</v>
      </c>
      <c r="AV178" s="106">
        <f>BA178*10%</f>
        <v>126.1169388</v>
      </c>
      <c r="AW178" s="34">
        <f t="shared" si="5"/>
        <v>13020</v>
      </c>
      <c r="AX178" s="50">
        <f t="shared" si="6"/>
        <v>1135.052449</v>
      </c>
      <c r="AY178" s="43"/>
      <c r="AZ178" s="27"/>
      <c r="BA178" s="48">
        <f t="shared" si="105"/>
        <v>1261.169388</v>
      </c>
      <c r="BB178" s="27"/>
      <c r="BC178" s="27"/>
      <c r="BD178" s="51"/>
      <c r="BE178" s="52"/>
      <c r="BF178" s="77" t="s">
        <v>685</v>
      </c>
      <c r="BG178" s="58" t="s">
        <v>686</v>
      </c>
      <c r="BH178" s="53" t="str">
        <f>'[1]2023'!Q393</f>
        <v>#REF!</v>
      </c>
      <c r="BI178" s="27"/>
      <c r="BJ178" s="27"/>
      <c r="BK178" s="27" t="s">
        <v>76</v>
      </c>
      <c r="BL178" s="27"/>
    </row>
    <row r="179" ht="14.25" customHeight="1">
      <c r="A179" s="26" t="s">
        <v>55</v>
      </c>
      <c r="B179" s="26" t="s">
        <v>56</v>
      </c>
      <c r="C179" s="26" t="s">
        <v>57</v>
      </c>
      <c r="D179" s="26" t="s">
        <v>58</v>
      </c>
      <c r="E179" s="27" t="s">
        <v>687</v>
      </c>
      <c r="F179" s="28" t="s">
        <v>688</v>
      </c>
      <c r="G179" s="29">
        <v>45005.0</v>
      </c>
      <c r="H179" s="30">
        <v>45005.0</v>
      </c>
      <c r="I179" s="30">
        <v>45370.0</v>
      </c>
      <c r="J179" s="31">
        <v>0.0</v>
      </c>
      <c r="K179" s="26" t="s">
        <v>455</v>
      </c>
      <c r="L179" s="32" t="s">
        <v>63</v>
      </c>
      <c r="M179" s="33">
        <v>0.0</v>
      </c>
      <c r="N179" s="34">
        <v>0.0</v>
      </c>
      <c r="O179" s="27" t="s">
        <v>64</v>
      </c>
      <c r="P179" s="35">
        <v>0.0</v>
      </c>
      <c r="Q179" s="35">
        <v>0.0</v>
      </c>
      <c r="R179" s="36">
        <v>45005.0</v>
      </c>
      <c r="S179" s="35" t="s">
        <v>86</v>
      </c>
      <c r="T179" s="35">
        <v>0.0</v>
      </c>
      <c r="U179" s="37">
        <v>0.0</v>
      </c>
      <c r="V179" s="38"/>
      <c r="W179" s="38"/>
      <c r="X179" s="27"/>
      <c r="Y179" s="39"/>
      <c r="Z179" s="39"/>
      <c r="AA179" s="39"/>
      <c r="AB179" s="27"/>
      <c r="AC179" s="27">
        <f t="shared" si="84"/>
        <v>0</v>
      </c>
      <c r="AD179" s="41">
        <f t="shared" si="115"/>
        <v>0</v>
      </c>
      <c r="AE179" s="42"/>
      <c r="AF179" s="27"/>
      <c r="AG179" s="43">
        <f t="shared" ref="AG179:AG183" si="116">IF(O179="Paid",IF(A179="Alwataniya",(M179*21%)-((M179*21%)*5%),IF((A179="GIG"),(M179*25%)-((M179*25%)*5%),IF((A179="Allianz"),(M179*27%)-((M179*27%)*5%),0))),0)</f>
        <v>0</v>
      </c>
      <c r="AH179" s="29"/>
      <c r="AI179" s="29"/>
      <c r="AJ179" s="29"/>
      <c r="AK179" s="29"/>
      <c r="AL179" s="27"/>
      <c r="AM179" s="44"/>
      <c r="AN179" s="47"/>
      <c r="AO179" s="46"/>
      <c r="AP179" s="47"/>
      <c r="AQ179" s="43" t="b">
        <f>IF(O179="Paid",IF(U179="Motor Plus",(M179*27%),IF(U179="Motor One",(M179*22%),(IF(U179="Golden",(M179*25%),(IF(U179="Classic",(M179*15%),(IF(U179="Wethaq",(M179*28%),IF(U179="Alwataniya",(M179*21%))*0)))))))))</f>
        <v>0</v>
      </c>
      <c r="AR179" s="43">
        <f t="shared" si="2"/>
        <v>0</v>
      </c>
      <c r="AS179" s="43">
        <f t="shared" si="3"/>
        <v>0</v>
      </c>
      <c r="AT179" s="48">
        <f t="shared" si="4"/>
        <v>0</v>
      </c>
      <c r="AU179" s="49">
        <f>AQ179-AR179-AS179-AC179-AO179</f>
        <v>0</v>
      </c>
      <c r="AV179" s="48"/>
      <c r="AW179" s="34">
        <f t="shared" si="5"/>
        <v>0</v>
      </c>
      <c r="AX179" s="50">
        <f t="shared" si="6"/>
        <v>0</v>
      </c>
      <c r="AY179" s="43"/>
      <c r="AZ179" s="47"/>
      <c r="BA179" s="48">
        <f t="shared" si="105"/>
        <v>0</v>
      </c>
      <c r="BB179" s="27"/>
      <c r="BC179" s="27"/>
      <c r="BD179" s="51"/>
      <c r="BE179" s="52"/>
      <c r="BF179" s="27" t="s">
        <v>687</v>
      </c>
      <c r="BG179" s="53">
        <v>0.0</v>
      </c>
      <c r="BH179" s="53" t="str">
        <f>'[1]2023'!Q1161</f>
        <v>#REF!</v>
      </c>
      <c r="BI179" s="27"/>
      <c r="BJ179" s="27"/>
      <c r="BK179" s="27" t="s">
        <v>64</v>
      </c>
      <c r="BL179" s="27"/>
    </row>
    <row r="180" ht="14.25" customHeight="1">
      <c r="A180" s="26" t="s">
        <v>55</v>
      </c>
      <c r="B180" s="26" t="s">
        <v>56</v>
      </c>
      <c r="C180" s="26" t="s">
        <v>57</v>
      </c>
      <c r="D180" s="26" t="s">
        <v>81</v>
      </c>
      <c r="E180" s="27" t="s">
        <v>689</v>
      </c>
      <c r="F180" s="28" t="s">
        <v>690</v>
      </c>
      <c r="G180" s="29" t="s">
        <v>691</v>
      </c>
      <c r="H180" s="30">
        <v>45006.0</v>
      </c>
      <c r="I180" s="30">
        <v>45371.0</v>
      </c>
      <c r="J180" s="31" t="s">
        <v>692</v>
      </c>
      <c r="K180" s="26" t="s">
        <v>352</v>
      </c>
      <c r="L180" s="32" t="s">
        <v>75</v>
      </c>
      <c r="M180" s="33">
        <v>13241.81</v>
      </c>
      <c r="N180" s="34">
        <v>14164.07</v>
      </c>
      <c r="O180" s="27" t="s">
        <v>76</v>
      </c>
      <c r="P180" s="35" t="s">
        <v>89</v>
      </c>
      <c r="Q180" s="35" t="s">
        <v>90</v>
      </c>
      <c r="R180" s="36" t="e">
        <v>#VALUE!</v>
      </c>
      <c r="S180" s="35" t="s">
        <v>86</v>
      </c>
      <c r="T180" s="35">
        <v>0.0</v>
      </c>
      <c r="U180" s="37" t="s">
        <v>67</v>
      </c>
      <c r="V180" s="38"/>
      <c r="W180" s="38"/>
      <c r="X180" s="27"/>
      <c r="Y180" s="39"/>
      <c r="Z180" s="79" t="s">
        <v>208</v>
      </c>
      <c r="AA180" s="39"/>
      <c r="AB180" s="40"/>
      <c r="AC180" s="27">
        <f t="shared" si="84"/>
        <v>0</v>
      </c>
      <c r="AD180" s="41">
        <f t="shared" ref="AD180:AD183" si="117">IF(AND(S180="0",O180="Paid"),M180*15%,0)</f>
        <v>1986.2715</v>
      </c>
      <c r="AE180" s="42"/>
      <c r="AF180" s="27"/>
      <c r="AG180" s="43">
        <f t="shared" si="116"/>
        <v>3396.524265</v>
      </c>
      <c r="AH180" s="29"/>
      <c r="AI180" s="29"/>
      <c r="AJ180" s="29"/>
      <c r="AK180" s="29"/>
      <c r="AL180" s="27"/>
      <c r="AM180" s="44"/>
      <c r="AN180" s="47"/>
      <c r="AO180" s="46"/>
      <c r="AP180" s="47"/>
      <c r="AQ180" s="43">
        <f t="shared" ref="AQ180:AQ184" si="118">IF(U180="Motor Plus",(M180*27%),IF(U180="Motor One",(M180*22%),(IF(U180="Golden",(M180*25%),(IF(U180="Classic",(M180*15%),(IF(U180="Wethaq",(M180*28%),IF(U180="Alwataniya",(M180*21%))*0))))))))</f>
        <v>3575.2887</v>
      </c>
      <c r="AR180" s="43">
        <f t="shared" si="2"/>
        <v>178.764435</v>
      </c>
      <c r="AS180" s="43">
        <f t="shared" si="3"/>
        <v>625.6755225</v>
      </c>
      <c r="AT180" s="48">
        <f t="shared" si="4"/>
        <v>2770.848743</v>
      </c>
      <c r="AU180" s="49">
        <f t="shared" ref="AU180:AU199" si="119">AQ180-AR180-AS180-AC180</f>
        <v>2770.848743</v>
      </c>
      <c r="AV180" s="48"/>
      <c r="AW180" s="34">
        <f t="shared" si="5"/>
        <v>12177.7985</v>
      </c>
      <c r="AX180" s="50">
        <f t="shared" si="6"/>
        <v>784.5772425</v>
      </c>
      <c r="AY180" s="43"/>
      <c r="AZ180" s="27"/>
      <c r="BA180" s="48">
        <f t="shared" si="105"/>
        <v>2770.848743</v>
      </c>
      <c r="BB180" s="27"/>
      <c r="BC180" s="27"/>
      <c r="BD180" s="51"/>
      <c r="BE180" s="52"/>
      <c r="BF180" s="27" t="s">
        <v>689</v>
      </c>
      <c r="BG180" s="58" t="s">
        <v>693</v>
      </c>
      <c r="BH180" s="53" t="str">
        <f>'[1]2023'!Q315</f>
        <v>#REF!</v>
      </c>
      <c r="BI180" s="27"/>
      <c r="BJ180" s="27"/>
      <c r="BK180" s="27" t="s">
        <v>76</v>
      </c>
      <c r="BL180" s="27"/>
    </row>
    <row r="181" ht="14.25" customHeight="1">
      <c r="A181" s="26" t="s">
        <v>55</v>
      </c>
      <c r="B181" s="26" t="s">
        <v>56</v>
      </c>
      <c r="C181" s="26" t="s">
        <v>57</v>
      </c>
      <c r="D181" s="26" t="s">
        <v>81</v>
      </c>
      <c r="E181" s="27" t="s">
        <v>694</v>
      </c>
      <c r="F181" s="26" t="s">
        <v>695</v>
      </c>
      <c r="G181" s="29" t="s">
        <v>691</v>
      </c>
      <c r="H181" s="30">
        <v>45006.0</v>
      </c>
      <c r="I181" s="30">
        <v>45371.0</v>
      </c>
      <c r="J181" s="31">
        <v>0.0</v>
      </c>
      <c r="K181" s="26" t="s">
        <v>352</v>
      </c>
      <c r="L181" s="32" t="s">
        <v>305</v>
      </c>
      <c r="M181" s="33">
        <v>20650.0</v>
      </c>
      <c r="N181" s="34">
        <v>22009.35</v>
      </c>
      <c r="O181" s="27" t="s">
        <v>76</v>
      </c>
      <c r="P181" s="35" t="s">
        <v>142</v>
      </c>
      <c r="Q181" s="35" t="s">
        <v>90</v>
      </c>
      <c r="R181" s="36" t="e">
        <v>#VALUE!</v>
      </c>
      <c r="S181" s="35" t="s">
        <v>86</v>
      </c>
      <c r="T181" s="35">
        <v>0.0</v>
      </c>
      <c r="U181" s="37" t="s">
        <v>67</v>
      </c>
      <c r="V181" s="38"/>
      <c r="W181" s="38"/>
      <c r="X181" s="27"/>
      <c r="Y181" s="39"/>
      <c r="Z181" s="39"/>
      <c r="AA181" s="39"/>
      <c r="AB181" s="40"/>
      <c r="AC181" s="27">
        <f t="shared" si="84"/>
        <v>0</v>
      </c>
      <c r="AD181" s="41">
        <f t="shared" si="117"/>
        <v>3097.5</v>
      </c>
      <c r="AE181" s="42"/>
      <c r="AF181" s="27" t="s">
        <v>306</v>
      </c>
      <c r="AG181" s="43">
        <f t="shared" si="116"/>
        <v>5296.725</v>
      </c>
      <c r="AH181" s="29"/>
      <c r="AI181" s="29"/>
      <c r="AJ181" s="29"/>
      <c r="AK181" s="29"/>
      <c r="AL181" s="27"/>
      <c r="AM181" s="44"/>
      <c r="AN181" s="47"/>
      <c r="AO181" s="46"/>
      <c r="AP181" s="47"/>
      <c r="AQ181" s="43">
        <f t="shared" si="118"/>
        <v>5575.5</v>
      </c>
      <c r="AR181" s="43">
        <f t="shared" si="2"/>
        <v>278.775</v>
      </c>
      <c r="AS181" s="43">
        <f t="shared" si="3"/>
        <v>975.7125</v>
      </c>
      <c r="AT181" s="48">
        <f t="shared" si="4"/>
        <v>4321.0125</v>
      </c>
      <c r="AU181" s="49">
        <f t="shared" si="119"/>
        <v>4321.0125</v>
      </c>
      <c r="AV181" s="48"/>
      <c r="AW181" s="82">
        <f t="shared" si="5"/>
        <v>18911.85</v>
      </c>
      <c r="AX181" s="50">
        <f t="shared" si="6"/>
        <v>1223.5125</v>
      </c>
      <c r="AY181" s="43"/>
      <c r="AZ181" s="27"/>
      <c r="BA181" s="48">
        <f t="shared" si="105"/>
        <v>4321.0125</v>
      </c>
      <c r="BB181" s="27"/>
      <c r="BC181" s="27"/>
      <c r="BD181" s="51"/>
      <c r="BE181" s="52"/>
      <c r="BF181" s="27" t="s">
        <v>694</v>
      </c>
      <c r="BG181" s="53" t="s">
        <v>696</v>
      </c>
      <c r="BH181" s="53" t="str">
        <f>'[1]2023'!Q324</f>
        <v>#REF!</v>
      </c>
      <c r="BI181" s="27"/>
      <c r="BJ181" s="27"/>
      <c r="BK181" s="27" t="s">
        <v>76</v>
      </c>
      <c r="BL181" s="27"/>
    </row>
    <row r="182" ht="14.25" customHeight="1">
      <c r="A182" s="26" t="s">
        <v>55</v>
      </c>
      <c r="B182" s="26" t="s">
        <v>56</v>
      </c>
      <c r="C182" s="26" t="s">
        <v>57</v>
      </c>
      <c r="D182" s="26" t="s">
        <v>81</v>
      </c>
      <c r="E182" s="27" t="s">
        <v>697</v>
      </c>
      <c r="F182" s="26" t="s">
        <v>698</v>
      </c>
      <c r="G182" s="29" t="s">
        <v>691</v>
      </c>
      <c r="H182" s="30">
        <v>45006.0</v>
      </c>
      <c r="I182" s="30">
        <v>45371.0</v>
      </c>
      <c r="J182" s="31">
        <v>0.0</v>
      </c>
      <c r="K182" s="26" t="s">
        <v>352</v>
      </c>
      <c r="L182" s="89">
        <v>45005.0</v>
      </c>
      <c r="M182" s="33">
        <v>22715.0</v>
      </c>
      <c r="N182" s="34">
        <v>24199.19</v>
      </c>
      <c r="O182" s="27" t="s">
        <v>76</v>
      </c>
      <c r="P182" s="35" t="s">
        <v>89</v>
      </c>
      <c r="Q182" s="35" t="s">
        <v>90</v>
      </c>
      <c r="R182" s="36" t="e">
        <v>#VALUE!</v>
      </c>
      <c r="S182" s="35" t="s">
        <v>86</v>
      </c>
      <c r="T182" s="35">
        <v>0.0</v>
      </c>
      <c r="U182" s="37" t="s">
        <v>67</v>
      </c>
      <c r="V182" s="38"/>
      <c r="W182" s="38"/>
      <c r="X182" s="27"/>
      <c r="Y182" s="39"/>
      <c r="Z182" s="39"/>
      <c r="AA182" s="39"/>
      <c r="AB182" s="40"/>
      <c r="AC182" s="27">
        <f t="shared" si="84"/>
        <v>0</v>
      </c>
      <c r="AD182" s="41">
        <f t="shared" si="117"/>
        <v>3407.25</v>
      </c>
      <c r="AE182" s="42"/>
      <c r="AF182" s="27"/>
      <c r="AG182" s="43">
        <f t="shared" si="116"/>
        <v>5826.3975</v>
      </c>
      <c r="AH182" s="29"/>
      <c r="AI182" s="29"/>
      <c r="AJ182" s="29"/>
      <c r="AK182" s="29"/>
      <c r="AL182" s="27"/>
      <c r="AM182" s="44"/>
      <c r="AN182" s="47"/>
      <c r="AO182" s="46"/>
      <c r="AP182" s="47"/>
      <c r="AQ182" s="43">
        <f t="shared" si="118"/>
        <v>6133.05</v>
      </c>
      <c r="AR182" s="43">
        <f t="shared" si="2"/>
        <v>306.6525</v>
      </c>
      <c r="AS182" s="43">
        <f t="shared" si="3"/>
        <v>1073.28375</v>
      </c>
      <c r="AT182" s="48">
        <f t="shared" si="4"/>
        <v>4753.11375</v>
      </c>
      <c r="AU182" s="49">
        <f t="shared" si="119"/>
        <v>4753.11375</v>
      </c>
      <c r="AV182" s="48"/>
      <c r="AW182" s="34">
        <f t="shared" si="5"/>
        <v>20791.94</v>
      </c>
      <c r="AX182" s="50">
        <f t="shared" si="6"/>
        <v>1345.86375</v>
      </c>
      <c r="AY182" s="43"/>
      <c r="AZ182" s="27"/>
      <c r="BA182" s="48">
        <f t="shared" si="105"/>
        <v>4753.11375</v>
      </c>
      <c r="BB182" s="27"/>
      <c r="BC182" s="27"/>
      <c r="BD182" s="51"/>
      <c r="BE182" s="52"/>
      <c r="BF182" s="27" t="s">
        <v>697</v>
      </c>
      <c r="BG182" s="58" t="s">
        <v>699</v>
      </c>
      <c r="BH182" s="53" t="str">
        <f>'[1]2023'!Q339</f>
        <v>#REF!</v>
      </c>
      <c r="BI182" s="27"/>
      <c r="BJ182" s="27"/>
      <c r="BK182" s="27" t="s">
        <v>76</v>
      </c>
      <c r="BL182" s="27"/>
    </row>
    <row r="183" ht="14.25" customHeight="1">
      <c r="A183" s="26" t="s">
        <v>55</v>
      </c>
      <c r="B183" s="26" t="s">
        <v>56</v>
      </c>
      <c r="C183" s="26" t="s">
        <v>57</v>
      </c>
      <c r="D183" s="26" t="s">
        <v>81</v>
      </c>
      <c r="E183" s="27" t="s">
        <v>700</v>
      </c>
      <c r="F183" s="26" t="s">
        <v>701</v>
      </c>
      <c r="G183" s="29" t="s">
        <v>691</v>
      </c>
      <c r="H183" s="30">
        <v>45006.0</v>
      </c>
      <c r="I183" s="30">
        <v>45371.0</v>
      </c>
      <c r="J183" s="31">
        <v>0.0</v>
      </c>
      <c r="K183" s="26" t="s">
        <v>352</v>
      </c>
      <c r="L183" s="32" t="s">
        <v>305</v>
      </c>
      <c r="M183" s="33">
        <v>32450.0</v>
      </c>
      <c r="N183" s="34">
        <v>34505.55</v>
      </c>
      <c r="O183" s="27" t="s">
        <v>76</v>
      </c>
      <c r="P183" s="35" t="s">
        <v>142</v>
      </c>
      <c r="Q183" s="35" t="s">
        <v>90</v>
      </c>
      <c r="R183" s="36" t="e">
        <v>#VALUE!</v>
      </c>
      <c r="S183" s="35" t="s">
        <v>86</v>
      </c>
      <c r="T183" s="35">
        <v>0.0</v>
      </c>
      <c r="U183" s="37" t="s">
        <v>67</v>
      </c>
      <c r="V183" s="38"/>
      <c r="W183" s="38"/>
      <c r="X183" s="27"/>
      <c r="Y183" s="39"/>
      <c r="Z183" s="39"/>
      <c r="AA183" s="39"/>
      <c r="AB183" s="40"/>
      <c r="AC183" s="27">
        <f t="shared" si="84"/>
        <v>0</v>
      </c>
      <c r="AD183" s="41">
        <f t="shared" si="117"/>
        <v>4867.5</v>
      </c>
      <c r="AE183" s="42"/>
      <c r="AF183" s="27" t="s">
        <v>306</v>
      </c>
      <c r="AG183" s="43">
        <f t="shared" si="116"/>
        <v>8323.425</v>
      </c>
      <c r="AH183" s="29"/>
      <c r="AI183" s="29"/>
      <c r="AJ183" s="29"/>
      <c r="AK183" s="29"/>
      <c r="AL183" s="27"/>
      <c r="AM183" s="44"/>
      <c r="AN183" s="47"/>
      <c r="AO183" s="46"/>
      <c r="AP183" s="47"/>
      <c r="AQ183" s="43">
        <f t="shared" si="118"/>
        <v>8761.5</v>
      </c>
      <c r="AR183" s="43">
        <f t="shared" si="2"/>
        <v>438.075</v>
      </c>
      <c r="AS183" s="43">
        <f t="shared" si="3"/>
        <v>1533.2625</v>
      </c>
      <c r="AT183" s="48">
        <f t="shared" si="4"/>
        <v>6790.1625</v>
      </c>
      <c r="AU183" s="49">
        <f t="shared" si="119"/>
        <v>6790.1625</v>
      </c>
      <c r="AV183" s="48"/>
      <c r="AW183" s="82">
        <f t="shared" si="5"/>
        <v>29638.05</v>
      </c>
      <c r="AX183" s="50">
        <f t="shared" si="6"/>
        <v>1922.6625</v>
      </c>
      <c r="AY183" s="43"/>
      <c r="AZ183" s="27"/>
      <c r="BA183" s="48">
        <f t="shared" si="105"/>
        <v>6790.1625</v>
      </c>
      <c r="BB183" s="27"/>
      <c r="BC183" s="27"/>
      <c r="BD183" s="51"/>
      <c r="BE183" s="52"/>
      <c r="BF183" s="27" t="s">
        <v>700</v>
      </c>
      <c r="BG183" s="53" t="s">
        <v>702</v>
      </c>
      <c r="BH183" s="53" t="str">
        <f>'[1]2023'!Q350</f>
        <v>#REF!</v>
      </c>
      <c r="BI183" s="27"/>
      <c r="BJ183" s="27"/>
      <c r="BK183" s="27" t="s">
        <v>76</v>
      </c>
      <c r="BL183" s="27"/>
    </row>
    <row r="184" ht="14.25" customHeight="1">
      <c r="A184" s="26" t="s">
        <v>111</v>
      </c>
      <c r="B184" s="26" t="s">
        <v>56</v>
      </c>
      <c r="C184" s="26" t="s">
        <v>57</v>
      </c>
      <c r="D184" s="26" t="s">
        <v>71</v>
      </c>
      <c r="E184" s="27" t="s">
        <v>703</v>
      </c>
      <c r="F184" s="28" t="s">
        <v>704</v>
      </c>
      <c r="G184" s="29" t="s">
        <v>691</v>
      </c>
      <c r="H184" s="30">
        <v>45006.0</v>
      </c>
      <c r="I184" s="30">
        <v>45371.0</v>
      </c>
      <c r="J184" s="31" t="s">
        <v>705</v>
      </c>
      <c r="K184" s="26" t="s">
        <v>352</v>
      </c>
      <c r="L184" s="32" t="s">
        <v>75</v>
      </c>
      <c r="M184" s="33">
        <v>19452.77</v>
      </c>
      <c r="N184" s="34">
        <v>20857.0</v>
      </c>
      <c r="O184" s="27" t="s">
        <v>76</v>
      </c>
      <c r="P184" s="35" t="s">
        <v>162</v>
      </c>
      <c r="Q184" s="35" t="s">
        <v>114</v>
      </c>
      <c r="R184" s="36" t="e">
        <v>#VALUE!</v>
      </c>
      <c r="S184" s="35" t="s">
        <v>66</v>
      </c>
      <c r="T184" s="35">
        <v>0.0</v>
      </c>
      <c r="U184" s="37" t="s">
        <v>115</v>
      </c>
      <c r="V184" s="38">
        <v>800000.0</v>
      </c>
      <c r="W184" s="38"/>
      <c r="X184" s="27"/>
      <c r="Y184" s="39"/>
      <c r="Z184" s="79" t="s">
        <v>706</v>
      </c>
      <c r="AA184" s="39"/>
      <c r="AB184" s="40"/>
      <c r="AC184" s="27">
        <f t="shared" si="84"/>
        <v>0</v>
      </c>
      <c r="AD184" s="41">
        <f t="shared" ref="AD184:AD186" si="120">IF(AND(S184="0",O184="Paid"),(M184*15%)-AC184,0)</f>
        <v>0</v>
      </c>
      <c r="AE184" s="42"/>
      <c r="AF184" s="27"/>
      <c r="AG184" s="43">
        <f t="shared" ref="AG184:AG186" si="121">IF(O184="Paid",IF(A184="Alwataniya",(M184*21%)-((M184*21%)*5%),IF((A184="GIG"),(M184*25%)-((M184*25%)*5%),IF((A184="Allianz"),(M184*27%)-((M184*27%)*20%),0))),0)</f>
        <v>4620.032875</v>
      </c>
      <c r="AH184" s="29" t="s">
        <v>75</v>
      </c>
      <c r="AI184" s="61" t="s">
        <v>75</v>
      </c>
      <c r="AJ184" s="40"/>
      <c r="AK184" s="62" t="s">
        <v>63</v>
      </c>
      <c r="AL184" s="27"/>
      <c r="AM184" s="44">
        <f>IF((BD184&lt;=2),AU184*10%,(IF((BD184&lt;=3),AU184*20%,IF((BD184&lt;=4),AU184*20%,IF((BD184&gt;=5),AU184*30%,0)))))</f>
        <v>376.8974188</v>
      </c>
      <c r="AN184" s="63" t="s">
        <v>75</v>
      </c>
      <c r="AO184" s="46"/>
      <c r="AP184" s="47"/>
      <c r="AQ184" s="43">
        <f t="shared" si="118"/>
        <v>4863.1925</v>
      </c>
      <c r="AR184" s="43">
        <f t="shared" si="2"/>
        <v>243.159625</v>
      </c>
      <c r="AS184" s="43">
        <f t="shared" si="3"/>
        <v>851.0586875</v>
      </c>
      <c r="AT184" s="48">
        <f t="shared" si="4"/>
        <v>3768.974188</v>
      </c>
      <c r="AU184" s="49">
        <f t="shared" si="119"/>
        <v>3768.974188</v>
      </c>
      <c r="AV184" s="48"/>
      <c r="AW184" s="34">
        <f t="shared" si="5"/>
        <v>20857</v>
      </c>
      <c r="AX184" s="50">
        <f t="shared" si="6"/>
        <v>3392.076769</v>
      </c>
      <c r="AY184" s="103"/>
      <c r="AZ184" s="27"/>
      <c r="BA184" s="48">
        <f t="shared" si="105"/>
        <v>3392.076769</v>
      </c>
      <c r="BB184" s="27"/>
      <c r="BC184" s="27"/>
      <c r="BD184" s="51"/>
      <c r="BE184" s="52"/>
      <c r="BF184" s="77" t="s">
        <v>703</v>
      </c>
      <c r="BG184" s="53">
        <v>0.0</v>
      </c>
      <c r="BH184" s="53" t="str">
        <f>'[1]2023'!Q388</f>
        <v>#REF!</v>
      </c>
      <c r="BI184" s="27"/>
      <c r="BJ184" s="27"/>
      <c r="BK184" s="27" t="s">
        <v>76</v>
      </c>
      <c r="BL184" s="27"/>
    </row>
    <row r="185" ht="14.25" customHeight="1">
      <c r="A185" s="26" t="s">
        <v>111</v>
      </c>
      <c r="B185" s="26" t="s">
        <v>56</v>
      </c>
      <c r="C185" s="26" t="s">
        <v>57</v>
      </c>
      <c r="D185" s="26" t="s">
        <v>71</v>
      </c>
      <c r="E185" s="27" t="s">
        <v>707</v>
      </c>
      <c r="F185" s="28" t="s">
        <v>708</v>
      </c>
      <c r="G185" s="29" t="s">
        <v>691</v>
      </c>
      <c r="H185" s="30">
        <v>45006.0</v>
      </c>
      <c r="I185" s="30">
        <v>45371.0</v>
      </c>
      <c r="J185" s="31" t="s">
        <v>709</v>
      </c>
      <c r="K185" s="26" t="s">
        <v>352</v>
      </c>
      <c r="L185" s="32" t="s">
        <v>63</v>
      </c>
      <c r="M185" s="33">
        <v>14489.33</v>
      </c>
      <c r="N185" s="34">
        <v>15600.0</v>
      </c>
      <c r="O185" s="27" t="s">
        <v>64</v>
      </c>
      <c r="P185" s="35">
        <v>0.0</v>
      </c>
      <c r="Q185" s="35" t="s">
        <v>114</v>
      </c>
      <c r="R185" s="36" t="e">
        <v>#VALUE!</v>
      </c>
      <c r="S185" s="35" t="s">
        <v>683</v>
      </c>
      <c r="T185" s="35">
        <v>0.0</v>
      </c>
      <c r="U185" s="37" t="s">
        <v>115</v>
      </c>
      <c r="V185" s="38">
        <v>600000.0</v>
      </c>
      <c r="W185" s="38"/>
      <c r="X185" s="27"/>
      <c r="Y185" s="39"/>
      <c r="Z185" s="79" t="s">
        <v>710</v>
      </c>
      <c r="AA185" s="39"/>
      <c r="AB185" s="40">
        <v>0.05</v>
      </c>
      <c r="AC185" s="27">
        <v>600.0</v>
      </c>
      <c r="AD185" s="41">
        <f t="shared" si="120"/>
        <v>0</v>
      </c>
      <c r="AE185" s="42"/>
      <c r="AF185" s="27"/>
      <c r="AG185" s="43">
        <f t="shared" si="121"/>
        <v>0</v>
      </c>
      <c r="AH185" s="29"/>
      <c r="AI185" s="29" t="s">
        <v>63</v>
      </c>
      <c r="AJ185" s="29"/>
      <c r="AK185" s="29"/>
      <c r="AL185" s="27"/>
      <c r="AM185" s="44"/>
      <c r="AN185" s="47"/>
      <c r="AO185" s="46"/>
      <c r="AP185" s="47"/>
      <c r="AQ185" s="43" t="b">
        <f t="shared" ref="AQ185:AQ186" si="122">IF(O185="Paid",IF(U185="Motor Plus",(M185*27%),IF(U185="Motor One",(M185*22%),(IF(U185="Golden",(M185*25%),(IF(U185="Classic",(M185*15%),(IF(U185="Wethaq",(M185*28%),IF(U185="Alwataniya",(M185*21%))*0)))))))))</f>
        <v>0</v>
      </c>
      <c r="AR185" s="43">
        <f t="shared" si="2"/>
        <v>0</v>
      </c>
      <c r="AS185" s="43">
        <f t="shared" si="3"/>
        <v>0</v>
      </c>
      <c r="AT185" s="48">
        <f t="shared" si="4"/>
        <v>0</v>
      </c>
      <c r="AU185" s="49">
        <f t="shared" si="119"/>
        <v>-600</v>
      </c>
      <c r="AV185" s="48"/>
      <c r="AW185" s="34">
        <f t="shared" si="5"/>
        <v>15000</v>
      </c>
      <c r="AX185" s="50">
        <f t="shared" si="6"/>
        <v>0</v>
      </c>
      <c r="AY185" s="43"/>
      <c r="AZ185" s="27"/>
      <c r="BA185" s="48">
        <f t="shared" si="105"/>
        <v>-600</v>
      </c>
      <c r="BB185" s="27"/>
      <c r="BC185" s="27"/>
      <c r="BD185" s="51"/>
      <c r="BE185" s="52"/>
      <c r="BF185" s="27" t="s">
        <v>707</v>
      </c>
      <c r="BG185" s="58" t="s">
        <v>711</v>
      </c>
      <c r="BH185" s="53" t="str">
        <f>'[1]2023'!Q390</f>
        <v>#REF!</v>
      </c>
      <c r="BI185" s="27"/>
      <c r="BJ185" s="27"/>
      <c r="BK185" s="27" t="s">
        <v>64</v>
      </c>
      <c r="BL185" s="27"/>
    </row>
    <row r="186" ht="14.25" customHeight="1">
      <c r="A186" s="26" t="s">
        <v>55</v>
      </c>
      <c r="B186" s="26" t="s">
        <v>56</v>
      </c>
      <c r="C186" s="26" t="s">
        <v>57</v>
      </c>
      <c r="D186" s="26" t="s">
        <v>71</v>
      </c>
      <c r="E186" s="27" t="s">
        <v>712</v>
      </c>
      <c r="F186" s="26" t="s">
        <v>713</v>
      </c>
      <c r="G186" s="29" t="s">
        <v>691</v>
      </c>
      <c r="H186" s="30">
        <v>45006.0</v>
      </c>
      <c r="I186" s="30">
        <v>45371.0</v>
      </c>
      <c r="J186" s="31" t="s">
        <v>714</v>
      </c>
      <c r="K186" s="26" t="s">
        <v>352</v>
      </c>
      <c r="L186" s="32" t="s">
        <v>63</v>
      </c>
      <c r="M186" s="33">
        <v>0.0</v>
      </c>
      <c r="N186" s="34">
        <v>0.0</v>
      </c>
      <c r="O186" s="27" t="s">
        <v>64</v>
      </c>
      <c r="P186" s="35">
        <v>0.0</v>
      </c>
      <c r="Q186" s="35" t="s">
        <v>65</v>
      </c>
      <c r="R186" s="36" t="e">
        <v>#VALUE!</v>
      </c>
      <c r="S186" s="35" t="s">
        <v>86</v>
      </c>
      <c r="T186" s="35">
        <v>0.0</v>
      </c>
      <c r="U186" s="37" t="s">
        <v>67</v>
      </c>
      <c r="V186" s="38"/>
      <c r="W186" s="38"/>
      <c r="X186" s="27"/>
      <c r="Y186" s="39"/>
      <c r="Z186" s="39"/>
      <c r="AA186" s="39"/>
      <c r="AB186" s="40"/>
      <c r="AC186" s="27">
        <f t="shared" ref="AC186:AC324" si="123">M186*AB186</f>
        <v>0</v>
      </c>
      <c r="AD186" s="41">
        <f t="shared" si="120"/>
        <v>0</v>
      </c>
      <c r="AE186" s="42"/>
      <c r="AF186" s="27"/>
      <c r="AG186" s="43">
        <f t="shared" si="121"/>
        <v>0</v>
      </c>
      <c r="AH186" s="29"/>
      <c r="AI186" s="29"/>
      <c r="AJ186" s="29"/>
      <c r="AK186" s="29"/>
      <c r="AL186" s="27"/>
      <c r="AM186" s="44"/>
      <c r="AN186" s="47"/>
      <c r="AO186" s="46"/>
      <c r="AP186" s="47"/>
      <c r="AQ186" s="43" t="b">
        <f t="shared" si="122"/>
        <v>0</v>
      </c>
      <c r="AR186" s="43">
        <f t="shared" si="2"/>
        <v>0</v>
      </c>
      <c r="AS186" s="43">
        <f t="shared" si="3"/>
        <v>0</v>
      </c>
      <c r="AT186" s="48">
        <f t="shared" si="4"/>
        <v>0</v>
      </c>
      <c r="AU186" s="49">
        <f t="shared" si="119"/>
        <v>0</v>
      </c>
      <c r="AV186" s="48"/>
      <c r="AW186" s="34">
        <f t="shared" si="5"/>
        <v>0</v>
      </c>
      <c r="AX186" s="50">
        <f t="shared" si="6"/>
        <v>0</v>
      </c>
      <c r="AY186" s="43"/>
      <c r="AZ186" s="27"/>
      <c r="BA186" s="48">
        <f t="shared" si="105"/>
        <v>0</v>
      </c>
      <c r="BB186" s="27"/>
      <c r="BC186" s="27"/>
      <c r="BD186" s="51"/>
      <c r="BE186" s="52"/>
      <c r="BF186" s="27" t="s">
        <v>712</v>
      </c>
      <c r="BG186" s="58" t="s">
        <v>715</v>
      </c>
      <c r="BH186" s="53" t="str">
        <f>'[1]2023'!Q397</f>
        <v>#REF!</v>
      </c>
      <c r="BI186" s="27"/>
      <c r="BJ186" s="27"/>
      <c r="BK186" s="27" t="s">
        <v>64</v>
      </c>
      <c r="BL186" s="27"/>
    </row>
    <row r="187" ht="14.25" customHeight="1">
      <c r="A187" s="26" t="s">
        <v>55</v>
      </c>
      <c r="B187" s="26" t="s">
        <v>56</v>
      </c>
      <c r="C187" s="26" t="s">
        <v>57</v>
      </c>
      <c r="D187" s="26" t="s">
        <v>81</v>
      </c>
      <c r="E187" s="27" t="s">
        <v>716</v>
      </c>
      <c r="F187" s="26" t="s">
        <v>717</v>
      </c>
      <c r="G187" s="29" t="s">
        <v>691</v>
      </c>
      <c r="H187" s="30">
        <v>45006.0</v>
      </c>
      <c r="I187" s="30">
        <v>45371.0</v>
      </c>
      <c r="J187" s="31">
        <v>0.0</v>
      </c>
      <c r="K187" s="26" t="s">
        <v>352</v>
      </c>
      <c r="L187" s="32" t="s">
        <v>75</v>
      </c>
      <c r="M187" s="33">
        <v>22990.0</v>
      </c>
      <c r="N187" s="34">
        <v>24487.41</v>
      </c>
      <c r="O187" s="27" t="s">
        <v>76</v>
      </c>
      <c r="P187" s="35" t="s">
        <v>89</v>
      </c>
      <c r="Q187" s="35" t="s">
        <v>65</v>
      </c>
      <c r="R187" s="36" t="e">
        <v>#VALUE!</v>
      </c>
      <c r="S187" s="35" t="s">
        <v>86</v>
      </c>
      <c r="T187" s="35">
        <v>0.0</v>
      </c>
      <c r="U187" s="37" t="s">
        <v>67</v>
      </c>
      <c r="V187" s="38"/>
      <c r="W187" s="38"/>
      <c r="X187" s="27"/>
      <c r="Y187" s="39"/>
      <c r="Z187" s="39"/>
      <c r="AA187" s="39"/>
      <c r="AB187" s="40"/>
      <c r="AC187" s="27">
        <f t="shared" si="123"/>
        <v>0</v>
      </c>
      <c r="AD187" s="41"/>
      <c r="AE187" s="42"/>
      <c r="AF187" s="27"/>
      <c r="AG187" s="43">
        <f>IF(O187="Paid",IF(A187="Alwataniya",(M187*21%)-((M187*21%)*5%),IF((A187="GIG"),(M187*25%)-((M187*25%)*5%),IF((A187="Allianz"),(M187*27%)-((M187*27%)*5%),0))),0)</f>
        <v>5896.935</v>
      </c>
      <c r="AH187" s="29"/>
      <c r="AI187" s="29"/>
      <c r="AJ187" s="29"/>
      <c r="AK187" s="29"/>
      <c r="AL187" s="27"/>
      <c r="AM187" s="44"/>
      <c r="AN187" s="47"/>
      <c r="AO187" s="46"/>
      <c r="AP187" s="47"/>
      <c r="AQ187" s="43">
        <f>IF(U187="Motor Plus",(M187*27%),IF(U187="Motor One",(M187*22%),(IF(U187="Golden",(M187*25%),(IF(U187="Classic",(M187*15%),(IF(U187="Wethaq",(M187*28%),IF(U187="Alwataniya",(M187*21%))*0))))))))</f>
        <v>6207.3</v>
      </c>
      <c r="AR187" s="43">
        <f t="shared" si="2"/>
        <v>310.365</v>
      </c>
      <c r="AS187" s="43">
        <f t="shared" si="3"/>
        <v>1086.2775</v>
      </c>
      <c r="AT187" s="48">
        <f t="shared" si="4"/>
        <v>4810.6575</v>
      </c>
      <c r="AU187" s="49">
        <f t="shared" si="119"/>
        <v>4810.6575</v>
      </c>
      <c r="AV187" s="48"/>
      <c r="AW187" s="34">
        <f t="shared" si="5"/>
        <v>24487.41</v>
      </c>
      <c r="AX187" s="50">
        <f t="shared" si="6"/>
        <v>4810.6575</v>
      </c>
      <c r="AY187" s="43"/>
      <c r="AZ187" s="27"/>
      <c r="BA187" s="48">
        <f t="shared" si="105"/>
        <v>4810.6575</v>
      </c>
      <c r="BB187" s="27"/>
      <c r="BC187" s="27"/>
      <c r="BD187" s="51"/>
      <c r="BE187" s="52"/>
      <c r="BF187" s="27" t="s">
        <v>716</v>
      </c>
      <c r="BG187" s="53">
        <v>0.0</v>
      </c>
      <c r="BH187" s="53" t="str">
        <f>'[1]2023'!Q450</f>
        <v>#REF!</v>
      </c>
      <c r="BI187" s="27"/>
      <c r="BJ187" s="27"/>
      <c r="BK187" s="27" t="s">
        <v>76</v>
      </c>
      <c r="BL187" s="27"/>
    </row>
    <row r="188" ht="14.25" customHeight="1">
      <c r="A188" s="26" t="s">
        <v>68</v>
      </c>
      <c r="B188" s="26" t="s">
        <v>56</v>
      </c>
      <c r="C188" s="26" t="s">
        <v>57</v>
      </c>
      <c r="D188" s="26" t="s">
        <v>71</v>
      </c>
      <c r="E188" s="27" t="s">
        <v>718</v>
      </c>
      <c r="F188" s="28" t="s">
        <v>719</v>
      </c>
      <c r="G188" s="29" t="s">
        <v>691</v>
      </c>
      <c r="H188" s="30">
        <v>45006.0</v>
      </c>
      <c r="I188" s="30">
        <v>45371.0</v>
      </c>
      <c r="J188" s="88" t="s">
        <v>79</v>
      </c>
      <c r="K188" s="26" t="s">
        <v>352</v>
      </c>
      <c r="L188" s="32" t="s">
        <v>75</v>
      </c>
      <c r="M188" s="33">
        <v>14996.19</v>
      </c>
      <c r="N188" s="34">
        <v>34000.0</v>
      </c>
      <c r="O188" s="27" t="s">
        <v>76</v>
      </c>
      <c r="P188" s="35" t="s">
        <v>77</v>
      </c>
      <c r="Q188" s="35">
        <v>0.0</v>
      </c>
      <c r="R188" s="36" t="e">
        <v>#VALUE!</v>
      </c>
      <c r="S188" s="35" t="s">
        <v>78</v>
      </c>
      <c r="T188" s="54" t="s">
        <v>79</v>
      </c>
      <c r="U188" s="37" t="s">
        <v>68</v>
      </c>
      <c r="V188" s="38">
        <v>1700000.0</v>
      </c>
      <c r="W188" s="38"/>
      <c r="X188" s="27"/>
      <c r="Y188" s="39"/>
      <c r="Z188" s="79" t="s">
        <v>720</v>
      </c>
      <c r="AA188" s="39"/>
      <c r="AB188" s="40"/>
      <c r="AC188" s="27">
        <f t="shared" si="123"/>
        <v>0</v>
      </c>
      <c r="AD188" s="41"/>
      <c r="AE188" s="42"/>
      <c r="AF188" s="27"/>
      <c r="AG188" s="43">
        <f>IF(O188="Paid",IF(A188="Wethaq",(M188*23%)-((M188*23%)*5%)))</f>
        <v>3276.667515</v>
      </c>
      <c r="AH188" s="29">
        <v>45115.0</v>
      </c>
      <c r="AI188" s="29" t="s">
        <v>721</v>
      </c>
      <c r="AJ188" s="97">
        <v>0.23</v>
      </c>
      <c r="AK188" s="29" t="s">
        <v>306</v>
      </c>
      <c r="AL188" s="90"/>
      <c r="AM188" s="27"/>
      <c r="AN188" s="56"/>
      <c r="AO188" s="46">
        <f>((M188*AJ188)-((M188*AJ188)*22.5%))*70%</f>
        <v>1871.149607</v>
      </c>
      <c r="AP188" s="57">
        <v>45177.0</v>
      </c>
      <c r="AQ188" s="43">
        <f>M188*AJ188</f>
        <v>3449.1237</v>
      </c>
      <c r="AR188" s="43">
        <f t="shared" si="2"/>
        <v>172.456185</v>
      </c>
      <c r="AS188" s="43">
        <f t="shared" si="3"/>
        <v>603.5966475</v>
      </c>
      <c r="AT188" s="48">
        <f t="shared" si="4"/>
        <v>2673.070868</v>
      </c>
      <c r="AU188" s="49">
        <f t="shared" si="119"/>
        <v>2673.070868</v>
      </c>
      <c r="AV188" s="48"/>
      <c r="AW188" s="34">
        <f t="shared" si="5"/>
        <v>34000</v>
      </c>
      <c r="AX188" s="50">
        <f t="shared" si="6"/>
        <v>801.9212603</v>
      </c>
      <c r="AY188" s="107"/>
      <c r="AZ188" s="43"/>
      <c r="BA188" s="48" t="str">
        <f>IF(S188&lt;&gt;0,AU188-#REF!-AM188,(AG188-AD188-AE188-AS188))</f>
        <v>#REF!</v>
      </c>
      <c r="BB188" s="27"/>
      <c r="BC188" s="27"/>
      <c r="BD188" s="51"/>
      <c r="BE188" s="52"/>
      <c r="BF188" s="27" t="s">
        <v>718</v>
      </c>
      <c r="BG188" s="53">
        <v>0.0</v>
      </c>
      <c r="BH188" s="53" t="str">
        <f>'[1]2023'!Q573</f>
        <v>#REF!</v>
      </c>
      <c r="BI188" s="27"/>
      <c r="BJ188" s="27"/>
      <c r="BK188" s="27" t="s">
        <v>76</v>
      </c>
      <c r="BL188" s="64" t="s">
        <v>722</v>
      </c>
    </row>
    <row r="189" ht="14.25" customHeight="1">
      <c r="A189" s="26" t="s">
        <v>55</v>
      </c>
      <c r="B189" s="26" t="s">
        <v>56</v>
      </c>
      <c r="C189" s="26" t="s">
        <v>57</v>
      </c>
      <c r="D189" s="26" t="s">
        <v>81</v>
      </c>
      <c r="E189" s="27" t="s">
        <v>723</v>
      </c>
      <c r="F189" s="26" t="s">
        <v>724</v>
      </c>
      <c r="G189" s="29" t="s">
        <v>725</v>
      </c>
      <c r="H189" s="30">
        <v>45007.0</v>
      </c>
      <c r="I189" s="30">
        <v>45372.0</v>
      </c>
      <c r="J189" s="31">
        <v>0.0</v>
      </c>
      <c r="K189" s="26" t="s">
        <v>352</v>
      </c>
      <c r="L189" s="32" t="s">
        <v>75</v>
      </c>
      <c r="M189" s="33">
        <v>20650.0</v>
      </c>
      <c r="N189" s="34">
        <v>22009.35</v>
      </c>
      <c r="O189" s="27" t="s">
        <v>76</v>
      </c>
      <c r="P189" s="35" t="s">
        <v>122</v>
      </c>
      <c r="Q189" s="35" t="s">
        <v>65</v>
      </c>
      <c r="R189" s="36" t="e">
        <v>#VALUE!</v>
      </c>
      <c r="S189" s="35" t="s">
        <v>86</v>
      </c>
      <c r="T189" s="35">
        <v>0.0</v>
      </c>
      <c r="U189" s="37" t="s">
        <v>67</v>
      </c>
      <c r="V189" s="38"/>
      <c r="W189" s="38"/>
      <c r="X189" s="27"/>
      <c r="Y189" s="39"/>
      <c r="Z189" s="39"/>
      <c r="AA189" s="39"/>
      <c r="AB189" s="40"/>
      <c r="AC189" s="27">
        <f t="shared" si="123"/>
        <v>0</v>
      </c>
      <c r="AD189" s="41"/>
      <c r="AE189" s="42"/>
      <c r="AF189" s="27"/>
      <c r="AG189" s="43">
        <f t="shared" ref="AG189:AG191" si="124">IF(O189="Paid",IF(A189="Alwataniya",(M189*21%)-((M189*21%)*5%),IF((A189="GIG"),(M189*25%)-((M189*25%)*5%),IF((A189="Allianz"),(M189*27%)-((M189*27%)*5%),0))),0)</f>
        <v>5296.725</v>
      </c>
      <c r="AH189" s="29"/>
      <c r="AI189" s="29"/>
      <c r="AJ189" s="29"/>
      <c r="AK189" s="29"/>
      <c r="AL189" s="27"/>
      <c r="AM189" s="44"/>
      <c r="AN189" s="68"/>
      <c r="AO189" s="46"/>
      <c r="AP189" s="47"/>
      <c r="AQ189" s="43">
        <f t="shared" ref="AQ189:AQ191" si="125">IF(U189="Motor Plus",(M189*27%),IF(U189="Motor One",(M189*22%),(IF(U189="Golden",(M189*25%),(IF(U189="Classic",(M189*15%),(IF(U189="Wethaq",(M189*28%),IF(U189="Alwataniya",(M189*21%))*0))))))))</f>
        <v>5575.5</v>
      </c>
      <c r="AR189" s="43">
        <f t="shared" si="2"/>
        <v>278.775</v>
      </c>
      <c r="AS189" s="43">
        <f t="shared" si="3"/>
        <v>975.7125</v>
      </c>
      <c r="AT189" s="48">
        <f t="shared" si="4"/>
        <v>4321.0125</v>
      </c>
      <c r="AU189" s="49">
        <f t="shared" si="119"/>
        <v>4321.0125</v>
      </c>
      <c r="AV189" s="48"/>
      <c r="AW189" s="34">
        <f t="shared" si="5"/>
        <v>22009.35</v>
      </c>
      <c r="AX189" s="50">
        <f t="shared" si="6"/>
        <v>4321.0125</v>
      </c>
      <c r="AY189" s="43"/>
      <c r="AZ189" s="27"/>
      <c r="BA189" s="48">
        <f t="shared" ref="BA189:BA195" si="126">IF(S189&lt;&gt;0,AU189-AO189-AM189,(AG189-AD189-AE189-AS189))</f>
        <v>4321.0125</v>
      </c>
      <c r="BB189" s="27"/>
      <c r="BC189" s="27"/>
      <c r="BD189" s="51"/>
      <c r="BE189" s="52"/>
      <c r="BF189" s="27" t="s">
        <v>723</v>
      </c>
      <c r="BG189" s="53" t="s">
        <v>726</v>
      </c>
      <c r="BH189" s="53" t="str">
        <f>'[1]2023'!Q337</f>
        <v>#REF!</v>
      </c>
      <c r="BI189" s="27"/>
      <c r="BJ189" s="27"/>
      <c r="BK189" s="27" t="s">
        <v>76</v>
      </c>
      <c r="BL189" s="27"/>
    </row>
    <row r="190" ht="14.25" customHeight="1">
      <c r="A190" s="26" t="s">
        <v>55</v>
      </c>
      <c r="B190" s="26" t="s">
        <v>56</v>
      </c>
      <c r="C190" s="26" t="s">
        <v>57</v>
      </c>
      <c r="D190" s="26" t="s">
        <v>81</v>
      </c>
      <c r="E190" s="27" t="s">
        <v>727</v>
      </c>
      <c r="F190" s="26" t="s">
        <v>728</v>
      </c>
      <c r="G190" s="29" t="s">
        <v>725</v>
      </c>
      <c r="H190" s="30">
        <v>45007.0</v>
      </c>
      <c r="I190" s="30">
        <v>45372.0</v>
      </c>
      <c r="J190" s="31">
        <v>0.0</v>
      </c>
      <c r="K190" s="26" t="s">
        <v>352</v>
      </c>
      <c r="L190" s="32" t="s">
        <v>75</v>
      </c>
      <c r="M190" s="33">
        <v>16520.0</v>
      </c>
      <c r="N190" s="34">
        <v>17635.68</v>
      </c>
      <c r="O190" s="27" t="s">
        <v>76</v>
      </c>
      <c r="P190" s="35" t="s">
        <v>104</v>
      </c>
      <c r="Q190" s="35" t="s">
        <v>90</v>
      </c>
      <c r="R190" s="36" t="e">
        <v>#VALUE!</v>
      </c>
      <c r="S190" s="35" t="s">
        <v>86</v>
      </c>
      <c r="T190" s="35">
        <v>0.0</v>
      </c>
      <c r="U190" s="37" t="s">
        <v>67</v>
      </c>
      <c r="V190" s="38"/>
      <c r="W190" s="38"/>
      <c r="X190" s="27"/>
      <c r="Y190" s="39"/>
      <c r="Z190" s="39"/>
      <c r="AA190" s="39"/>
      <c r="AB190" s="40"/>
      <c r="AC190" s="27">
        <f t="shared" si="123"/>
        <v>0</v>
      </c>
      <c r="AD190" s="41">
        <f>IF(AND(S190="0",O190="Paid"),M190*15%,0)</f>
        <v>2478</v>
      </c>
      <c r="AE190" s="42"/>
      <c r="AF190" s="27"/>
      <c r="AG190" s="43">
        <f t="shared" si="124"/>
        <v>4237.38</v>
      </c>
      <c r="AH190" s="29"/>
      <c r="AI190" s="29"/>
      <c r="AJ190" s="29"/>
      <c r="AK190" s="29"/>
      <c r="AL190" s="27"/>
      <c r="AM190" s="44"/>
      <c r="AN190" s="47"/>
      <c r="AO190" s="46"/>
      <c r="AP190" s="47"/>
      <c r="AQ190" s="43">
        <f t="shared" si="125"/>
        <v>4460.4</v>
      </c>
      <c r="AR190" s="43">
        <f t="shared" si="2"/>
        <v>223.02</v>
      </c>
      <c r="AS190" s="43">
        <f t="shared" si="3"/>
        <v>780.57</v>
      </c>
      <c r="AT190" s="48">
        <f t="shared" si="4"/>
        <v>3456.81</v>
      </c>
      <c r="AU190" s="49">
        <f t="shared" si="119"/>
        <v>3456.81</v>
      </c>
      <c r="AV190" s="48"/>
      <c r="AW190" s="34">
        <f t="shared" si="5"/>
        <v>15157.68</v>
      </c>
      <c r="AX190" s="50">
        <f t="shared" si="6"/>
        <v>978.81</v>
      </c>
      <c r="AY190" s="43"/>
      <c r="AZ190" s="27"/>
      <c r="BA190" s="48">
        <f t="shared" si="126"/>
        <v>3456.81</v>
      </c>
      <c r="BB190" s="27"/>
      <c r="BC190" s="27"/>
      <c r="BD190" s="51"/>
      <c r="BE190" s="52"/>
      <c r="BF190" s="27" t="s">
        <v>727</v>
      </c>
      <c r="BG190" s="53">
        <v>0.0</v>
      </c>
      <c r="BH190" s="53" t="str">
        <f>'[1]2023'!Q345</f>
        <v>#REF!</v>
      </c>
      <c r="BI190" s="27"/>
      <c r="BJ190" s="27"/>
      <c r="BK190" s="27" t="s">
        <v>76</v>
      </c>
      <c r="BL190" s="27"/>
    </row>
    <row r="191" ht="14.25" customHeight="1">
      <c r="A191" s="26" t="s">
        <v>55</v>
      </c>
      <c r="B191" s="26" t="s">
        <v>56</v>
      </c>
      <c r="C191" s="26" t="s">
        <v>57</v>
      </c>
      <c r="D191" s="26" t="s">
        <v>81</v>
      </c>
      <c r="E191" s="27" t="s">
        <v>729</v>
      </c>
      <c r="F191" s="26" t="s">
        <v>730</v>
      </c>
      <c r="G191" s="29" t="s">
        <v>725</v>
      </c>
      <c r="H191" s="30">
        <v>45007.0</v>
      </c>
      <c r="I191" s="30">
        <v>45372.0</v>
      </c>
      <c r="J191" s="31">
        <v>0.0</v>
      </c>
      <c r="K191" s="26" t="s">
        <v>352</v>
      </c>
      <c r="L191" s="32" t="s">
        <v>75</v>
      </c>
      <c r="M191" s="33">
        <v>23600.0</v>
      </c>
      <c r="N191" s="34">
        <v>25134.4</v>
      </c>
      <c r="O191" s="27" t="s">
        <v>76</v>
      </c>
      <c r="P191" s="35" t="s">
        <v>104</v>
      </c>
      <c r="Q191" s="35" t="s">
        <v>65</v>
      </c>
      <c r="R191" s="36" t="e">
        <v>#VALUE!</v>
      </c>
      <c r="S191" s="35" t="s">
        <v>86</v>
      </c>
      <c r="T191" s="35">
        <v>0.0</v>
      </c>
      <c r="U191" s="37" t="s">
        <v>67</v>
      </c>
      <c r="V191" s="38"/>
      <c r="W191" s="38"/>
      <c r="X191" s="27"/>
      <c r="Y191" s="39"/>
      <c r="Z191" s="39"/>
      <c r="AA191" s="39"/>
      <c r="AB191" s="40"/>
      <c r="AC191" s="27">
        <f t="shared" si="123"/>
        <v>0</v>
      </c>
      <c r="AD191" s="41"/>
      <c r="AE191" s="42"/>
      <c r="AF191" s="27"/>
      <c r="AG191" s="43">
        <f t="shared" si="124"/>
        <v>6053.4</v>
      </c>
      <c r="AH191" s="29"/>
      <c r="AI191" s="29"/>
      <c r="AJ191" s="29"/>
      <c r="AK191" s="29"/>
      <c r="AL191" s="27"/>
      <c r="AM191" s="44"/>
      <c r="AN191" s="47"/>
      <c r="AO191" s="46"/>
      <c r="AP191" s="47"/>
      <c r="AQ191" s="43">
        <f t="shared" si="125"/>
        <v>6372</v>
      </c>
      <c r="AR191" s="43">
        <f t="shared" si="2"/>
        <v>318.6</v>
      </c>
      <c r="AS191" s="43">
        <f t="shared" si="3"/>
        <v>1115.1</v>
      </c>
      <c r="AT191" s="48">
        <f t="shared" si="4"/>
        <v>4938.3</v>
      </c>
      <c r="AU191" s="49">
        <f t="shared" si="119"/>
        <v>4938.3</v>
      </c>
      <c r="AV191" s="48"/>
      <c r="AW191" s="34">
        <f t="shared" si="5"/>
        <v>25134.4</v>
      </c>
      <c r="AX191" s="50">
        <f t="shared" si="6"/>
        <v>4938.3</v>
      </c>
      <c r="AY191" s="43"/>
      <c r="AZ191" s="27"/>
      <c r="BA191" s="48">
        <f t="shared" si="126"/>
        <v>4938.3</v>
      </c>
      <c r="BB191" s="27"/>
      <c r="BC191" s="27"/>
      <c r="BD191" s="51"/>
      <c r="BE191" s="52"/>
      <c r="BF191" s="27" t="s">
        <v>729</v>
      </c>
      <c r="BG191" s="53" t="s">
        <v>731</v>
      </c>
      <c r="BH191" s="53" t="str">
        <f>'[1]2023'!Q402</f>
        <v>#REF!</v>
      </c>
      <c r="BI191" s="27"/>
      <c r="BJ191" s="27"/>
      <c r="BK191" s="27" t="s">
        <v>76</v>
      </c>
      <c r="BL191" s="27"/>
    </row>
    <row r="192" ht="14.25" customHeight="1">
      <c r="A192" s="26" t="s">
        <v>68</v>
      </c>
      <c r="B192" s="26" t="s">
        <v>69</v>
      </c>
      <c r="C192" s="26" t="s">
        <v>70</v>
      </c>
      <c r="D192" s="26" t="s">
        <v>71</v>
      </c>
      <c r="E192" s="27" t="s">
        <v>732</v>
      </c>
      <c r="F192" s="28" t="s">
        <v>73</v>
      </c>
      <c r="G192" s="29" t="s">
        <v>725</v>
      </c>
      <c r="H192" s="30">
        <v>45007.0</v>
      </c>
      <c r="I192" s="30">
        <v>45372.0</v>
      </c>
      <c r="J192" s="31">
        <v>0.0</v>
      </c>
      <c r="K192" s="26" t="s">
        <v>352</v>
      </c>
      <c r="L192" s="73" t="s">
        <v>63</v>
      </c>
      <c r="M192" s="108">
        <v>1220.0</v>
      </c>
      <c r="N192" s="85">
        <v>1300.0</v>
      </c>
      <c r="O192" s="27" t="s">
        <v>64</v>
      </c>
      <c r="P192" s="35">
        <v>0.0</v>
      </c>
      <c r="Q192" s="35">
        <v>0.0</v>
      </c>
      <c r="R192" s="36" t="e">
        <v>#VALUE!</v>
      </c>
      <c r="S192" s="35" t="s">
        <v>78</v>
      </c>
      <c r="T192" s="54" t="s">
        <v>79</v>
      </c>
      <c r="U192" s="37">
        <v>0.0</v>
      </c>
      <c r="V192" s="38"/>
      <c r="W192" s="38"/>
      <c r="X192" s="27"/>
      <c r="Y192" s="39"/>
      <c r="Z192" s="39"/>
      <c r="AA192" s="39"/>
      <c r="AB192" s="40"/>
      <c r="AC192" s="27">
        <f t="shared" si="123"/>
        <v>0</v>
      </c>
      <c r="AD192" s="41">
        <f>IF(AND(S192="0",O192="Paid"),(M192*15%)-AC192,0)</f>
        <v>0</v>
      </c>
      <c r="AE192" s="42"/>
      <c r="AF192" s="27"/>
      <c r="AG192" s="43">
        <f>IF(O192="Paid",IF(A192="Alwataniya",(M192*21%)-((M192*21%)*5%),IF((A192="GIG"),(M192*25%)-((M192*25%)*5%),IF((A192="Allianz"),(M192*27%)-((M192*27%)*20%),0))),0)</f>
        <v>0</v>
      </c>
      <c r="AH192" s="29"/>
      <c r="AI192" s="29"/>
      <c r="AJ192" s="29"/>
      <c r="AK192" s="75"/>
      <c r="AL192" s="44"/>
      <c r="AM192" s="27"/>
      <c r="AN192" s="63"/>
      <c r="AO192" s="46"/>
      <c r="AP192" s="47"/>
      <c r="AQ192" s="43" t="b">
        <f>IF(O192="Paid",IF(U192="Motor Plus",(M192*27%),IF(U192="Motor One",(M192*22%),(IF(U192="Golden",(M192*25%),(IF(U192="Classic",(M192*15%),(IF(U192="Wethaq",(M192*28%),IF(U192="Alwataniya",(M192*21%))*0)))))))))</f>
        <v>0</v>
      </c>
      <c r="AR192" s="43">
        <f t="shared" si="2"/>
        <v>0</v>
      </c>
      <c r="AS192" s="43">
        <f t="shared" si="3"/>
        <v>0</v>
      </c>
      <c r="AT192" s="48">
        <f t="shared" si="4"/>
        <v>0</v>
      </c>
      <c r="AU192" s="49">
        <f t="shared" si="119"/>
        <v>0</v>
      </c>
      <c r="AV192" s="48"/>
      <c r="AW192" s="34">
        <f t="shared" si="5"/>
        <v>1300</v>
      </c>
      <c r="AX192" s="50">
        <f t="shared" si="6"/>
        <v>0</v>
      </c>
      <c r="AY192" s="48"/>
      <c r="AZ192" s="43"/>
      <c r="BA192" s="48">
        <f t="shared" si="126"/>
        <v>0</v>
      </c>
      <c r="BB192" s="27"/>
      <c r="BC192" s="27"/>
      <c r="BD192" s="51"/>
      <c r="BE192" s="52"/>
      <c r="BF192" s="27" t="s">
        <v>733</v>
      </c>
      <c r="BG192" s="58" t="s">
        <v>734</v>
      </c>
      <c r="BH192" s="53" t="str">
        <f>'[1]2023'!Q605</f>
        <v>#REF!</v>
      </c>
      <c r="BI192" s="27"/>
      <c r="BJ192" s="27"/>
      <c r="BK192" s="27" t="s">
        <v>64</v>
      </c>
      <c r="BL192" s="27"/>
    </row>
    <row r="193" ht="14.25" customHeight="1">
      <c r="A193" s="26" t="s">
        <v>55</v>
      </c>
      <c r="B193" s="26" t="s">
        <v>56</v>
      </c>
      <c r="C193" s="26" t="s">
        <v>57</v>
      </c>
      <c r="D193" s="26" t="s">
        <v>81</v>
      </c>
      <c r="E193" s="27" t="s">
        <v>735</v>
      </c>
      <c r="F193" s="28" t="s">
        <v>736</v>
      </c>
      <c r="G193" s="29">
        <v>45008.0</v>
      </c>
      <c r="H193" s="30">
        <v>45008.0</v>
      </c>
      <c r="I193" s="30">
        <v>45373.0</v>
      </c>
      <c r="J193" s="31" t="s">
        <v>737</v>
      </c>
      <c r="K193" s="26" t="s">
        <v>352</v>
      </c>
      <c r="L193" s="102">
        <v>45264.0</v>
      </c>
      <c r="M193" s="33">
        <v>14787.5</v>
      </c>
      <c r="N193" s="34">
        <v>15800.98</v>
      </c>
      <c r="O193" s="27" t="s">
        <v>76</v>
      </c>
      <c r="P193" s="35" t="s">
        <v>142</v>
      </c>
      <c r="Q193" s="35" t="s">
        <v>90</v>
      </c>
      <c r="R193" s="36">
        <v>45008.0</v>
      </c>
      <c r="S193" s="35" t="s">
        <v>86</v>
      </c>
      <c r="T193" s="35">
        <v>0.0</v>
      </c>
      <c r="U193" s="37" t="s">
        <v>67</v>
      </c>
      <c r="V193" s="38"/>
      <c r="W193" s="38"/>
      <c r="X193" s="27"/>
      <c r="Y193" s="39"/>
      <c r="Z193" s="39"/>
      <c r="AA193" s="39"/>
      <c r="AB193" s="40"/>
      <c r="AC193" s="27">
        <f t="shared" si="123"/>
        <v>0</v>
      </c>
      <c r="AD193" s="41">
        <f t="shared" ref="AD193:AD195" si="127">IF(AND(S193="0",O193="Paid"),M193*15%,0)</f>
        <v>2218.125</v>
      </c>
      <c r="AE193" s="42"/>
      <c r="AF193" s="29">
        <v>45020.0</v>
      </c>
      <c r="AG193" s="43">
        <f t="shared" ref="AG193:AG195" si="128">IF(O193="Paid",IF(A193="Alwataniya",(M193*21%)-((M193*21%)*5%),IF((A193="GIG"),(M193*25%)-((M193*25%)*5%),IF((A193="Allianz"),(M193*27%)-((M193*27%)*5%),0))),0)</f>
        <v>3792.99375</v>
      </c>
      <c r="AH193" s="29"/>
      <c r="AI193" s="29"/>
      <c r="AJ193" s="29"/>
      <c r="AK193" s="75"/>
      <c r="AL193" s="44"/>
      <c r="AM193" s="27"/>
      <c r="AN193" s="47"/>
      <c r="AO193" s="46"/>
      <c r="AP193" s="47"/>
      <c r="AQ193" s="43">
        <f t="shared" ref="AQ193:AQ199" si="129">IF(U193="Motor Plus",(M193*27%),IF(U193="Motor One",(M193*22%),(IF(U193="Golden",(M193*25%),(IF(U193="Classic",(M193*15%),(IF(U193="Wethaq",(M193*28%),IF(U193="Alwataniya",(M193*21%))*0))))))))</f>
        <v>3992.625</v>
      </c>
      <c r="AR193" s="43">
        <f t="shared" si="2"/>
        <v>199.63125</v>
      </c>
      <c r="AS193" s="43">
        <f t="shared" si="3"/>
        <v>698.709375</v>
      </c>
      <c r="AT193" s="48">
        <f t="shared" si="4"/>
        <v>3094.284375</v>
      </c>
      <c r="AU193" s="49">
        <f t="shared" si="119"/>
        <v>3094.284375</v>
      </c>
      <c r="AV193" s="48"/>
      <c r="AW193" s="34">
        <f t="shared" si="5"/>
        <v>13582.855</v>
      </c>
      <c r="AX193" s="50">
        <f t="shared" si="6"/>
        <v>876.159375</v>
      </c>
      <c r="AY193" s="48"/>
      <c r="AZ193" s="27"/>
      <c r="BA193" s="48">
        <f t="shared" si="126"/>
        <v>3094.284375</v>
      </c>
      <c r="BB193" s="27"/>
      <c r="BC193" s="27"/>
      <c r="BD193" s="51"/>
      <c r="BE193" s="52"/>
      <c r="BF193" s="27" t="s">
        <v>735</v>
      </c>
      <c r="BG193" s="53">
        <v>45110.0</v>
      </c>
      <c r="BH193" s="53" t="str">
        <f>'[1]2023'!Q269</f>
        <v>#REF!</v>
      </c>
      <c r="BI193" s="27"/>
      <c r="BJ193" s="27"/>
      <c r="BK193" s="27" t="s">
        <v>76</v>
      </c>
      <c r="BL193" s="27"/>
    </row>
    <row r="194" ht="14.25" customHeight="1">
      <c r="A194" s="26" t="s">
        <v>55</v>
      </c>
      <c r="B194" s="26" t="s">
        <v>56</v>
      </c>
      <c r="C194" s="26" t="s">
        <v>57</v>
      </c>
      <c r="D194" s="26" t="s">
        <v>81</v>
      </c>
      <c r="E194" s="27" t="s">
        <v>738</v>
      </c>
      <c r="F194" s="28" t="s">
        <v>739</v>
      </c>
      <c r="G194" s="29">
        <v>45008.0</v>
      </c>
      <c r="H194" s="30">
        <v>45008.0</v>
      </c>
      <c r="I194" s="30">
        <v>45373.0</v>
      </c>
      <c r="J194" s="31" t="s">
        <v>740</v>
      </c>
      <c r="K194" s="26" t="s">
        <v>352</v>
      </c>
      <c r="L194" s="32" t="s">
        <v>75</v>
      </c>
      <c r="M194" s="33">
        <v>28080.0</v>
      </c>
      <c r="N194" s="34">
        <v>29877.72</v>
      </c>
      <c r="O194" s="27" t="s">
        <v>76</v>
      </c>
      <c r="P194" s="35" t="s">
        <v>104</v>
      </c>
      <c r="Q194" s="35" t="s">
        <v>90</v>
      </c>
      <c r="R194" s="36">
        <v>45008.0</v>
      </c>
      <c r="S194" s="35" t="s">
        <v>86</v>
      </c>
      <c r="T194" s="35">
        <v>0.0</v>
      </c>
      <c r="U194" s="37" t="s">
        <v>67</v>
      </c>
      <c r="V194" s="38"/>
      <c r="W194" s="38"/>
      <c r="X194" s="27"/>
      <c r="Y194" s="39"/>
      <c r="Z194" s="39"/>
      <c r="AA194" s="39"/>
      <c r="AB194" s="40"/>
      <c r="AC194" s="27">
        <f t="shared" si="123"/>
        <v>0</v>
      </c>
      <c r="AD194" s="41">
        <f t="shared" si="127"/>
        <v>4212</v>
      </c>
      <c r="AE194" s="42"/>
      <c r="AF194" s="27"/>
      <c r="AG194" s="43">
        <f t="shared" si="128"/>
        <v>7202.52</v>
      </c>
      <c r="AH194" s="29"/>
      <c r="AI194" s="29"/>
      <c r="AJ194" s="29"/>
      <c r="AK194" s="29"/>
      <c r="AL194" s="27"/>
      <c r="AM194" s="44"/>
      <c r="AN194" s="68"/>
      <c r="AO194" s="46"/>
      <c r="AP194" s="47"/>
      <c r="AQ194" s="43">
        <f t="shared" si="129"/>
        <v>7581.6</v>
      </c>
      <c r="AR194" s="43">
        <f t="shared" si="2"/>
        <v>379.08</v>
      </c>
      <c r="AS194" s="43">
        <f t="shared" si="3"/>
        <v>1326.78</v>
      </c>
      <c r="AT194" s="48">
        <f t="shared" si="4"/>
        <v>5875.74</v>
      </c>
      <c r="AU194" s="49">
        <f t="shared" si="119"/>
        <v>5875.74</v>
      </c>
      <c r="AV194" s="48"/>
      <c r="AW194" s="34">
        <f t="shared" si="5"/>
        <v>25665.72</v>
      </c>
      <c r="AX194" s="50">
        <f t="shared" si="6"/>
        <v>1663.74</v>
      </c>
      <c r="AY194" s="43"/>
      <c r="AZ194" s="27"/>
      <c r="BA194" s="48">
        <f t="shared" si="126"/>
        <v>5875.74</v>
      </c>
      <c r="BB194" s="27"/>
      <c r="BC194" s="27"/>
      <c r="BD194" s="51"/>
      <c r="BE194" s="52"/>
      <c r="BF194" s="27" t="s">
        <v>738</v>
      </c>
      <c r="BG194" s="53" t="s">
        <v>547</v>
      </c>
      <c r="BH194" s="53" t="str">
        <f>'[1]2023'!Q271</f>
        <v>#REF!</v>
      </c>
      <c r="BI194" s="27"/>
      <c r="BJ194" s="27"/>
      <c r="BK194" s="27" t="s">
        <v>76</v>
      </c>
      <c r="BL194" s="27"/>
    </row>
    <row r="195" ht="14.25" customHeight="1">
      <c r="A195" s="26" t="s">
        <v>55</v>
      </c>
      <c r="B195" s="26" t="s">
        <v>56</v>
      </c>
      <c r="C195" s="26" t="s">
        <v>57</v>
      </c>
      <c r="D195" s="26" t="s">
        <v>81</v>
      </c>
      <c r="E195" s="27" t="s">
        <v>741</v>
      </c>
      <c r="F195" s="26" t="s">
        <v>742</v>
      </c>
      <c r="G195" s="29" t="s">
        <v>731</v>
      </c>
      <c r="H195" s="30">
        <v>45008.0</v>
      </c>
      <c r="I195" s="30">
        <v>45373.0</v>
      </c>
      <c r="J195" s="31">
        <v>0.0</v>
      </c>
      <c r="K195" s="26" t="s">
        <v>352</v>
      </c>
      <c r="L195" s="32" t="s">
        <v>75</v>
      </c>
      <c r="M195" s="33">
        <v>29274.19</v>
      </c>
      <c r="N195" s="34">
        <v>31142.37</v>
      </c>
      <c r="O195" s="27" t="s">
        <v>76</v>
      </c>
      <c r="P195" s="35" t="s">
        <v>89</v>
      </c>
      <c r="Q195" s="35" t="s">
        <v>108</v>
      </c>
      <c r="R195" s="36" t="e">
        <v>#VALUE!</v>
      </c>
      <c r="S195" s="35" t="s">
        <v>86</v>
      </c>
      <c r="T195" s="35">
        <v>0.0</v>
      </c>
      <c r="U195" s="37" t="s">
        <v>67</v>
      </c>
      <c r="V195" s="38"/>
      <c r="W195" s="38"/>
      <c r="X195" s="27"/>
      <c r="Y195" s="39"/>
      <c r="Z195" s="39"/>
      <c r="AA195" s="39"/>
      <c r="AB195" s="40"/>
      <c r="AC195" s="27">
        <f t="shared" si="123"/>
        <v>0</v>
      </c>
      <c r="AD195" s="41">
        <f t="shared" si="127"/>
        <v>4391.1285</v>
      </c>
      <c r="AE195" s="42"/>
      <c r="AF195" s="27" t="s">
        <v>296</v>
      </c>
      <c r="AG195" s="43">
        <f t="shared" si="128"/>
        <v>7508.829735</v>
      </c>
      <c r="AH195" s="29"/>
      <c r="AI195" s="29"/>
      <c r="AJ195" s="29"/>
      <c r="AK195" s="29"/>
      <c r="AL195" s="27"/>
      <c r="AM195" s="44"/>
      <c r="AN195" s="47"/>
      <c r="AO195" s="46"/>
      <c r="AP195" s="47"/>
      <c r="AQ195" s="43">
        <f t="shared" si="129"/>
        <v>7904.0313</v>
      </c>
      <c r="AR195" s="43">
        <f t="shared" si="2"/>
        <v>395.201565</v>
      </c>
      <c r="AS195" s="43">
        <f t="shared" si="3"/>
        <v>1383.205478</v>
      </c>
      <c r="AT195" s="48">
        <f t="shared" si="4"/>
        <v>6125.624258</v>
      </c>
      <c r="AU195" s="49">
        <f t="shared" si="119"/>
        <v>6125.624258</v>
      </c>
      <c r="AV195" s="48"/>
      <c r="AW195" s="34">
        <f t="shared" si="5"/>
        <v>26751.2415</v>
      </c>
      <c r="AX195" s="50">
        <f t="shared" si="6"/>
        <v>1734.495758</v>
      </c>
      <c r="AY195" s="84"/>
      <c r="AZ195" s="27"/>
      <c r="BA195" s="48">
        <f t="shared" si="126"/>
        <v>6125.624258</v>
      </c>
      <c r="BB195" s="27"/>
      <c r="BC195" s="27"/>
      <c r="BD195" s="51"/>
      <c r="BE195" s="52"/>
      <c r="BF195" s="27" t="s">
        <v>741</v>
      </c>
      <c r="BG195" s="58" t="s">
        <v>743</v>
      </c>
      <c r="BH195" s="53" t="str">
        <f>'[1]2023'!Q338</f>
        <v>#REF!</v>
      </c>
      <c r="BI195" s="27"/>
      <c r="BJ195" s="27"/>
      <c r="BK195" s="27" t="s">
        <v>76</v>
      </c>
      <c r="BL195" s="27"/>
    </row>
    <row r="196" ht="14.25" customHeight="1">
      <c r="A196" s="26" t="s">
        <v>111</v>
      </c>
      <c r="B196" s="26" t="s">
        <v>56</v>
      </c>
      <c r="C196" s="26" t="s">
        <v>57</v>
      </c>
      <c r="D196" s="26" t="s">
        <v>71</v>
      </c>
      <c r="E196" s="27" t="s">
        <v>744</v>
      </c>
      <c r="F196" s="28" t="s">
        <v>745</v>
      </c>
      <c r="G196" s="29" t="s">
        <v>731</v>
      </c>
      <c r="H196" s="30">
        <v>45008.0</v>
      </c>
      <c r="I196" s="30">
        <v>45373.0</v>
      </c>
      <c r="J196" s="31" t="s">
        <v>746</v>
      </c>
      <c r="K196" s="26" t="s">
        <v>352</v>
      </c>
      <c r="L196" s="32" t="s">
        <v>75</v>
      </c>
      <c r="M196" s="33">
        <v>48861.38</v>
      </c>
      <c r="N196" s="34">
        <v>52000.0</v>
      </c>
      <c r="O196" s="27" t="s">
        <v>76</v>
      </c>
      <c r="P196" s="35" t="s">
        <v>162</v>
      </c>
      <c r="Q196" s="35" t="s">
        <v>114</v>
      </c>
      <c r="R196" s="36" t="e">
        <v>#VALUE!</v>
      </c>
      <c r="S196" s="35" t="s">
        <v>78</v>
      </c>
      <c r="T196" s="54" t="s">
        <v>510</v>
      </c>
      <c r="U196" s="37" t="s">
        <v>115</v>
      </c>
      <c r="V196" s="38">
        <v>2000000.0</v>
      </c>
      <c r="W196" s="38"/>
      <c r="X196" s="27"/>
      <c r="Y196" s="39"/>
      <c r="Z196" s="39" t="s">
        <v>747</v>
      </c>
      <c r="AA196" s="39"/>
      <c r="AB196" s="40"/>
      <c r="AC196" s="27">
        <f t="shared" si="123"/>
        <v>0</v>
      </c>
      <c r="AD196" s="41"/>
      <c r="AE196" s="42"/>
      <c r="AF196" s="27"/>
      <c r="AG196" s="43">
        <f t="shared" ref="AG196:AG197" si="130">IF(O196="Paid",IF(A196="Alwataniya",(M196*21%)-((M196*21%)*5%),IF((A196="GIG"),(M196*25%)-((M196*25%)*5%),IF((A196="Allianz"),(M196*27%)-((M196*27%)*20%),0))),0)</f>
        <v>11604.57775</v>
      </c>
      <c r="AH196" s="29" t="s">
        <v>75</v>
      </c>
      <c r="AI196" s="105" t="s">
        <v>748</v>
      </c>
      <c r="AJ196" s="40">
        <v>0.25</v>
      </c>
      <c r="AK196" s="62" t="s">
        <v>63</v>
      </c>
      <c r="AL196" s="27"/>
      <c r="AM196" s="44"/>
      <c r="AN196" s="56"/>
      <c r="AO196" s="96">
        <f t="shared" ref="AO196:AO197" si="131">M196*AJ196-((M196*AJ196)*22.5%)</f>
        <v>9466.892375</v>
      </c>
      <c r="AP196" s="47" t="s">
        <v>749</v>
      </c>
      <c r="AQ196" s="43">
        <f t="shared" si="129"/>
        <v>12215.345</v>
      </c>
      <c r="AR196" s="43">
        <f t="shared" si="2"/>
        <v>610.76725</v>
      </c>
      <c r="AS196" s="43">
        <f t="shared" si="3"/>
        <v>2137.685375</v>
      </c>
      <c r="AT196" s="48">
        <f t="shared" si="4"/>
        <v>9466.892375</v>
      </c>
      <c r="AU196" s="49">
        <f t="shared" si="119"/>
        <v>9466.892375</v>
      </c>
      <c r="AV196" s="48"/>
      <c r="AW196" s="34">
        <f t="shared" si="5"/>
        <v>52000</v>
      </c>
      <c r="AX196" s="50">
        <f t="shared" si="6"/>
        <v>0</v>
      </c>
      <c r="AY196" s="43"/>
      <c r="AZ196" s="27"/>
      <c r="BA196" s="48" t="str">
        <f t="shared" ref="BA196:BA197" si="132">IF(S196&lt;&gt;0,AU196-#REF!-AM196,(AG196-AD196-AE196-AS196))</f>
        <v>#REF!</v>
      </c>
      <c r="BB196" s="27"/>
      <c r="BC196" s="27"/>
      <c r="BD196" s="51"/>
      <c r="BE196" s="52"/>
      <c r="BF196" s="77" t="s">
        <v>744</v>
      </c>
      <c r="BG196" s="58" t="s">
        <v>750</v>
      </c>
      <c r="BH196" s="53" t="str">
        <f t="shared" ref="BH196:BH197" si="133">'[1]2023'!Q391</f>
        <v>#REF!</v>
      </c>
      <c r="BI196" s="27"/>
      <c r="BJ196" s="27"/>
      <c r="BK196" s="27" t="s">
        <v>76</v>
      </c>
      <c r="BL196" s="64" t="s">
        <v>751</v>
      </c>
    </row>
    <row r="197" ht="14.25" customHeight="1">
      <c r="A197" s="26" t="s">
        <v>111</v>
      </c>
      <c r="B197" s="26" t="s">
        <v>56</v>
      </c>
      <c r="C197" s="26" t="s">
        <v>57</v>
      </c>
      <c r="D197" s="26" t="s">
        <v>71</v>
      </c>
      <c r="E197" s="27" t="s">
        <v>752</v>
      </c>
      <c r="F197" s="28" t="s">
        <v>753</v>
      </c>
      <c r="G197" s="29" t="s">
        <v>731</v>
      </c>
      <c r="H197" s="30">
        <v>45008.0</v>
      </c>
      <c r="I197" s="30">
        <v>45373.0</v>
      </c>
      <c r="J197" s="31" t="s">
        <v>754</v>
      </c>
      <c r="K197" s="26" t="s">
        <v>352</v>
      </c>
      <c r="L197" s="32" t="s">
        <v>75</v>
      </c>
      <c r="M197" s="33">
        <v>48861.38</v>
      </c>
      <c r="N197" s="34">
        <v>52000.0</v>
      </c>
      <c r="O197" s="27" t="s">
        <v>76</v>
      </c>
      <c r="P197" s="35" t="s">
        <v>162</v>
      </c>
      <c r="Q197" s="35" t="s">
        <v>114</v>
      </c>
      <c r="R197" s="36" t="e">
        <v>#VALUE!</v>
      </c>
      <c r="S197" s="35" t="s">
        <v>78</v>
      </c>
      <c r="T197" s="54" t="s">
        <v>510</v>
      </c>
      <c r="U197" s="37" t="s">
        <v>115</v>
      </c>
      <c r="V197" s="38">
        <v>2000000.0</v>
      </c>
      <c r="W197" s="38"/>
      <c r="X197" s="27"/>
      <c r="Y197" s="39"/>
      <c r="Z197" s="39" t="s">
        <v>755</v>
      </c>
      <c r="AA197" s="39"/>
      <c r="AB197" s="40"/>
      <c r="AC197" s="27">
        <f t="shared" si="123"/>
        <v>0</v>
      </c>
      <c r="AD197" s="41"/>
      <c r="AE197" s="42"/>
      <c r="AF197" s="27"/>
      <c r="AG197" s="43">
        <f t="shared" si="130"/>
        <v>11604.57775</v>
      </c>
      <c r="AH197" s="29" t="s">
        <v>75</v>
      </c>
      <c r="AI197" s="105" t="s">
        <v>748</v>
      </c>
      <c r="AJ197" s="40">
        <v>0.25</v>
      </c>
      <c r="AK197" s="98" t="s">
        <v>63</v>
      </c>
      <c r="AL197" s="27"/>
      <c r="AM197" s="44"/>
      <c r="AN197" s="56"/>
      <c r="AO197" s="95">
        <f t="shared" si="131"/>
        <v>9466.892375</v>
      </c>
      <c r="AP197" s="47" t="s">
        <v>749</v>
      </c>
      <c r="AQ197" s="43">
        <f t="shared" si="129"/>
        <v>12215.345</v>
      </c>
      <c r="AR197" s="43">
        <f t="shared" si="2"/>
        <v>610.76725</v>
      </c>
      <c r="AS197" s="43">
        <f t="shared" si="3"/>
        <v>2137.685375</v>
      </c>
      <c r="AT197" s="48">
        <f t="shared" si="4"/>
        <v>9466.892375</v>
      </c>
      <c r="AU197" s="49">
        <f t="shared" si="119"/>
        <v>9466.892375</v>
      </c>
      <c r="AV197" s="48"/>
      <c r="AW197" s="34">
        <f t="shared" si="5"/>
        <v>52000</v>
      </c>
      <c r="AX197" s="50">
        <f t="shared" si="6"/>
        <v>0</v>
      </c>
      <c r="AY197" s="43"/>
      <c r="AZ197" s="27"/>
      <c r="BA197" s="48" t="str">
        <f t="shared" si="132"/>
        <v>#REF!</v>
      </c>
      <c r="BB197" s="27"/>
      <c r="BC197" s="27"/>
      <c r="BD197" s="51"/>
      <c r="BE197" s="52"/>
      <c r="BF197" s="77" t="s">
        <v>752</v>
      </c>
      <c r="BG197" s="58" t="s">
        <v>750</v>
      </c>
      <c r="BH197" s="53" t="str">
        <f t="shared" si="133"/>
        <v>#REF!</v>
      </c>
      <c r="BI197" s="27"/>
      <c r="BJ197" s="27"/>
      <c r="BK197" s="27" t="s">
        <v>76</v>
      </c>
      <c r="BL197" s="64" t="s">
        <v>751</v>
      </c>
    </row>
    <row r="198" ht="14.25" customHeight="1">
      <c r="A198" s="26" t="s">
        <v>55</v>
      </c>
      <c r="B198" s="26" t="s">
        <v>56</v>
      </c>
      <c r="C198" s="26" t="s">
        <v>57</v>
      </c>
      <c r="D198" s="26" t="s">
        <v>71</v>
      </c>
      <c r="E198" s="27" t="s">
        <v>756</v>
      </c>
      <c r="F198" s="28" t="s">
        <v>757</v>
      </c>
      <c r="G198" s="29" t="s">
        <v>731</v>
      </c>
      <c r="H198" s="30">
        <v>45008.0</v>
      </c>
      <c r="I198" s="30">
        <v>45373.0</v>
      </c>
      <c r="J198" s="31" t="s">
        <v>758</v>
      </c>
      <c r="K198" s="26" t="s">
        <v>352</v>
      </c>
      <c r="L198" s="32" t="s">
        <v>759</v>
      </c>
      <c r="M198" s="33">
        <v>107160.0</v>
      </c>
      <c r="N198" s="34">
        <v>113624.44</v>
      </c>
      <c r="O198" s="27" t="s">
        <v>76</v>
      </c>
      <c r="P198" s="35" t="s">
        <v>104</v>
      </c>
      <c r="Q198" s="35" t="s">
        <v>65</v>
      </c>
      <c r="R198" s="36" t="e">
        <v>#VALUE!</v>
      </c>
      <c r="S198" s="35" t="s">
        <v>66</v>
      </c>
      <c r="T198" s="35">
        <v>0.0</v>
      </c>
      <c r="U198" s="37" t="s">
        <v>157</v>
      </c>
      <c r="V198" s="38">
        <v>3000000.0</v>
      </c>
      <c r="W198" s="78">
        <v>5.00306089E8</v>
      </c>
      <c r="X198" s="27">
        <v>2023.0</v>
      </c>
      <c r="Y198" s="39"/>
      <c r="Z198" s="79" t="s">
        <v>760</v>
      </c>
      <c r="AA198" s="39"/>
      <c r="AB198" s="40"/>
      <c r="AC198" s="27">
        <f t="shared" si="123"/>
        <v>0</v>
      </c>
      <c r="AD198" s="41"/>
      <c r="AE198" s="42"/>
      <c r="AF198" s="27"/>
      <c r="AG198" s="43">
        <f t="shared" ref="AG198:AG205" si="134">IF(O198="Paid",IF(A198="Alwataniya",(M198*21%)-((M198*21%)*5%),IF((A198="GIG"),(M198*25%)-((M198*25%)*5%),IF((A198="Allianz"),(M198*27%)-((M198*27%)*5%),0))),0)</f>
        <v>27486.54</v>
      </c>
      <c r="AH198" s="29"/>
      <c r="AI198" s="29"/>
      <c r="AJ198" s="29"/>
      <c r="AK198" s="29"/>
      <c r="AL198" s="27"/>
      <c r="AM198" s="44">
        <f>IF((BD198&lt;=2),AU198*10%,(IF((BD198&lt;=3),AU198*20%,IF((BD198&lt;=4),AU198*20%,IF((BD198&gt;=5),AU198*30%,0)))))</f>
        <v>1827.078</v>
      </c>
      <c r="AN198" s="63" t="s">
        <v>75</v>
      </c>
      <c r="AO198" s="46"/>
      <c r="AP198" s="47"/>
      <c r="AQ198" s="43">
        <f t="shared" si="129"/>
        <v>23575.2</v>
      </c>
      <c r="AR198" s="43">
        <f t="shared" si="2"/>
        <v>1178.76</v>
      </c>
      <c r="AS198" s="43">
        <f t="shared" si="3"/>
        <v>4125.66</v>
      </c>
      <c r="AT198" s="48">
        <f t="shared" si="4"/>
        <v>18270.78</v>
      </c>
      <c r="AU198" s="49">
        <f t="shared" si="119"/>
        <v>18270.78</v>
      </c>
      <c r="AV198" s="48"/>
      <c r="AW198" s="34">
        <f t="shared" si="5"/>
        <v>113624.44</v>
      </c>
      <c r="AX198" s="50">
        <f t="shared" si="6"/>
        <v>21533.802</v>
      </c>
      <c r="AY198" s="43"/>
      <c r="AZ198" s="27"/>
      <c r="BA198" s="48">
        <f t="shared" ref="BA198:BA243" si="135">IF(S198&lt;&gt;0,AU198-AO198-AM198,(AG198-AD198-AE198-AS198))</f>
        <v>16443.702</v>
      </c>
      <c r="BB198" s="27"/>
      <c r="BC198" s="27"/>
      <c r="BD198" s="51"/>
      <c r="BE198" s="52"/>
      <c r="BF198" s="27" t="s">
        <v>756</v>
      </c>
      <c r="BG198" s="53" t="s">
        <v>761</v>
      </c>
      <c r="BH198" s="53" t="str">
        <f>'[1]2023'!Q404</f>
        <v>#REF!</v>
      </c>
      <c r="BI198" s="27"/>
      <c r="BJ198" s="27"/>
      <c r="BK198" s="27" t="s">
        <v>76</v>
      </c>
      <c r="BL198" s="27"/>
    </row>
    <row r="199" ht="14.25" customHeight="1">
      <c r="A199" s="26" t="s">
        <v>55</v>
      </c>
      <c r="B199" s="26" t="s">
        <v>56</v>
      </c>
      <c r="C199" s="26" t="s">
        <v>57</v>
      </c>
      <c r="D199" s="26" t="s">
        <v>81</v>
      </c>
      <c r="E199" s="27" t="s">
        <v>762</v>
      </c>
      <c r="F199" s="28" t="s">
        <v>763</v>
      </c>
      <c r="G199" s="29" t="s">
        <v>731</v>
      </c>
      <c r="H199" s="30">
        <v>45008.0</v>
      </c>
      <c r="I199" s="30">
        <v>45373.0</v>
      </c>
      <c r="J199" s="31">
        <v>0.0</v>
      </c>
      <c r="K199" s="26" t="s">
        <v>352</v>
      </c>
      <c r="L199" s="32" t="s">
        <v>75</v>
      </c>
      <c r="M199" s="33">
        <v>17290.0</v>
      </c>
      <c r="N199" s="34">
        <v>18451.11</v>
      </c>
      <c r="O199" s="27" t="s">
        <v>76</v>
      </c>
      <c r="P199" s="35" t="s">
        <v>122</v>
      </c>
      <c r="Q199" s="35" t="s">
        <v>90</v>
      </c>
      <c r="R199" s="36" t="e">
        <v>#VALUE!</v>
      </c>
      <c r="S199" s="35" t="s">
        <v>86</v>
      </c>
      <c r="T199" s="35">
        <v>0.0</v>
      </c>
      <c r="U199" s="37" t="s">
        <v>67</v>
      </c>
      <c r="V199" s="38"/>
      <c r="W199" s="38"/>
      <c r="X199" s="27"/>
      <c r="Y199" s="39"/>
      <c r="Z199" s="79" t="s">
        <v>764</v>
      </c>
      <c r="AA199" s="39"/>
      <c r="AB199" s="40"/>
      <c r="AC199" s="27">
        <f t="shared" si="123"/>
        <v>0</v>
      </c>
      <c r="AD199" s="41">
        <f>IF(AND(S199="0",O199="Paid"),M199*15%,0)</f>
        <v>2593.5</v>
      </c>
      <c r="AE199" s="42"/>
      <c r="AF199" s="27"/>
      <c r="AG199" s="43">
        <f t="shared" si="134"/>
        <v>4434.885</v>
      </c>
      <c r="AH199" s="29"/>
      <c r="AI199" s="29"/>
      <c r="AJ199" s="29"/>
      <c r="AK199" s="29"/>
      <c r="AL199" s="27"/>
      <c r="AM199" s="44"/>
      <c r="AN199" s="93"/>
      <c r="AO199" s="46"/>
      <c r="AP199" s="47"/>
      <c r="AQ199" s="43">
        <f t="shared" si="129"/>
        <v>4668.3</v>
      </c>
      <c r="AR199" s="43">
        <f t="shared" si="2"/>
        <v>233.415</v>
      </c>
      <c r="AS199" s="43">
        <f t="shared" si="3"/>
        <v>816.9525</v>
      </c>
      <c r="AT199" s="48">
        <f t="shared" si="4"/>
        <v>3617.9325</v>
      </c>
      <c r="AU199" s="49">
        <f t="shared" si="119"/>
        <v>3617.9325</v>
      </c>
      <c r="AV199" s="48"/>
      <c r="AW199" s="34">
        <f t="shared" si="5"/>
        <v>15857.61</v>
      </c>
      <c r="AX199" s="50">
        <f t="shared" si="6"/>
        <v>1024.4325</v>
      </c>
      <c r="AY199" s="43"/>
      <c r="AZ199" s="43"/>
      <c r="BA199" s="48">
        <f t="shared" si="135"/>
        <v>3617.9325</v>
      </c>
      <c r="BB199" s="27"/>
      <c r="BC199" s="27"/>
      <c r="BD199" s="51"/>
      <c r="BE199" s="52"/>
      <c r="BF199" s="27" t="s">
        <v>762</v>
      </c>
      <c r="BG199" s="53">
        <v>0.0</v>
      </c>
      <c r="BH199" s="53" t="str">
        <f>'[1]2023'!Q471</f>
        <v>#REF!</v>
      </c>
      <c r="BI199" s="27"/>
      <c r="BJ199" s="27"/>
      <c r="BK199" s="27" t="s">
        <v>76</v>
      </c>
      <c r="BL199" s="27"/>
    </row>
    <row r="200" ht="14.25" customHeight="1">
      <c r="A200" s="26" t="s">
        <v>55</v>
      </c>
      <c r="B200" s="26" t="s">
        <v>56</v>
      </c>
      <c r="C200" s="26" t="s">
        <v>57</v>
      </c>
      <c r="D200" s="26" t="s">
        <v>58</v>
      </c>
      <c r="E200" s="27" t="s">
        <v>765</v>
      </c>
      <c r="F200" s="28" t="s">
        <v>766</v>
      </c>
      <c r="G200" s="29">
        <v>45008.0</v>
      </c>
      <c r="H200" s="30">
        <v>45008.0</v>
      </c>
      <c r="I200" s="30">
        <v>45373.0</v>
      </c>
      <c r="J200" s="31">
        <v>0.0</v>
      </c>
      <c r="K200" s="26" t="s">
        <v>352</v>
      </c>
      <c r="L200" s="32" t="s">
        <v>63</v>
      </c>
      <c r="M200" s="33">
        <v>0.0</v>
      </c>
      <c r="N200" s="34">
        <v>0.0</v>
      </c>
      <c r="O200" s="27" t="s">
        <v>64</v>
      </c>
      <c r="P200" s="35">
        <v>0.0</v>
      </c>
      <c r="Q200" s="35">
        <v>0.0</v>
      </c>
      <c r="R200" s="36">
        <v>45008.0</v>
      </c>
      <c r="S200" s="35" t="s">
        <v>86</v>
      </c>
      <c r="T200" s="35">
        <v>0.0</v>
      </c>
      <c r="U200" s="37">
        <v>0.0</v>
      </c>
      <c r="V200" s="38"/>
      <c r="W200" s="38"/>
      <c r="X200" s="27"/>
      <c r="Y200" s="39"/>
      <c r="Z200" s="39"/>
      <c r="AA200" s="39"/>
      <c r="AB200" s="27"/>
      <c r="AC200" s="27">
        <f t="shared" si="123"/>
        <v>0</v>
      </c>
      <c r="AD200" s="41">
        <f t="shared" ref="AD200:AD202" si="136">IF(AND(S200="0",O200="Paid"),(M200*15%)-AC200,0)</f>
        <v>0</v>
      </c>
      <c r="AE200" s="42"/>
      <c r="AF200" s="27"/>
      <c r="AG200" s="43">
        <f t="shared" si="134"/>
        <v>0</v>
      </c>
      <c r="AH200" s="29"/>
      <c r="AI200" s="29"/>
      <c r="AJ200" s="29"/>
      <c r="AK200" s="29"/>
      <c r="AL200" s="27"/>
      <c r="AM200" s="44"/>
      <c r="AN200" s="47"/>
      <c r="AO200" s="46"/>
      <c r="AP200" s="47"/>
      <c r="AQ200" s="43" t="b">
        <f t="shared" ref="AQ200:AQ202" si="137">IF(O200="Paid",IF(U200="Motor Plus",(M200*27%),IF(U200="Motor One",(M200*22%),(IF(U200="Golden",(M200*25%),(IF(U200="Classic",(M200*15%),(IF(U200="Wethaq",(M200*28%),IF(U200="Alwataniya",(M200*21%))*0)))))))))</f>
        <v>0</v>
      </c>
      <c r="AR200" s="43">
        <f t="shared" si="2"/>
        <v>0</v>
      </c>
      <c r="AS200" s="43">
        <f t="shared" si="3"/>
        <v>0</v>
      </c>
      <c r="AT200" s="48">
        <f t="shared" si="4"/>
        <v>0</v>
      </c>
      <c r="AU200" s="49">
        <f>AQ200-AR200-AS200-AC200-AO200</f>
        <v>0</v>
      </c>
      <c r="AV200" s="48"/>
      <c r="AW200" s="34">
        <f t="shared" si="5"/>
        <v>0</v>
      </c>
      <c r="AX200" s="50">
        <f t="shared" si="6"/>
        <v>0</v>
      </c>
      <c r="AY200" s="43"/>
      <c r="AZ200" s="47"/>
      <c r="BA200" s="48">
        <f t="shared" si="135"/>
        <v>0</v>
      </c>
      <c r="BB200" s="27"/>
      <c r="BC200" s="27"/>
      <c r="BD200" s="51"/>
      <c r="BE200" s="52"/>
      <c r="BF200" s="27" t="s">
        <v>765</v>
      </c>
      <c r="BG200" s="53">
        <v>0.0</v>
      </c>
      <c r="BH200" s="53" t="str">
        <f>'[1]2023'!Q1168</f>
        <v>#REF!</v>
      </c>
      <c r="BI200" s="27"/>
      <c r="BJ200" s="27"/>
      <c r="BK200" s="27" t="s">
        <v>64</v>
      </c>
      <c r="BL200" s="27"/>
    </row>
    <row r="201" ht="14.25" customHeight="1">
      <c r="A201" s="26" t="s">
        <v>55</v>
      </c>
      <c r="B201" s="26" t="s">
        <v>56</v>
      </c>
      <c r="C201" s="26" t="s">
        <v>57</v>
      </c>
      <c r="D201" s="26" t="s">
        <v>81</v>
      </c>
      <c r="E201" s="27" t="s">
        <v>767</v>
      </c>
      <c r="F201" s="26" t="s">
        <v>768</v>
      </c>
      <c r="G201" s="29" t="s">
        <v>769</v>
      </c>
      <c r="H201" s="30">
        <v>45009.0</v>
      </c>
      <c r="I201" s="30">
        <v>45374.0</v>
      </c>
      <c r="J201" s="31">
        <v>0.0</v>
      </c>
      <c r="K201" s="26" t="s">
        <v>352</v>
      </c>
      <c r="L201" s="32" t="s">
        <v>63</v>
      </c>
      <c r="M201" s="33">
        <v>0.0</v>
      </c>
      <c r="N201" s="34">
        <v>0.0</v>
      </c>
      <c r="O201" s="27" t="s">
        <v>64</v>
      </c>
      <c r="P201" s="35">
        <v>0.0</v>
      </c>
      <c r="Q201" s="35">
        <v>0.0</v>
      </c>
      <c r="R201" s="36" t="e">
        <v>#VALUE!</v>
      </c>
      <c r="S201" s="35" t="s">
        <v>86</v>
      </c>
      <c r="T201" s="35">
        <v>0.0</v>
      </c>
      <c r="U201" s="37" t="s">
        <v>67</v>
      </c>
      <c r="V201" s="38"/>
      <c r="W201" s="38"/>
      <c r="X201" s="27"/>
      <c r="Y201" s="39"/>
      <c r="Z201" s="39"/>
      <c r="AA201" s="39"/>
      <c r="AB201" s="27"/>
      <c r="AC201" s="27">
        <f t="shared" si="123"/>
        <v>0</v>
      </c>
      <c r="AD201" s="41">
        <f t="shared" si="136"/>
        <v>0</v>
      </c>
      <c r="AE201" s="42"/>
      <c r="AF201" s="27"/>
      <c r="AG201" s="43">
        <f t="shared" si="134"/>
        <v>0</v>
      </c>
      <c r="AH201" s="29"/>
      <c r="AI201" s="29"/>
      <c r="AJ201" s="29"/>
      <c r="AK201" s="29"/>
      <c r="AL201" s="27"/>
      <c r="AM201" s="44"/>
      <c r="AN201" s="47"/>
      <c r="AO201" s="46"/>
      <c r="AP201" s="47"/>
      <c r="AQ201" s="43" t="b">
        <f t="shared" si="137"/>
        <v>0</v>
      </c>
      <c r="AR201" s="43">
        <f t="shared" si="2"/>
        <v>0</v>
      </c>
      <c r="AS201" s="43">
        <f t="shared" si="3"/>
        <v>0</v>
      </c>
      <c r="AT201" s="48">
        <f t="shared" si="4"/>
        <v>0</v>
      </c>
      <c r="AU201" s="49">
        <f t="shared" ref="AU201:AU245" si="138">AQ201-AR201-AS201-AC201</f>
        <v>0</v>
      </c>
      <c r="AV201" s="48"/>
      <c r="AW201" s="34">
        <f t="shared" si="5"/>
        <v>0</v>
      </c>
      <c r="AX201" s="50">
        <f t="shared" si="6"/>
        <v>0</v>
      </c>
      <c r="AY201" s="43"/>
      <c r="AZ201" s="27"/>
      <c r="BA201" s="48">
        <f t="shared" si="135"/>
        <v>0</v>
      </c>
      <c r="BB201" s="27"/>
      <c r="BC201" s="27"/>
      <c r="BD201" s="51"/>
      <c r="BE201" s="52"/>
      <c r="BF201" s="27" t="s">
        <v>767</v>
      </c>
      <c r="BG201" s="53">
        <v>0.0</v>
      </c>
      <c r="BH201" s="53" t="str">
        <f>'[1]2023'!Q244</f>
        <v>#REF!</v>
      </c>
      <c r="BI201" s="27"/>
      <c r="BJ201" s="27"/>
      <c r="BK201" s="27" t="s">
        <v>64</v>
      </c>
      <c r="BL201" s="27"/>
    </row>
    <row r="202" ht="14.25" customHeight="1">
      <c r="A202" s="26" t="s">
        <v>55</v>
      </c>
      <c r="B202" s="26" t="s">
        <v>56</v>
      </c>
      <c r="C202" s="26" t="s">
        <v>57</v>
      </c>
      <c r="D202" s="26" t="s">
        <v>81</v>
      </c>
      <c r="E202" s="27" t="s">
        <v>770</v>
      </c>
      <c r="F202" s="26" t="s">
        <v>771</v>
      </c>
      <c r="G202" s="29" t="s">
        <v>769</v>
      </c>
      <c r="H202" s="30">
        <v>45009.0</v>
      </c>
      <c r="I202" s="30">
        <v>45374.0</v>
      </c>
      <c r="J202" s="31">
        <v>0.0</v>
      </c>
      <c r="K202" s="26" t="s">
        <v>352</v>
      </c>
      <c r="L202" s="32" t="s">
        <v>63</v>
      </c>
      <c r="M202" s="33">
        <v>0.0</v>
      </c>
      <c r="N202" s="34">
        <v>0.0</v>
      </c>
      <c r="O202" s="27" t="s">
        <v>64</v>
      </c>
      <c r="P202" s="35">
        <v>0.0</v>
      </c>
      <c r="Q202" s="35" t="s">
        <v>65</v>
      </c>
      <c r="R202" s="36" t="e">
        <v>#VALUE!</v>
      </c>
      <c r="S202" s="35" t="s">
        <v>86</v>
      </c>
      <c r="T202" s="35">
        <v>0.0</v>
      </c>
      <c r="U202" s="37" t="s">
        <v>67</v>
      </c>
      <c r="V202" s="38"/>
      <c r="W202" s="38"/>
      <c r="X202" s="27"/>
      <c r="Y202" s="39"/>
      <c r="Z202" s="39"/>
      <c r="AA202" s="39"/>
      <c r="AB202" s="40"/>
      <c r="AC202" s="27">
        <f t="shared" si="123"/>
        <v>0</v>
      </c>
      <c r="AD202" s="41">
        <f t="shared" si="136"/>
        <v>0</v>
      </c>
      <c r="AE202" s="42"/>
      <c r="AF202" s="27"/>
      <c r="AG202" s="43">
        <f t="shared" si="134"/>
        <v>0</v>
      </c>
      <c r="AH202" s="29"/>
      <c r="AI202" s="29"/>
      <c r="AJ202" s="29"/>
      <c r="AK202" s="29"/>
      <c r="AL202" s="27"/>
      <c r="AM202" s="44"/>
      <c r="AN202" s="47"/>
      <c r="AO202" s="46"/>
      <c r="AP202" s="47"/>
      <c r="AQ202" s="43" t="b">
        <f t="shared" si="137"/>
        <v>0</v>
      </c>
      <c r="AR202" s="43">
        <f t="shared" si="2"/>
        <v>0</v>
      </c>
      <c r="AS202" s="43">
        <f t="shared" si="3"/>
        <v>0</v>
      </c>
      <c r="AT202" s="48">
        <f t="shared" si="4"/>
        <v>0</v>
      </c>
      <c r="AU202" s="49">
        <f t="shared" si="138"/>
        <v>0</v>
      </c>
      <c r="AV202" s="48"/>
      <c r="AW202" s="34">
        <f t="shared" si="5"/>
        <v>0</v>
      </c>
      <c r="AX202" s="50">
        <f t="shared" si="6"/>
        <v>0</v>
      </c>
      <c r="AY202" s="43"/>
      <c r="AZ202" s="27"/>
      <c r="BA202" s="48">
        <f t="shared" si="135"/>
        <v>0</v>
      </c>
      <c r="BB202" s="27"/>
      <c r="BC202" s="27"/>
      <c r="BD202" s="51"/>
      <c r="BE202" s="52"/>
      <c r="BF202" s="27" t="s">
        <v>770</v>
      </c>
      <c r="BG202" s="53">
        <v>0.0</v>
      </c>
      <c r="BH202" s="53" t="str">
        <f>'[1]2023'!Q355</f>
        <v>#REF!</v>
      </c>
      <c r="BI202" s="27"/>
      <c r="BJ202" s="27"/>
      <c r="BK202" s="27" t="s">
        <v>64</v>
      </c>
      <c r="BL202" s="27"/>
    </row>
    <row r="203" ht="14.25" customHeight="1">
      <c r="A203" s="26" t="s">
        <v>55</v>
      </c>
      <c r="B203" s="26" t="s">
        <v>56</v>
      </c>
      <c r="C203" s="26" t="s">
        <v>57</v>
      </c>
      <c r="D203" s="26" t="s">
        <v>81</v>
      </c>
      <c r="E203" s="27" t="s">
        <v>772</v>
      </c>
      <c r="F203" s="28" t="s">
        <v>773</v>
      </c>
      <c r="G203" s="29" t="s">
        <v>769</v>
      </c>
      <c r="H203" s="30">
        <v>45009.0</v>
      </c>
      <c r="I203" s="30">
        <v>45374.0</v>
      </c>
      <c r="J203" s="31">
        <v>0.0</v>
      </c>
      <c r="K203" s="26" t="s">
        <v>352</v>
      </c>
      <c r="L203" s="32" t="s">
        <v>75</v>
      </c>
      <c r="M203" s="33">
        <v>20650.0</v>
      </c>
      <c r="N203" s="34">
        <v>22009.35</v>
      </c>
      <c r="O203" s="27" t="s">
        <v>76</v>
      </c>
      <c r="P203" s="35" t="s">
        <v>89</v>
      </c>
      <c r="Q203" s="35" t="s">
        <v>90</v>
      </c>
      <c r="R203" s="36" t="e">
        <v>#VALUE!</v>
      </c>
      <c r="S203" s="35" t="s">
        <v>86</v>
      </c>
      <c r="T203" s="35">
        <v>0.0</v>
      </c>
      <c r="U203" s="37" t="s">
        <v>67</v>
      </c>
      <c r="V203" s="38"/>
      <c r="W203" s="38"/>
      <c r="X203" s="27"/>
      <c r="Y203" s="39"/>
      <c r="Z203" s="79" t="s">
        <v>407</v>
      </c>
      <c r="AA203" s="39"/>
      <c r="AB203" s="40"/>
      <c r="AC203" s="27">
        <f t="shared" si="123"/>
        <v>0</v>
      </c>
      <c r="AD203" s="41">
        <f t="shared" ref="AD203:AD204" si="139">IF(AND(S203="0",O203="Paid"),M203*15%,0)</f>
        <v>3097.5</v>
      </c>
      <c r="AE203" s="42"/>
      <c r="AF203" s="27"/>
      <c r="AG203" s="43">
        <f t="shared" si="134"/>
        <v>5296.725</v>
      </c>
      <c r="AH203" s="29"/>
      <c r="AI203" s="29"/>
      <c r="AJ203" s="29"/>
      <c r="AK203" s="29"/>
      <c r="AL203" s="27"/>
      <c r="AM203" s="44"/>
      <c r="AN203" s="47"/>
      <c r="AO203" s="46"/>
      <c r="AP203" s="47"/>
      <c r="AQ203" s="43">
        <f t="shared" ref="AQ203:AQ204" si="140">IF(U203="Motor Plus",(M203*27%),IF(U203="Motor One",(M203*22%),(IF(U203="Golden",(M203*25%),(IF(U203="Classic",(M203*15%),(IF(U203="Wethaq",(M203*28%),IF(U203="Alwataniya",(M203*21%))*0))))))))</f>
        <v>5575.5</v>
      </c>
      <c r="AR203" s="43">
        <f t="shared" si="2"/>
        <v>278.775</v>
      </c>
      <c r="AS203" s="43">
        <f t="shared" si="3"/>
        <v>975.7125</v>
      </c>
      <c r="AT203" s="48">
        <f t="shared" si="4"/>
        <v>4321.0125</v>
      </c>
      <c r="AU203" s="49">
        <f t="shared" si="138"/>
        <v>4321.0125</v>
      </c>
      <c r="AV203" s="48"/>
      <c r="AW203" s="34">
        <f t="shared" si="5"/>
        <v>18911.85</v>
      </c>
      <c r="AX203" s="50">
        <f t="shared" si="6"/>
        <v>1223.5125</v>
      </c>
      <c r="AY203" s="43"/>
      <c r="AZ203" s="27"/>
      <c r="BA203" s="48">
        <f t="shared" si="135"/>
        <v>4321.0125</v>
      </c>
      <c r="BB203" s="27"/>
      <c r="BC203" s="27"/>
      <c r="BD203" s="51"/>
      <c r="BE203" s="52"/>
      <c r="BF203" s="27" t="s">
        <v>772</v>
      </c>
      <c r="BG203" s="53">
        <v>0.0</v>
      </c>
      <c r="BH203" s="53" t="str">
        <f>'[1]2023'!Q415</f>
        <v>#REF!</v>
      </c>
      <c r="BI203" s="27"/>
      <c r="BJ203" s="27"/>
      <c r="BK203" s="27" t="s">
        <v>76</v>
      </c>
      <c r="BL203" s="27"/>
    </row>
    <row r="204" ht="14.25" customHeight="1">
      <c r="A204" s="26" t="s">
        <v>55</v>
      </c>
      <c r="B204" s="26" t="s">
        <v>56</v>
      </c>
      <c r="C204" s="26" t="s">
        <v>57</v>
      </c>
      <c r="D204" s="26" t="s">
        <v>81</v>
      </c>
      <c r="E204" s="27" t="s">
        <v>774</v>
      </c>
      <c r="F204" s="26" t="s">
        <v>775</v>
      </c>
      <c r="G204" s="29" t="s">
        <v>776</v>
      </c>
      <c r="H204" s="30">
        <v>45010.0</v>
      </c>
      <c r="I204" s="30">
        <v>45375.0</v>
      </c>
      <c r="J204" s="31">
        <v>0.0</v>
      </c>
      <c r="K204" s="26" t="s">
        <v>352</v>
      </c>
      <c r="L204" s="32" t="s">
        <v>75</v>
      </c>
      <c r="M204" s="33">
        <v>10040.04</v>
      </c>
      <c r="N204" s="34">
        <v>5458.15</v>
      </c>
      <c r="O204" s="27" t="s">
        <v>76</v>
      </c>
      <c r="P204" s="35" t="s">
        <v>95</v>
      </c>
      <c r="Q204" s="35">
        <v>0.0</v>
      </c>
      <c r="R204" s="36" t="e">
        <v>#VALUE!</v>
      </c>
      <c r="S204" s="35" t="s">
        <v>86</v>
      </c>
      <c r="T204" s="35">
        <v>0.0</v>
      </c>
      <c r="U204" s="37" t="s">
        <v>67</v>
      </c>
      <c r="V204" s="38"/>
      <c r="W204" s="38"/>
      <c r="X204" s="27"/>
      <c r="Y204" s="39"/>
      <c r="Z204" s="39"/>
      <c r="AA204" s="39"/>
      <c r="AB204" s="40"/>
      <c r="AC204" s="27">
        <f t="shared" si="123"/>
        <v>0</v>
      </c>
      <c r="AD204" s="41">
        <f t="shared" si="139"/>
        <v>1506.006</v>
      </c>
      <c r="AE204" s="42"/>
      <c r="AF204" s="27"/>
      <c r="AG204" s="43">
        <f t="shared" si="134"/>
        <v>2575.27026</v>
      </c>
      <c r="AH204" s="29"/>
      <c r="AI204" s="29"/>
      <c r="AJ204" s="29"/>
      <c r="AK204" s="29"/>
      <c r="AL204" s="27"/>
      <c r="AM204" s="44"/>
      <c r="AN204" s="47"/>
      <c r="AO204" s="46"/>
      <c r="AP204" s="47"/>
      <c r="AQ204" s="43">
        <f t="shared" si="140"/>
        <v>2710.8108</v>
      </c>
      <c r="AR204" s="43">
        <f t="shared" si="2"/>
        <v>135.54054</v>
      </c>
      <c r="AS204" s="43">
        <f t="shared" si="3"/>
        <v>474.39189</v>
      </c>
      <c r="AT204" s="48">
        <f t="shared" si="4"/>
        <v>2100.87837</v>
      </c>
      <c r="AU204" s="49">
        <f t="shared" si="138"/>
        <v>2100.87837</v>
      </c>
      <c r="AV204" s="48"/>
      <c r="AW204" s="34">
        <f t="shared" si="5"/>
        <v>3952.144</v>
      </c>
      <c r="AX204" s="50">
        <f t="shared" si="6"/>
        <v>594.87237</v>
      </c>
      <c r="AY204" s="43"/>
      <c r="AZ204" s="27"/>
      <c r="BA204" s="48">
        <f t="shared" si="135"/>
        <v>2100.87837</v>
      </c>
      <c r="BB204" s="27"/>
      <c r="BC204" s="27"/>
      <c r="BD204" s="51"/>
      <c r="BE204" s="52"/>
      <c r="BF204" s="80" t="s">
        <v>774</v>
      </c>
      <c r="BG204" s="58" t="s">
        <v>777</v>
      </c>
      <c r="BH204" s="53" t="str">
        <f>'[1]2023'!Q396</f>
        <v>#REF!</v>
      </c>
      <c r="BI204" s="27"/>
      <c r="BJ204" s="27"/>
      <c r="BK204" s="27" t="s">
        <v>76</v>
      </c>
      <c r="BL204" s="27"/>
    </row>
    <row r="205" ht="14.25" customHeight="1">
      <c r="A205" s="26" t="s">
        <v>55</v>
      </c>
      <c r="B205" s="26" t="s">
        <v>56</v>
      </c>
      <c r="C205" s="26" t="s">
        <v>57</v>
      </c>
      <c r="D205" s="26" t="s">
        <v>81</v>
      </c>
      <c r="E205" s="27" t="s">
        <v>778</v>
      </c>
      <c r="F205" s="26" t="s">
        <v>779</v>
      </c>
      <c r="G205" s="29" t="s">
        <v>780</v>
      </c>
      <c r="H205" s="30">
        <v>45011.0</v>
      </c>
      <c r="I205" s="30">
        <v>45376.0</v>
      </c>
      <c r="J205" s="31">
        <v>0.0</v>
      </c>
      <c r="K205" s="26" t="s">
        <v>352</v>
      </c>
      <c r="L205" s="32" t="s">
        <v>63</v>
      </c>
      <c r="M205" s="33">
        <v>0.0</v>
      </c>
      <c r="N205" s="34">
        <v>0.0</v>
      </c>
      <c r="O205" s="27" t="s">
        <v>64</v>
      </c>
      <c r="P205" s="35">
        <v>0.0</v>
      </c>
      <c r="Q205" s="35" t="s">
        <v>90</v>
      </c>
      <c r="R205" s="36" t="e">
        <v>#VALUE!</v>
      </c>
      <c r="S205" s="35" t="s">
        <v>86</v>
      </c>
      <c r="T205" s="35">
        <v>0.0</v>
      </c>
      <c r="U205" s="37" t="s">
        <v>67</v>
      </c>
      <c r="V205" s="38"/>
      <c r="W205" s="38"/>
      <c r="X205" s="27"/>
      <c r="Y205" s="39"/>
      <c r="Z205" s="39"/>
      <c r="AA205" s="39"/>
      <c r="AB205" s="40"/>
      <c r="AC205" s="27">
        <f t="shared" si="123"/>
        <v>0</v>
      </c>
      <c r="AD205" s="41">
        <f>IF(AND(S205="0",O205="Paid"),(M205*15%)-AC205,0)</f>
        <v>0</v>
      </c>
      <c r="AE205" s="42"/>
      <c r="AF205" s="27"/>
      <c r="AG205" s="43">
        <f t="shared" si="134"/>
        <v>0</v>
      </c>
      <c r="AH205" s="29"/>
      <c r="AI205" s="29"/>
      <c r="AJ205" s="29"/>
      <c r="AK205" s="29"/>
      <c r="AL205" s="27"/>
      <c r="AM205" s="44"/>
      <c r="AN205" s="47"/>
      <c r="AO205" s="46"/>
      <c r="AP205" s="47"/>
      <c r="AQ205" s="43" t="b">
        <f>IF(O205="Paid",IF(U205="Motor Plus",(M205*27%),IF(U205="Motor One",(M205*22%),(IF(U205="Golden",(M205*25%),(IF(U205="Classic",(M205*15%),(IF(U205="Wethaq",(M205*28%),IF(U205="Alwataniya",(M205*21%))*0)))))))))</f>
        <v>0</v>
      </c>
      <c r="AR205" s="43">
        <f t="shared" si="2"/>
        <v>0</v>
      </c>
      <c r="AS205" s="43">
        <f t="shared" si="3"/>
        <v>0</v>
      </c>
      <c r="AT205" s="48">
        <f t="shared" si="4"/>
        <v>0</v>
      </c>
      <c r="AU205" s="49">
        <f t="shared" si="138"/>
        <v>0</v>
      </c>
      <c r="AV205" s="48"/>
      <c r="AW205" s="34">
        <f t="shared" si="5"/>
        <v>0</v>
      </c>
      <c r="AX205" s="50">
        <f t="shared" si="6"/>
        <v>0</v>
      </c>
      <c r="AY205" s="43"/>
      <c r="AZ205" s="27"/>
      <c r="BA205" s="48">
        <f t="shared" si="135"/>
        <v>0</v>
      </c>
      <c r="BB205" s="27"/>
      <c r="BC205" s="27"/>
      <c r="BD205" s="51"/>
      <c r="BE205" s="52"/>
      <c r="BF205" s="27" t="s">
        <v>778</v>
      </c>
      <c r="BG205" s="58" t="s">
        <v>562</v>
      </c>
      <c r="BH205" s="53" t="str">
        <f>'[1]2023'!Q325</f>
        <v>#REF!</v>
      </c>
      <c r="BI205" s="27"/>
      <c r="BJ205" s="27"/>
      <c r="BK205" s="27" t="s">
        <v>64</v>
      </c>
      <c r="BL205" s="27"/>
    </row>
    <row r="206" ht="14.25" customHeight="1">
      <c r="A206" s="26" t="s">
        <v>111</v>
      </c>
      <c r="B206" s="26" t="s">
        <v>56</v>
      </c>
      <c r="C206" s="26" t="s">
        <v>57</v>
      </c>
      <c r="D206" s="26" t="s">
        <v>71</v>
      </c>
      <c r="E206" s="27" t="s">
        <v>781</v>
      </c>
      <c r="F206" s="28" t="s">
        <v>782</v>
      </c>
      <c r="G206" s="29" t="s">
        <v>780</v>
      </c>
      <c r="H206" s="30">
        <v>45011.0</v>
      </c>
      <c r="I206" s="30">
        <v>45376.0</v>
      </c>
      <c r="J206" s="31">
        <v>0.0</v>
      </c>
      <c r="K206" s="26" t="s">
        <v>352</v>
      </c>
      <c r="L206" s="32" t="s">
        <v>75</v>
      </c>
      <c r="M206" s="33">
        <v>48861.38</v>
      </c>
      <c r="N206" s="34">
        <v>52000.0</v>
      </c>
      <c r="O206" s="27" t="s">
        <v>76</v>
      </c>
      <c r="P206" s="35" t="s">
        <v>142</v>
      </c>
      <c r="Q206" s="35" t="s">
        <v>108</v>
      </c>
      <c r="R206" s="36" t="e">
        <v>#VALUE!</v>
      </c>
      <c r="S206" s="35" t="s">
        <v>86</v>
      </c>
      <c r="T206" s="35">
        <v>0.0</v>
      </c>
      <c r="U206" s="37" t="s">
        <v>115</v>
      </c>
      <c r="V206" s="38">
        <v>2000000.0</v>
      </c>
      <c r="W206" s="38"/>
      <c r="X206" s="27"/>
      <c r="Y206" s="39"/>
      <c r="Z206" s="79" t="s">
        <v>783</v>
      </c>
      <c r="AA206" s="39"/>
      <c r="AB206" s="40"/>
      <c r="AC206" s="27">
        <f t="shared" si="123"/>
        <v>0</v>
      </c>
      <c r="AD206" s="41">
        <f>IF(AND(S206="0",O206="Paid"),M206*15%,0)</f>
        <v>7329.207</v>
      </c>
      <c r="AE206" s="42">
        <v>1000.0</v>
      </c>
      <c r="AF206" s="27" t="s">
        <v>75</v>
      </c>
      <c r="AG206" s="43">
        <f t="shared" ref="AG206:AG208" si="141">IF(O206="Paid",IF(A206="Alwataniya",(M206*21%)-((M206*21%)*5%),IF((A206="GIG"),(M206*25%)-((M206*25%)*5%),IF((A206="Allianz"),(M206*27%)-((M206*27%)*20%),0))),0)</f>
        <v>11604.57775</v>
      </c>
      <c r="AH206" s="29" t="s">
        <v>75</v>
      </c>
      <c r="AI206" s="61" t="s">
        <v>75</v>
      </c>
      <c r="AJ206" s="40"/>
      <c r="AK206" s="62" t="s">
        <v>63</v>
      </c>
      <c r="AL206" s="90"/>
      <c r="AM206" s="44"/>
      <c r="AN206" s="47"/>
      <c r="AO206" s="46"/>
      <c r="AP206" s="47"/>
      <c r="AQ206" s="43">
        <f>IF(U206="Motor Plus",(M206*27%),IF(U206="Motor One",(M206*22%),(IF(U206="Golden",(M206*25%),(IF(U206="Classic",(M206*15%),(IF(U206="Wethaq",(M206*28%),IF(U206="Alwataniya",(M206*21%))*0))))))))</f>
        <v>12215.345</v>
      </c>
      <c r="AR206" s="43">
        <f t="shared" si="2"/>
        <v>610.76725</v>
      </c>
      <c r="AS206" s="43">
        <f t="shared" si="3"/>
        <v>2137.685375</v>
      </c>
      <c r="AT206" s="48">
        <f t="shared" si="4"/>
        <v>9466.892375</v>
      </c>
      <c r="AU206" s="49">
        <f t="shared" si="138"/>
        <v>9466.892375</v>
      </c>
      <c r="AV206" s="48"/>
      <c r="AW206" s="82">
        <f t="shared" si="5"/>
        <v>43670.793</v>
      </c>
      <c r="AX206" s="50">
        <f t="shared" si="6"/>
        <v>1137.685375</v>
      </c>
      <c r="AY206" s="43"/>
      <c r="AZ206" s="27"/>
      <c r="BA206" s="48">
        <f t="shared" si="135"/>
        <v>9466.892375</v>
      </c>
      <c r="BB206" s="27"/>
      <c r="BC206" s="27"/>
      <c r="BD206" s="51"/>
      <c r="BE206" s="52"/>
      <c r="BF206" s="77" t="s">
        <v>781</v>
      </c>
      <c r="BG206" s="53">
        <v>0.0</v>
      </c>
      <c r="BH206" s="53" t="str">
        <f>'[1]2023'!Q395</f>
        <v>#REF!</v>
      </c>
      <c r="BI206" s="27"/>
      <c r="BJ206" s="27"/>
      <c r="BK206" s="27" t="s">
        <v>76</v>
      </c>
      <c r="BL206" s="27"/>
    </row>
    <row r="207" ht="14.25" customHeight="1">
      <c r="A207" s="26" t="s">
        <v>55</v>
      </c>
      <c r="B207" s="26" t="s">
        <v>56</v>
      </c>
      <c r="C207" s="26" t="s">
        <v>57</v>
      </c>
      <c r="D207" s="26" t="s">
        <v>71</v>
      </c>
      <c r="E207" s="27" t="s">
        <v>784</v>
      </c>
      <c r="F207" s="28" t="s">
        <v>785</v>
      </c>
      <c r="G207" s="29" t="s">
        <v>780</v>
      </c>
      <c r="H207" s="30">
        <v>45011.0</v>
      </c>
      <c r="I207" s="30">
        <v>45376.0</v>
      </c>
      <c r="J207" s="31" t="s">
        <v>786</v>
      </c>
      <c r="K207" s="26" t="s">
        <v>352</v>
      </c>
      <c r="L207" s="32" t="s">
        <v>63</v>
      </c>
      <c r="M207" s="33">
        <v>56875.0</v>
      </c>
      <c r="N207" s="34">
        <v>60374.63</v>
      </c>
      <c r="O207" s="27" t="s">
        <v>64</v>
      </c>
      <c r="P207" s="35">
        <v>0.0</v>
      </c>
      <c r="Q207" s="35" t="s">
        <v>108</v>
      </c>
      <c r="R207" s="36" t="e">
        <v>#VALUE!</v>
      </c>
      <c r="S207" s="35" t="s">
        <v>86</v>
      </c>
      <c r="T207" s="35">
        <v>0.0</v>
      </c>
      <c r="U207" s="37">
        <v>0.0</v>
      </c>
      <c r="V207" s="38"/>
      <c r="W207" s="38"/>
      <c r="X207" s="27"/>
      <c r="Y207" s="39"/>
      <c r="Z207" s="39"/>
      <c r="AA207" s="39"/>
      <c r="AB207" s="40"/>
      <c r="AC207" s="27">
        <f t="shared" si="123"/>
        <v>0</v>
      </c>
      <c r="AD207" s="41">
        <f>IF(AND(S207="0",O207="Paid"),(M207*15%)-AC207,0)</f>
        <v>0</v>
      </c>
      <c r="AE207" s="42"/>
      <c r="AF207" s="27"/>
      <c r="AG207" s="43">
        <f t="shared" si="141"/>
        <v>0</v>
      </c>
      <c r="AH207" s="29"/>
      <c r="AI207" s="29"/>
      <c r="AJ207" s="29"/>
      <c r="AK207" s="29"/>
      <c r="AL207" s="34"/>
      <c r="AM207" s="44"/>
      <c r="AN207" s="47"/>
      <c r="AO207" s="46"/>
      <c r="AP207" s="47"/>
      <c r="AQ207" s="43" t="b">
        <f>IF(O207="Paid",IF(U207="Motor Plus",(M207*27%),IF(U207="Motor One",(M207*22%),(IF(U207="Golden",(M207*25%),(IF(U207="Classic",(M207*15%),(IF(U207="Wethaq",(M207*28%),IF(U207="Alwataniya",(M207*21%))*0)))))))))</f>
        <v>0</v>
      </c>
      <c r="AR207" s="43">
        <f t="shared" si="2"/>
        <v>0</v>
      </c>
      <c r="AS207" s="43">
        <f t="shared" si="3"/>
        <v>0</v>
      </c>
      <c r="AT207" s="48">
        <f t="shared" si="4"/>
        <v>0</v>
      </c>
      <c r="AU207" s="49">
        <f t="shared" si="138"/>
        <v>0</v>
      </c>
      <c r="AV207" s="48"/>
      <c r="AW207" s="34">
        <f t="shared" si="5"/>
        <v>60374.63</v>
      </c>
      <c r="AX207" s="50">
        <f t="shared" si="6"/>
        <v>0</v>
      </c>
      <c r="AY207" s="43"/>
      <c r="AZ207" s="27"/>
      <c r="BA207" s="48">
        <f t="shared" si="135"/>
        <v>0</v>
      </c>
      <c r="BB207" s="27"/>
      <c r="BC207" s="27"/>
      <c r="BD207" s="51"/>
      <c r="BE207" s="52"/>
      <c r="BF207" s="27" t="s">
        <v>784</v>
      </c>
      <c r="BG207" s="58" t="s">
        <v>787</v>
      </c>
      <c r="BH207" s="53" t="str">
        <f>'[1]2023'!Q405</f>
        <v>#REF!</v>
      </c>
      <c r="BI207" s="27"/>
      <c r="BJ207" s="27"/>
      <c r="BK207" s="27" t="s">
        <v>64</v>
      </c>
      <c r="BL207" s="27"/>
    </row>
    <row r="208" ht="14.25" customHeight="1">
      <c r="A208" s="26" t="s">
        <v>111</v>
      </c>
      <c r="B208" s="26" t="s">
        <v>56</v>
      </c>
      <c r="C208" s="26" t="s">
        <v>57</v>
      </c>
      <c r="D208" s="26" t="s">
        <v>71</v>
      </c>
      <c r="E208" s="27" t="s">
        <v>788</v>
      </c>
      <c r="F208" s="28" t="s">
        <v>789</v>
      </c>
      <c r="G208" s="29" t="s">
        <v>780</v>
      </c>
      <c r="H208" s="30">
        <v>45011.0</v>
      </c>
      <c r="I208" s="30">
        <v>45376.0</v>
      </c>
      <c r="J208" s="31">
        <v>1.211112316E9</v>
      </c>
      <c r="K208" s="26" t="s">
        <v>352</v>
      </c>
      <c r="L208" s="32" t="s">
        <v>75</v>
      </c>
      <c r="M208" s="33">
        <v>21854.77</v>
      </c>
      <c r="N208" s="34">
        <v>23400.0</v>
      </c>
      <c r="O208" s="27" t="s">
        <v>76</v>
      </c>
      <c r="P208" s="35" t="s">
        <v>509</v>
      </c>
      <c r="Q208" s="35" t="s">
        <v>90</v>
      </c>
      <c r="R208" s="36" t="e">
        <v>#VALUE!</v>
      </c>
      <c r="S208" s="35" t="s">
        <v>66</v>
      </c>
      <c r="T208" s="35">
        <v>0.0</v>
      </c>
      <c r="U208" s="37" t="s">
        <v>115</v>
      </c>
      <c r="V208" s="38">
        <v>900000.0</v>
      </c>
      <c r="W208" s="38"/>
      <c r="X208" s="27"/>
      <c r="Y208" s="39"/>
      <c r="Z208" s="79" t="s">
        <v>790</v>
      </c>
      <c r="AA208" s="39"/>
      <c r="AB208" s="40"/>
      <c r="AC208" s="27">
        <f t="shared" si="123"/>
        <v>0</v>
      </c>
      <c r="AD208" s="109">
        <f>M208*15%</f>
        <v>3278.2155</v>
      </c>
      <c r="AE208" s="110" t="s">
        <v>791</v>
      </c>
      <c r="AF208" s="34">
        <f>AT208-AM208-AD208</f>
        <v>532.7100188</v>
      </c>
      <c r="AG208" s="43">
        <f t="shared" si="141"/>
        <v>5190.507875</v>
      </c>
      <c r="AH208" s="29" t="s">
        <v>75</v>
      </c>
      <c r="AI208" s="61" t="s">
        <v>792</v>
      </c>
      <c r="AJ208" s="40"/>
      <c r="AK208" s="62" t="s">
        <v>63</v>
      </c>
      <c r="AL208" s="27"/>
      <c r="AM208" s="111">
        <f t="shared" ref="AM208:AM209" si="142">IF((BD208&lt;=2),AU208*10%,(IF((BD208&lt;=3),AU208*20%,IF((BD208&lt;=4),AU208*20%,IF((BD208&gt;=5),AU208*30%,0)))))</f>
        <v>423.4361688</v>
      </c>
      <c r="AN208" s="63" t="s">
        <v>75</v>
      </c>
      <c r="AO208" s="46"/>
      <c r="AP208" s="47"/>
      <c r="AQ208" s="43">
        <f t="shared" ref="AQ208:AQ209" si="143">IF(U208="Motor Plus",(M208*27%),IF(U208="Motor One",(M208*22%),(IF(U208="Golden",(M208*25%),(IF(U208="Classic",(M208*15%),(IF(U208="Wethaq",(M208*28%),IF(U208="Alwataniya",(M208*21%))*0))))))))</f>
        <v>5463.6925</v>
      </c>
      <c r="AR208" s="43">
        <f t="shared" si="2"/>
        <v>273.184625</v>
      </c>
      <c r="AS208" s="43">
        <f t="shared" si="3"/>
        <v>956.1461875</v>
      </c>
      <c r="AT208" s="48">
        <f t="shared" si="4"/>
        <v>4234.361688</v>
      </c>
      <c r="AU208" s="49">
        <f t="shared" si="138"/>
        <v>4234.361688</v>
      </c>
      <c r="AV208" s="48"/>
      <c r="AW208" s="27" t="str">
        <f t="shared" si="5"/>
        <v>#VALUE!</v>
      </c>
      <c r="AX208" s="50" t="str">
        <f t="shared" si="6"/>
        <v>#VALUE!</v>
      </c>
      <c r="AY208" s="43"/>
      <c r="AZ208" s="27"/>
      <c r="BA208" s="48">
        <f t="shared" si="135"/>
        <v>3810.925519</v>
      </c>
      <c r="BB208" s="27"/>
      <c r="BC208" s="27"/>
      <c r="BD208" s="51"/>
      <c r="BE208" s="52"/>
      <c r="BF208" s="77" t="s">
        <v>788</v>
      </c>
      <c r="BG208" s="58" t="s">
        <v>793</v>
      </c>
      <c r="BH208" s="53" t="str">
        <f>'[1]2023'!Q410</f>
        <v>#REF!</v>
      </c>
      <c r="BI208" s="27"/>
      <c r="BJ208" s="27"/>
      <c r="BK208" s="27" t="s">
        <v>76</v>
      </c>
      <c r="BL208" s="64" t="s">
        <v>794</v>
      </c>
    </row>
    <row r="209" ht="14.25" customHeight="1">
      <c r="A209" s="26" t="s">
        <v>55</v>
      </c>
      <c r="B209" s="26" t="s">
        <v>56</v>
      </c>
      <c r="C209" s="26" t="s">
        <v>57</v>
      </c>
      <c r="D209" s="26" t="s">
        <v>81</v>
      </c>
      <c r="E209" s="27" t="s">
        <v>795</v>
      </c>
      <c r="F209" s="26" t="s">
        <v>796</v>
      </c>
      <c r="G209" s="29" t="s">
        <v>759</v>
      </c>
      <c r="H209" s="30">
        <v>45012.0</v>
      </c>
      <c r="I209" s="30">
        <v>45377.0</v>
      </c>
      <c r="J209" s="31" t="s">
        <v>797</v>
      </c>
      <c r="K209" s="26" t="s">
        <v>352</v>
      </c>
      <c r="L209" s="32" t="s">
        <v>75</v>
      </c>
      <c r="M209" s="33">
        <v>15045.0</v>
      </c>
      <c r="N209" s="34">
        <v>16074.66</v>
      </c>
      <c r="O209" s="27" t="s">
        <v>76</v>
      </c>
      <c r="P209" s="35" t="s">
        <v>95</v>
      </c>
      <c r="Q209" s="35" t="s">
        <v>65</v>
      </c>
      <c r="R209" s="36" t="e">
        <v>#VALUE!</v>
      </c>
      <c r="S209" s="35" t="s">
        <v>231</v>
      </c>
      <c r="T209" s="35">
        <v>0.0</v>
      </c>
      <c r="U209" s="37" t="s">
        <v>67</v>
      </c>
      <c r="V209" s="38"/>
      <c r="W209" s="38"/>
      <c r="X209" s="27"/>
      <c r="Y209" s="39"/>
      <c r="Z209" s="39"/>
      <c r="AA209" s="39"/>
      <c r="AB209" s="40"/>
      <c r="AC209" s="27">
        <f t="shared" si="123"/>
        <v>0</v>
      </c>
      <c r="AD209" s="41"/>
      <c r="AE209" s="42"/>
      <c r="AF209" s="27"/>
      <c r="AG209" s="43">
        <f>IF(O209="Paid",IF(A209="Alwataniya",(M209*21%)-((M209*21%)*5%),IF((A209="GIG"),(M209*25%)-((M209*25%)*5%),IF((A209="Allianz"),(M209*27%)-((M209*27%)*5%),0))),0)</f>
        <v>3859.0425</v>
      </c>
      <c r="AH209" s="29"/>
      <c r="AI209" s="29"/>
      <c r="AJ209" s="29"/>
      <c r="AK209" s="29"/>
      <c r="AL209" s="27"/>
      <c r="AM209" s="44">
        <f t="shared" si="142"/>
        <v>314.816625</v>
      </c>
      <c r="AN209" s="80"/>
      <c r="AO209" s="46">
        <f>M209*15%</f>
        <v>2256.75</v>
      </c>
      <c r="AP209" s="80">
        <v>45110.0</v>
      </c>
      <c r="AQ209" s="43">
        <f t="shared" si="143"/>
        <v>4062.15</v>
      </c>
      <c r="AR209" s="43">
        <f t="shared" si="2"/>
        <v>203.1075</v>
      </c>
      <c r="AS209" s="43">
        <f t="shared" si="3"/>
        <v>710.87625</v>
      </c>
      <c r="AT209" s="48">
        <f t="shared" si="4"/>
        <v>3148.16625</v>
      </c>
      <c r="AU209" s="49">
        <f t="shared" si="138"/>
        <v>3148.16625</v>
      </c>
      <c r="AV209" s="48"/>
      <c r="AW209" s="34">
        <f t="shared" si="5"/>
        <v>16074.66</v>
      </c>
      <c r="AX209" s="50">
        <f t="shared" si="6"/>
        <v>576.599625</v>
      </c>
      <c r="AY209" s="43"/>
      <c r="AZ209" s="27"/>
      <c r="BA209" s="48">
        <f t="shared" si="135"/>
        <v>576.599625</v>
      </c>
      <c r="BB209" s="27">
        <f>M209*15%</f>
        <v>2256.75</v>
      </c>
      <c r="BC209" s="29">
        <v>45110.0</v>
      </c>
      <c r="BD209" s="51"/>
      <c r="BE209" s="52"/>
      <c r="BF209" s="27" t="s">
        <v>795</v>
      </c>
      <c r="BG209" s="58" t="s">
        <v>348</v>
      </c>
      <c r="BH209" s="53" t="str">
        <f>'[1]2023'!Q290</f>
        <v>#REF!</v>
      </c>
      <c r="BI209" s="27"/>
      <c r="BJ209" s="27"/>
      <c r="BK209" s="27" t="s">
        <v>76</v>
      </c>
      <c r="BL209" s="27"/>
    </row>
    <row r="210" ht="14.25" customHeight="1">
      <c r="A210" s="26" t="s">
        <v>55</v>
      </c>
      <c r="B210" s="26" t="s">
        <v>56</v>
      </c>
      <c r="C210" s="26" t="s">
        <v>57</v>
      </c>
      <c r="D210" s="26" t="s">
        <v>71</v>
      </c>
      <c r="E210" s="27" t="s">
        <v>798</v>
      </c>
      <c r="F210" s="28" t="s">
        <v>799</v>
      </c>
      <c r="G210" s="29" t="s">
        <v>759</v>
      </c>
      <c r="H210" s="30">
        <v>45012.0</v>
      </c>
      <c r="I210" s="30">
        <v>45377.0</v>
      </c>
      <c r="J210" s="31" t="s">
        <v>800</v>
      </c>
      <c r="K210" s="26" t="s">
        <v>352</v>
      </c>
      <c r="L210" s="32" t="s">
        <v>63</v>
      </c>
      <c r="M210" s="33">
        <v>23600.0</v>
      </c>
      <c r="N210" s="34">
        <v>25134.4</v>
      </c>
      <c r="O210" s="27" t="s">
        <v>64</v>
      </c>
      <c r="P210" s="35">
        <v>0.0</v>
      </c>
      <c r="Q210" s="35" t="s">
        <v>90</v>
      </c>
      <c r="R210" s="36" t="e">
        <v>#VALUE!</v>
      </c>
      <c r="S210" s="35" t="s">
        <v>86</v>
      </c>
      <c r="T210" s="35">
        <v>0.0</v>
      </c>
      <c r="U210" s="37" t="s">
        <v>67</v>
      </c>
      <c r="V210" s="38">
        <v>1000000.0</v>
      </c>
      <c r="W210" s="38"/>
      <c r="X210" s="27"/>
      <c r="Y210" s="39"/>
      <c r="Z210" s="79" t="s">
        <v>208</v>
      </c>
      <c r="AA210" s="39"/>
      <c r="AB210" s="40"/>
      <c r="AC210" s="27">
        <f t="shared" si="123"/>
        <v>0</v>
      </c>
      <c r="AD210" s="41">
        <f>IF(AND(S210="0",O210="Paid"),(M210*15%)-AC210,0)</f>
        <v>0</v>
      </c>
      <c r="AE210" s="42"/>
      <c r="AF210" s="27"/>
      <c r="AG210" s="43">
        <f>IF(O210="Paid",IF(A210="Alwataniya",(M210*21%)-((M210*21%)*5%),IF((A210="GIG"),(M210*25%)-((M210*25%)*5%),IF((A210="Allianz"),(M210*27%)-((M210*27%)*20%),0))),0)</f>
        <v>0</v>
      </c>
      <c r="AH210" s="29"/>
      <c r="AI210" s="29"/>
      <c r="AJ210" s="29"/>
      <c r="AK210" s="29"/>
      <c r="AL210" s="27"/>
      <c r="AM210" s="44"/>
      <c r="AN210" s="47"/>
      <c r="AO210" s="46"/>
      <c r="AP210" s="47"/>
      <c r="AQ210" s="43" t="b">
        <f>IF(O210="Paid",IF(U210="Motor Plus",(M210*27%),IF(U210="Motor One",(M210*22%),(IF(U210="Golden",(M210*25%),(IF(U210="Classic",(M210*15%),(IF(U210="Wethaq",(M210*28%),IF(U210="Alwataniya",(M210*21%))*0)))))))))</f>
        <v>0</v>
      </c>
      <c r="AR210" s="43">
        <f t="shared" si="2"/>
        <v>0</v>
      </c>
      <c r="AS210" s="43">
        <f t="shared" si="3"/>
        <v>0</v>
      </c>
      <c r="AT210" s="48">
        <f t="shared" si="4"/>
        <v>0</v>
      </c>
      <c r="AU210" s="49">
        <f t="shared" si="138"/>
        <v>0</v>
      </c>
      <c r="AV210" s="48"/>
      <c r="AW210" s="34">
        <f t="shared" si="5"/>
        <v>25134.4</v>
      </c>
      <c r="AX210" s="50">
        <f t="shared" si="6"/>
        <v>0</v>
      </c>
      <c r="AY210" s="43"/>
      <c r="AZ210" s="27"/>
      <c r="BA210" s="48">
        <f t="shared" si="135"/>
        <v>0</v>
      </c>
      <c r="BB210" s="27"/>
      <c r="BC210" s="27"/>
      <c r="BD210" s="51"/>
      <c r="BE210" s="52"/>
      <c r="BF210" s="27" t="s">
        <v>798</v>
      </c>
      <c r="BG210" s="58" t="s">
        <v>801</v>
      </c>
      <c r="BH210" s="53" t="str">
        <f>'[1]2023'!Q439</f>
        <v>#REF!</v>
      </c>
      <c r="BI210" s="27"/>
      <c r="BJ210" s="27"/>
      <c r="BK210" s="27" t="s">
        <v>64</v>
      </c>
      <c r="BL210" s="27"/>
    </row>
    <row r="211" ht="14.25" customHeight="1">
      <c r="A211" s="26" t="s">
        <v>55</v>
      </c>
      <c r="B211" s="26" t="s">
        <v>56</v>
      </c>
      <c r="C211" s="26" t="s">
        <v>57</v>
      </c>
      <c r="D211" s="26" t="s">
        <v>81</v>
      </c>
      <c r="E211" s="27" t="s">
        <v>802</v>
      </c>
      <c r="F211" s="28" t="s">
        <v>803</v>
      </c>
      <c r="G211" s="29" t="s">
        <v>759</v>
      </c>
      <c r="H211" s="30">
        <v>45012.0</v>
      </c>
      <c r="I211" s="30">
        <v>45377.0</v>
      </c>
      <c r="J211" s="31">
        <v>0.0</v>
      </c>
      <c r="K211" s="26" t="s">
        <v>352</v>
      </c>
      <c r="L211" s="32" t="s">
        <v>75</v>
      </c>
      <c r="M211" s="33">
        <v>18585.0</v>
      </c>
      <c r="N211" s="34">
        <v>19822.51</v>
      </c>
      <c r="O211" s="27" t="s">
        <v>76</v>
      </c>
      <c r="P211" s="35" t="s">
        <v>89</v>
      </c>
      <c r="Q211" s="35" t="s">
        <v>90</v>
      </c>
      <c r="R211" s="36" t="e">
        <v>#VALUE!</v>
      </c>
      <c r="S211" s="35" t="s">
        <v>86</v>
      </c>
      <c r="T211" s="35">
        <v>0.0</v>
      </c>
      <c r="U211" s="37" t="s">
        <v>67</v>
      </c>
      <c r="V211" s="38"/>
      <c r="W211" s="38"/>
      <c r="X211" s="27"/>
      <c r="Y211" s="39"/>
      <c r="Z211" s="79" t="s">
        <v>407</v>
      </c>
      <c r="AA211" s="39"/>
      <c r="AB211" s="40"/>
      <c r="AC211" s="27">
        <f t="shared" si="123"/>
        <v>0</v>
      </c>
      <c r="AD211" s="41">
        <f t="shared" ref="AD211:AD212" si="144">IF(AND(S211="0",O211="Paid"),M211*15%,0)</f>
        <v>2787.75</v>
      </c>
      <c r="AE211" s="42"/>
      <c r="AF211" s="27"/>
      <c r="AG211" s="43">
        <f t="shared" ref="AG211:AG225" si="145">IF(O211="Paid",IF(A211="Alwataniya",(M211*21%)-((M211*21%)*5%),IF((A211="GIG"),(M211*25%)-((M211*25%)*5%),IF((A211="Allianz"),(M211*27%)-((M211*27%)*5%),0))),0)</f>
        <v>4767.0525</v>
      </c>
      <c r="AH211" s="29"/>
      <c r="AI211" s="29"/>
      <c r="AJ211" s="29"/>
      <c r="AK211" s="29"/>
      <c r="AL211" s="27"/>
      <c r="AM211" s="44"/>
      <c r="AN211" s="93"/>
      <c r="AO211" s="46"/>
      <c r="AP211" s="47"/>
      <c r="AQ211" s="43">
        <f t="shared" ref="AQ211:AQ218" si="146">IF(U211="Motor Plus",(M211*27%),IF(U211="Motor One",(M211*22%),(IF(U211="Golden",(M211*25%),(IF(U211="Classic",(M211*15%),(IF(U211="Wethaq",(M211*28%),IF(U211="Alwataniya",(M211*21%))*0))))))))</f>
        <v>5017.95</v>
      </c>
      <c r="AR211" s="43">
        <f t="shared" si="2"/>
        <v>250.8975</v>
      </c>
      <c r="AS211" s="43">
        <f t="shared" si="3"/>
        <v>878.14125</v>
      </c>
      <c r="AT211" s="48">
        <f t="shared" si="4"/>
        <v>3888.91125</v>
      </c>
      <c r="AU211" s="49">
        <f t="shared" si="138"/>
        <v>3888.91125</v>
      </c>
      <c r="AV211" s="48"/>
      <c r="AW211" s="34">
        <f t="shared" si="5"/>
        <v>17034.76</v>
      </c>
      <c r="AX211" s="50">
        <f t="shared" si="6"/>
        <v>1101.16125</v>
      </c>
      <c r="AY211" s="43"/>
      <c r="AZ211" s="43"/>
      <c r="BA211" s="48">
        <f t="shared" si="135"/>
        <v>3888.91125</v>
      </c>
      <c r="BB211" s="27"/>
      <c r="BC211" s="27"/>
      <c r="BD211" s="51"/>
      <c r="BE211" s="52"/>
      <c r="BF211" s="27" t="s">
        <v>802</v>
      </c>
      <c r="BG211" s="53">
        <v>0.0</v>
      </c>
      <c r="BH211" s="53" t="str">
        <f>'[1]2023'!Q487</f>
        <v>#REF!</v>
      </c>
      <c r="BI211" s="27"/>
      <c r="BJ211" s="27"/>
      <c r="BK211" s="27" t="s">
        <v>76</v>
      </c>
      <c r="BL211" s="27"/>
    </row>
    <row r="212" ht="14.25" customHeight="1">
      <c r="A212" s="26" t="s">
        <v>55</v>
      </c>
      <c r="B212" s="26" t="s">
        <v>56</v>
      </c>
      <c r="C212" s="26" t="s">
        <v>57</v>
      </c>
      <c r="D212" s="26" t="s">
        <v>81</v>
      </c>
      <c r="E212" s="27" t="s">
        <v>804</v>
      </c>
      <c r="F212" s="26" t="s">
        <v>805</v>
      </c>
      <c r="G212" s="29" t="s">
        <v>806</v>
      </c>
      <c r="H212" s="30">
        <v>45013.0</v>
      </c>
      <c r="I212" s="30">
        <v>45378.0</v>
      </c>
      <c r="J212" s="31">
        <v>0.0</v>
      </c>
      <c r="K212" s="26" t="s">
        <v>352</v>
      </c>
      <c r="L212" s="32" t="s">
        <v>75</v>
      </c>
      <c r="M212" s="33">
        <v>22100.0</v>
      </c>
      <c r="N212" s="34">
        <v>23544.9</v>
      </c>
      <c r="O212" s="27" t="s">
        <v>76</v>
      </c>
      <c r="P212" s="35" t="s">
        <v>89</v>
      </c>
      <c r="Q212" s="35" t="s">
        <v>90</v>
      </c>
      <c r="R212" s="36" t="e">
        <v>#VALUE!</v>
      </c>
      <c r="S212" s="35" t="s">
        <v>86</v>
      </c>
      <c r="T212" s="35">
        <v>0.0</v>
      </c>
      <c r="U212" s="37" t="s">
        <v>67</v>
      </c>
      <c r="V212" s="38"/>
      <c r="W212" s="38"/>
      <c r="X212" s="27"/>
      <c r="Y212" s="39"/>
      <c r="Z212" s="39"/>
      <c r="AA212" s="39"/>
      <c r="AB212" s="40"/>
      <c r="AC212" s="27">
        <f t="shared" si="123"/>
        <v>0</v>
      </c>
      <c r="AD212" s="41">
        <f t="shared" si="144"/>
        <v>3315</v>
      </c>
      <c r="AE212" s="42"/>
      <c r="AF212" s="27"/>
      <c r="AG212" s="43">
        <f t="shared" si="145"/>
        <v>5668.65</v>
      </c>
      <c r="AH212" s="29"/>
      <c r="AI212" s="29"/>
      <c r="AJ212" s="29"/>
      <c r="AK212" s="29"/>
      <c r="AL212" s="27"/>
      <c r="AM212" s="44"/>
      <c r="AN212" s="47"/>
      <c r="AO212" s="46"/>
      <c r="AP212" s="47"/>
      <c r="AQ212" s="43">
        <f t="shared" si="146"/>
        <v>5967</v>
      </c>
      <c r="AR212" s="43">
        <f t="shared" si="2"/>
        <v>298.35</v>
      </c>
      <c r="AS212" s="43">
        <f t="shared" si="3"/>
        <v>1044.225</v>
      </c>
      <c r="AT212" s="48">
        <f t="shared" si="4"/>
        <v>4624.425</v>
      </c>
      <c r="AU212" s="49">
        <f t="shared" si="138"/>
        <v>4624.425</v>
      </c>
      <c r="AV212" s="48"/>
      <c r="AW212" s="34">
        <f t="shared" si="5"/>
        <v>20229.9</v>
      </c>
      <c r="AX212" s="50">
        <f t="shared" si="6"/>
        <v>1309.425</v>
      </c>
      <c r="AY212" s="43"/>
      <c r="AZ212" s="27"/>
      <c r="BA212" s="48">
        <f t="shared" si="135"/>
        <v>4624.425</v>
      </c>
      <c r="BB212" s="27"/>
      <c r="BC212" s="27"/>
      <c r="BD212" s="51"/>
      <c r="BE212" s="52"/>
      <c r="BF212" s="27" t="s">
        <v>804</v>
      </c>
      <c r="BG212" s="53">
        <v>0.0</v>
      </c>
      <c r="BH212" s="53" t="str">
        <f>'[1]2023'!Q332</f>
        <v>#REF!</v>
      </c>
      <c r="BI212" s="27"/>
      <c r="BJ212" s="27"/>
      <c r="BK212" s="27" t="s">
        <v>76</v>
      </c>
      <c r="BL212" s="27"/>
    </row>
    <row r="213" ht="14.25" customHeight="1">
      <c r="A213" s="26" t="s">
        <v>55</v>
      </c>
      <c r="B213" s="26" t="s">
        <v>56</v>
      </c>
      <c r="C213" s="26" t="s">
        <v>57</v>
      </c>
      <c r="D213" s="26" t="s">
        <v>81</v>
      </c>
      <c r="E213" s="27" t="s">
        <v>807</v>
      </c>
      <c r="F213" s="26" t="s">
        <v>808</v>
      </c>
      <c r="G213" s="29" t="s">
        <v>806</v>
      </c>
      <c r="H213" s="30">
        <v>45013.0</v>
      </c>
      <c r="I213" s="30">
        <v>45378.0</v>
      </c>
      <c r="J213" s="31">
        <v>0.0</v>
      </c>
      <c r="K213" s="26" t="s">
        <v>352</v>
      </c>
      <c r="L213" s="32" t="s">
        <v>75</v>
      </c>
      <c r="M213" s="33">
        <v>19250.0</v>
      </c>
      <c r="N213" s="34">
        <v>20526.75</v>
      </c>
      <c r="O213" s="27" t="s">
        <v>76</v>
      </c>
      <c r="P213" s="35" t="s">
        <v>89</v>
      </c>
      <c r="Q213" s="35" t="s">
        <v>65</v>
      </c>
      <c r="R213" s="36" t="e">
        <v>#VALUE!</v>
      </c>
      <c r="S213" s="35" t="s">
        <v>86</v>
      </c>
      <c r="T213" s="35">
        <v>0.0</v>
      </c>
      <c r="U213" s="37" t="s">
        <v>67</v>
      </c>
      <c r="V213" s="38"/>
      <c r="W213" s="38"/>
      <c r="X213" s="27"/>
      <c r="Y213" s="39"/>
      <c r="Z213" s="39"/>
      <c r="AA213" s="39"/>
      <c r="AB213" s="40"/>
      <c r="AC213" s="27">
        <f t="shared" si="123"/>
        <v>0</v>
      </c>
      <c r="AD213" s="41"/>
      <c r="AE213" s="42"/>
      <c r="AF213" s="27"/>
      <c r="AG213" s="43">
        <f t="shared" si="145"/>
        <v>4937.625</v>
      </c>
      <c r="AH213" s="29"/>
      <c r="AI213" s="29"/>
      <c r="AJ213" s="29"/>
      <c r="AK213" s="29"/>
      <c r="AL213" s="27"/>
      <c r="AM213" s="44"/>
      <c r="AN213" s="47"/>
      <c r="AO213" s="46"/>
      <c r="AP213" s="47"/>
      <c r="AQ213" s="43">
        <f t="shared" si="146"/>
        <v>5197.5</v>
      </c>
      <c r="AR213" s="43">
        <f t="shared" si="2"/>
        <v>259.875</v>
      </c>
      <c r="AS213" s="43">
        <f t="shared" si="3"/>
        <v>909.5625</v>
      </c>
      <c r="AT213" s="48">
        <f t="shared" si="4"/>
        <v>4028.0625</v>
      </c>
      <c r="AU213" s="49">
        <f t="shared" si="138"/>
        <v>4028.0625</v>
      </c>
      <c r="AV213" s="48"/>
      <c r="AW213" s="34">
        <f t="shared" si="5"/>
        <v>20526.75</v>
      </c>
      <c r="AX213" s="50">
        <f t="shared" si="6"/>
        <v>4028.0625</v>
      </c>
      <c r="AY213" s="43"/>
      <c r="AZ213" s="27"/>
      <c r="BA213" s="48">
        <f t="shared" si="135"/>
        <v>4028.0625</v>
      </c>
      <c r="BB213" s="27"/>
      <c r="BC213" s="27"/>
      <c r="BD213" s="51"/>
      <c r="BE213" s="52"/>
      <c r="BF213" s="27" t="s">
        <v>807</v>
      </c>
      <c r="BG213" s="53" t="s">
        <v>809</v>
      </c>
      <c r="BH213" s="53" t="str">
        <f>'[1]2023'!Q349</f>
        <v>#REF!</v>
      </c>
      <c r="BI213" s="27"/>
      <c r="BJ213" s="27"/>
      <c r="BK213" s="27" t="s">
        <v>76</v>
      </c>
      <c r="BL213" s="27"/>
    </row>
    <row r="214" ht="14.25" customHeight="1">
      <c r="A214" s="26" t="s">
        <v>55</v>
      </c>
      <c r="B214" s="26" t="s">
        <v>56</v>
      </c>
      <c r="C214" s="26" t="s">
        <v>57</v>
      </c>
      <c r="D214" s="26" t="s">
        <v>81</v>
      </c>
      <c r="E214" s="27" t="s">
        <v>810</v>
      </c>
      <c r="F214" s="26" t="s">
        <v>811</v>
      </c>
      <c r="G214" s="29" t="s">
        <v>806</v>
      </c>
      <c r="H214" s="30">
        <v>45013.0</v>
      </c>
      <c r="I214" s="30">
        <v>45378.0</v>
      </c>
      <c r="J214" s="31">
        <v>0.0</v>
      </c>
      <c r="K214" s="26" t="s">
        <v>352</v>
      </c>
      <c r="L214" s="32" t="s">
        <v>75</v>
      </c>
      <c r="M214" s="33">
        <v>5462.5</v>
      </c>
      <c r="N214" s="34">
        <v>5925.8</v>
      </c>
      <c r="O214" s="27" t="s">
        <v>76</v>
      </c>
      <c r="P214" s="35" t="s">
        <v>122</v>
      </c>
      <c r="Q214" s="35">
        <v>0.0</v>
      </c>
      <c r="R214" s="36" t="e">
        <v>#VALUE!</v>
      </c>
      <c r="S214" s="35" t="s">
        <v>86</v>
      </c>
      <c r="T214" s="35">
        <v>0.0</v>
      </c>
      <c r="U214" s="37" t="s">
        <v>812</v>
      </c>
      <c r="V214" s="38"/>
      <c r="W214" s="38"/>
      <c r="X214" s="27"/>
      <c r="Y214" s="39"/>
      <c r="Z214" s="39"/>
      <c r="AA214" s="39"/>
      <c r="AB214" s="40"/>
      <c r="AC214" s="27">
        <f t="shared" si="123"/>
        <v>0</v>
      </c>
      <c r="AD214" s="41">
        <f>IF(AND(S214="0",O214="Paid"),M214*15%,0)</f>
        <v>819.375</v>
      </c>
      <c r="AE214" s="42"/>
      <c r="AF214" s="27"/>
      <c r="AG214" s="43">
        <f t="shared" si="145"/>
        <v>1401.13125</v>
      </c>
      <c r="AH214" s="29"/>
      <c r="AI214" s="29"/>
      <c r="AJ214" s="29"/>
      <c r="AK214" s="29"/>
      <c r="AL214" s="27"/>
      <c r="AM214" s="44"/>
      <c r="AN214" s="47"/>
      <c r="AO214" s="46"/>
      <c r="AP214" s="47"/>
      <c r="AQ214" s="43">
        <f t="shared" si="146"/>
        <v>0</v>
      </c>
      <c r="AR214" s="43">
        <f t="shared" si="2"/>
        <v>0</v>
      </c>
      <c r="AS214" s="43">
        <f t="shared" si="3"/>
        <v>0</v>
      </c>
      <c r="AT214" s="48">
        <f t="shared" si="4"/>
        <v>0</v>
      </c>
      <c r="AU214" s="49">
        <f t="shared" si="138"/>
        <v>0</v>
      </c>
      <c r="AV214" s="48"/>
      <c r="AW214" s="34">
        <f t="shared" si="5"/>
        <v>5106.425</v>
      </c>
      <c r="AX214" s="50">
        <f t="shared" si="6"/>
        <v>581.75625</v>
      </c>
      <c r="AY214" s="43"/>
      <c r="AZ214" s="27"/>
      <c r="BA214" s="48">
        <f t="shared" si="135"/>
        <v>0</v>
      </c>
      <c r="BB214" s="27"/>
      <c r="BC214" s="27"/>
      <c r="BD214" s="51"/>
      <c r="BE214" s="52"/>
      <c r="BF214" s="27" t="s">
        <v>810</v>
      </c>
      <c r="BG214" s="53">
        <v>0.0</v>
      </c>
      <c r="BH214" s="53" t="str">
        <f>'[1]2023'!Q366</f>
        <v>#REF!</v>
      </c>
      <c r="BI214" s="27"/>
      <c r="BJ214" s="27"/>
      <c r="BK214" s="27" t="s">
        <v>76</v>
      </c>
      <c r="BL214" s="27"/>
    </row>
    <row r="215" ht="14.25" customHeight="1">
      <c r="A215" s="26" t="s">
        <v>55</v>
      </c>
      <c r="B215" s="26" t="s">
        <v>56</v>
      </c>
      <c r="C215" s="26" t="s">
        <v>57</v>
      </c>
      <c r="D215" s="26" t="s">
        <v>81</v>
      </c>
      <c r="E215" s="27" t="s">
        <v>813</v>
      </c>
      <c r="F215" s="26" t="s">
        <v>814</v>
      </c>
      <c r="G215" s="29" t="s">
        <v>806</v>
      </c>
      <c r="H215" s="30">
        <v>45013.0</v>
      </c>
      <c r="I215" s="30">
        <v>45378.0</v>
      </c>
      <c r="J215" s="31">
        <v>0.0</v>
      </c>
      <c r="K215" s="26" t="s">
        <v>352</v>
      </c>
      <c r="L215" s="73" t="s">
        <v>75</v>
      </c>
      <c r="M215" s="33">
        <v>7962.5</v>
      </c>
      <c r="N215" s="34">
        <v>8574.27</v>
      </c>
      <c r="O215" s="27" t="s">
        <v>76</v>
      </c>
      <c r="P215" s="35" t="s">
        <v>95</v>
      </c>
      <c r="Q215" s="35" t="s">
        <v>65</v>
      </c>
      <c r="R215" s="36" t="e">
        <v>#VALUE!</v>
      </c>
      <c r="S215" s="35" t="s">
        <v>86</v>
      </c>
      <c r="T215" s="35">
        <v>0.0</v>
      </c>
      <c r="U215" s="37" t="s">
        <v>67</v>
      </c>
      <c r="V215" s="38"/>
      <c r="W215" s="38"/>
      <c r="X215" s="27"/>
      <c r="Y215" s="39"/>
      <c r="Z215" s="39"/>
      <c r="AA215" s="39"/>
      <c r="AB215" s="40"/>
      <c r="AC215" s="27">
        <f t="shared" si="123"/>
        <v>0</v>
      </c>
      <c r="AD215" s="41"/>
      <c r="AE215" s="42"/>
      <c r="AF215" s="27"/>
      <c r="AG215" s="43">
        <f t="shared" si="145"/>
        <v>2042.38125</v>
      </c>
      <c r="AH215" s="29"/>
      <c r="AI215" s="29"/>
      <c r="AJ215" s="29"/>
      <c r="AK215" s="75"/>
      <c r="AL215" s="44"/>
      <c r="AM215" s="44"/>
      <c r="AN215" s="68"/>
      <c r="AO215" s="46"/>
      <c r="AP215" s="47"/>
      <c r="AQ215" s="43">
        <f t="shared" si="146"/>
        <v>2149.875</v>
      </c>
      <c r="AR215" s="43">
        <f t="shared" si="2"/>
        <v>107.49375</v>
      </c>
      <c r="AS215" s="43">
        <f t="shared" si="3"/>
        <v>376.228125</v>
      </c>
      <c r="AT215" s="48">
        <f t="shared" si="4"/>
        <v>1666.153125</v>
      </c>
      <c r="AU215" s="49">
        <f t="shared" si="138"/>
        <v>1666.153125</v>
      </c>
      <c r="AV215" s="48"/>
      <c r="AW215" s="34">
        <f t="shared" si="5"/>
        <v>8574.27</v>
      </c>
      <c r="AX215" s="50">
        <f t="shared" si="6"/>
        <v>1666.153125</v>
      </c>
      <c r="AY215" s="48"/>
      <c r="AZ215" s="27"/>
      <c r="BA215" s="48">
        <f t="shared" si="135"/>
        <v>1666.153125</v>
      </c>
      <c r="BB215" s="27"/>
      <c r="BC215" s="27"/>
      <c r="BD215" s="51"/>
      <c r="BE215" s="52"/>
      <c r="BF215" s="27" t="s">
        <v>813</v>
      </c>
      <c r="BG215" s="58" t="s">
        <v>815</v>
      </c>
      <c r="BH215" s="53" t="str">
        <f>'[1]2023'!Q401</f>
        <v>#REF!</v>
      </c>
      <c r="BI215" s="27"/>
      <c r="BJ215" s="27"/>
      <c r="BK215" s="27" t="s">
        <v>76</v>
      </c>
      <c r="BL215" s="27"/>
    </row>
    <row r="216" ht="14.25" customHeight="1">
      <c r="A216" s="26" t="s">
        <v>55</v>
      </c>
      <c r="B216" s="26" t="s">
        <v>56</v>
      </c>
      <c r="C216" s="26" t="s">
        <v>57</v>
      </c>
      <c r="D216" s="26" t="s">
        <v>81</v>
      </c>
      <c r="E216" s="27" t="s">
        <v>816</v>
      </c>
      <c r="F216" s="26" t="s">
        <v>817</v>
      </c>
      <c r="G216" s="29" t="s">
        <v>818</v>
      </c>
      <c r="H216" s="30">
        <v>45014.0</v>
      </c>
      <c r="I216" s="30">
        <v>45379.0</v>
      </c>
      <c r="J216" s="31">
        <v>0.0</v>
      </c>
      <c r="K216" s="26" t="s">
        <v>352</v>
      </c>
      <c r="L216" s="73" t="s">
        <v>305</v>
      </c>
      <c r="M216" s="33">
        <v>28400.0</v>
      </c>
      <c r="N216" s="34">
        <v>30219.6</v>
      </c>
      <c r="O216" s="27" t="s">
        <v>76</v>
      </c>
      <c r="P216" s="35" t="s">
        <v>142</v>
      </c>
      <c r="Q216" s="35" t="s">
        <v>90</v>
      </c>
      <c r="R216" s="36" t="e">
        <v>#VALUE!</v>
      </c>
      <c r="S216" s="35" t="s">
        <v>86</v>
      </c>
      <c r="T216" s="35">
        <v>0.0</v>
      </c>
      <c r="U216" s="37" t="s">
        <v>67</v>
      </c>
      <c r="V216" s="38"/>
      <c r="W216" s="38"/>
      <c r="X216" s="27"/>
      <c r="Y216" s="39"/>
      <c r="Z216" s="39"/>
      <c r="AA216" s="39"/>
      <c r="AB216" s="40"/>
      <c r="AC216" s="27">
        <f t="shared" si="123"/>
        <v>0</v>
      </c>
      <c r="AD216" s="41">
        <f t="shared" ref="AD216:AD218" si="147">IF(AND(S216="0",O216="Paid"),M216*15%,0)</f>
        <v>4260</v>
      </c>
      <c r="AE216" s="42"/>
      <c r="AF216" s="27" t="s">
        <v>306</v>
      </c>
      <c r="AG216" s="43">
        <f t="shared" si="145"/>
        <v>7284.6</v>
      </c>
      <c r="AH216" s="29"/>
      <c r="AI216" s="29"/>
      <c r="AJ216" s="29"/>
      <c r="AK216" s="75"/>
      <c r="AL216" s="44"/>
      <c r="AM216" s="44"/>
      <c r="AN216" s="68"/>
      <c r="AO216" s="46"/>
      <c r="AP216" s="47"/>
      <c r="AQ216" s="43">
        <f t="shared" si="146"/>
        <v>7668</v>
      </c>
      <c r="AR216" s="43">
        <f t="shared" si="2"/>
        <v>383.4</v>
      </c>
      <c r="AS216" s="43">
        <f t="shared" si="3"/>
        <v>1341.9</v>
      </c>
      <c r="AT216" s="48">
        <f t="shared" si="4"/>
        <v>5942.7</v>
      </c>
      <c r="AU216" s="49">
        <f t="shared" si="138"/>
        <v>5942.7</v>
      </c>
      <c r="AV216" s="48"/>
      <c r="AW216" s="82">
        <f t="shared" si="5"/>
        <v>25959.6</v>
      </c>
      <c r="AX216" s="50">
        <f t="shared" si="6"/>
        <v>1682.7</v>
      </c>
      <c r="AY216" s="48"/>
      <c r="AZ216" s="27"/>
      <c r="BA216" s="48">
        <f t="shared" si="135"/>
        <v>5942.7</v>
      </c>
      <c r="BB216" s="27"/>
      <c r="BC216" s="27"/>
      <c r="BD216" s="51"/>
      <c r="BE216" s="52"/>
      <c r="BF216" s="27" t="s">
        <v>816</v>
      </c>
      <c r="BG216" s="58" t="s">
        <v>562</v>
      </c>
      <c r="BH216" s="53" t="str">
        <f>'[1]2023'!Q367</f>
        <v>#REF!</v>
      </c>
      <c r="BI216" s="27"/>
      <c r="BJ216" s="27"/>
      <c r="BK216" s="27" t="s">
        <v>76</v>
      </c>
      <c r="BL216" s="27"/>
    </row>
    <row r="217" ht="14.25" customHeight="1">
      <c r="A217" s="26" t="s">
        <v>55</v>
      </c>
      <c r="B217" s="26" t="s">
        <v>56</v>
      </c>
      <c r="C217" s="26" t="s">
        <v>57</v>
      </c>
      <c r="D217" s="26" t="s">
        <v>81</v>
      </c>
      <c r="E217" s="27" t="s">
        <v>819</v>
      </c>
      <c r="F217" s="28" t="s">
        <v>820</v>
      </c>
      <c r="G217" s="29" t="s">
        <v>818</v>
      </c>
      <c r="H217" s="30">
        <v>45014.0</v>
      </c>
      <c r="I217" s="30">
        <v>45379.0</v>
      </c>
      <c r="J217" s="31">
        <v>0.0</v>
      </c>
      <c r="K217" s="26" t="s">
        <v>352</v>
      </c>
      <c r="L217" s="32" t="s">
        <v>305</v>
      </c>
      <c r="M217" s="33">
        <v>22715.0</v>
      </c>
      <c r="N217" s="34">
        <v>24199.19</v>
      </c>
      <c r="O217" s="27" t="s">
        <v>76</v>
      </c>
      <c r="P217" s="35" t="s">
        <v>142</v>
      </c>
      <c r="Q217" s="35" t="s">
        <v>90</v>
      </c>
      <c r="R217" s="36" t="e">
        <v>#VALUE!</v>
      </c>
      <c r="S217" s="35" t="s">
        <v>86</v>
      </c>
      <c r="T217" s="35">
        <v>0.0</v>
      </c>
      <c r="U217" s="37" t="s">
        <v>67</v>
      </c>
      <c r="V217" s="38"/>
      <c r="W217" s="38"/>
      <c r="X217" s="27"/>
      <c r="Y217" s="39"/>
      <c r="Z217" s="79" t="s">
        <v>476</v>
      </c>
      <c r="AA217" s="39"/>
      <c r="AB217" s="40"/>
      <c r="AC217" s="27">
        <f t="shared" si="123"/>
        <v>0</v>
      </c>
      <c r="AD217" s="41">
        <f t="shared" si="147"/>
        <v>3407.25</v>
      </c>
      <c r="AE217" s="42"/>
      <c r="AF217" s="27" t="s">
        <v>306</v>
      </c>
      <c r="AG217" s="43">
        <f t="shared" si="145"/>
        <v>5826.3975</v>
      </c>
      <c r="AH217" s="29"/>
      <c r="AI217" s="29"/>
      <c r="AJ217" s="29"/>
      <c r="AK217" s="29"/>
      <c r="AL217" s="27"/>
      <c r="AM217" s="44"/>
      <c r="AN217" s="68"/>
      <c r="AO217" s="46"/>
      <c r="AP217" s="47"/>
      <c r="AQ217" s="43">
        <f t="shared" si="146"/>
        <v>6133.05</v>
      </c>
      <c r="AR217" s="43">
        <f t="shared" si="2"/>
        <v>306.6525</v>
      </c>
      <c r="AS217" s="43">
        <f t="shared" si="3"/>
        <v>1073.28375</v>
      </c>
      <c r="AT217" s="48">
        <f t="shared" si="4"/>
        <v>4753.11375</v>
      </c>
      <c r="AU217" s="49">
        <f t="shared" si="138"/>
        <v>4753.11375</v>
      </c>
      <c r="AV217" s="48"/>
      <c r="AW217" s="82">
        <f t="shared" si="5"/>
        <v>20791.94</v>
      </c>
      <c r="AX217" s="50">
        <f t="shared" si="6"/>
        <v>1345.86375</v>
      </c>
      <c r="AY217" s="43"/>
      <c r="AZ217" s="27"/>
      <c r="BA217" s="48">
        <f t="shared" si="135"/>
        <v>4753.11375</v>
      </c>
      <c r="BB217" s="27"/>
      <c r="BC217" s="27"/>
      <c r="BD217" s="51"/>
      <c r="BE217" s="52"/>
      <c r="BF217" s="27" t="s">
        <v>819</v>
      </c>
      <c r="BG217" s="53">
        <v>0.0</v>
      </c>
      <c r="BH217" s="53" t="str">
        <f>'[1]2023'!Q400</f>
        <v>#REF!</v>
      </c>
      <c r="BI217" s="27"/>
      <c r="BJ217" s="27"/>
      <c r="BK217" s="27" t="s">
        <v>76</v>
      </c>
      <c r="BL217" s="27"/>
    </row>
    <row r="218" ht="14.25" customHeight="1">
      <c r="A218" s="26" t="s">
        <v>55</v>
      </c>
      <c r="B218" s="26" t="s">
        <v>56</v>
      </c>
      <c r="C218" s="26" t="s">
        <v>57</v>
      </c>
      <c r="D218" s="26" t="s">
        <v>81</v>
      </c>
      <c r="E218" s="27" t="s">
        <v>821</v>
      </c>
      <c r="F218" s="26" t="s">
        <v>822</v>
      </c>
      <c r="G218" s="29" t="s">
        <v>818</v>
      </c>
      <c r="H218" s="30">
        <v>45014.0</v>
      </c>
      <c r="I218" s="30">
        <v>45379.0</v>
      </c>
      <c r="J218" s="31">
        <v>0.0</v>
      </c>
      <c r="K218" s="26" t="s">
        <v>352</v>
      </c>
      <c r="L218" s="32" t="s">
        <v>75</v>
      </c>
      <c r="M218" s="33">
        <v>17290.0</v>
      </c>
      <c r="N218" s="34">
        <v>18451.11</v>
      </c>
      <c r="O218" s="27" t="s">
        <v>76</v>
      </c>
      <c r="P218" s="35" t="s">
        <v>122</v>
      </c>
      <c r="Q218" s="35" t="s">
        <v>90</v>
      </c>
      <c r="R218" s="36" t="e">
        <v>#VALUE!</v>
      </c>
      <c r="S218" s="35" t="s">
        <v>86</v>
      </c>
      <c r="T218" s="35">
        <v>0.0</v>
      </c>
      <c r="U218" s="37" t="s">
        <v>67</v>
      </c>
      <c r="V218" s="38"/>
      <c r="W218" s="38"/>
      <c r="X218" s="27"/>
      <c r="Y218" s="39"/>
      <c r="Z218" s="39"/>
      <c r="AA218" s="39"/>
      <c r="AB218" s="40"/>
      <c r="AC218" s="27">
        <f t="shared" si="123"/>
        <v>0</v>
      </c>
      <c r="AD218" s="41">
        <f t="shared" si="147"/>
        <v>2593.5</v>
      </c>
      <c r="AE218" s="42"/>
      <c r="AF218" s="27"/>
      <c r="AG218" s="43">
        <f t="shared" si="145"/>
        <v>4434.885</v>
      </c>
      <c r="AH218" s="29"/>
      <c r="AI218" s="29"/>
      <c r="AJ218" s="29"/>
      <c r="AK218" s="29"/>
      <c r="AL218" s="27"/>
      <c r="AM218" s="44"/>
      <c r="AN218" s="68"/>
      <c r="AO218" s="46"/>
      <c r="AP218" s="47"/>
      <c r="AQ218" s="43">
        <f t="shared" si="146"/>
        <v>4668.3</v>
      </c>
      <c r="AR218" s="43">
        <f t="shared" si="2"/>
        <v>233.415</v>
      </c>
      <c r="AS218" s="43">
        <f t="shared" si="3"/>
        <v>816.9525</v>
      </c>
      <c r="AT218" s="48">
        <f t="shared" si="4"/>
        <v>3617.9325</v>
      </c>
      <c r="AU218" s="49">
        <f t="shared" si="138"/>
        <v>3617.9325</v>
      </c>
      <c r="AV218" s="48"/>
      <c r="AW218" s="34">
        <f t="shared" si="5"/>
        <v>15857.61</v>
      </c>
      <c r="AX218" s="50">
        <f t="shared" si="6"/>
        <v>1024.4325</v>
      </c>
      <c r="AY218" s="43"/>
      <c r="AZ218" s="27"/>
      <c r="BA218" s="48">
        <f t="shared" si="135"/>
        <v>3617.9325</v>
      </c>
      <c r="BB218" s="27"/>
      <c r="BC218" s="27"/>
      <c r="BD218" s="51"/>
      <c r="BE218" s="52"/>
      <c r="BF218" s="27" t="s">
        <v>821</v>
      </c>
      <c r="BG218" s="53">
        <v>0.0</v>
      </c>
      <c r="BH218" s="53" t="str">
        <f>'[1]2023'!Q407</f>
        <v>#REF!</v>
      </c>
      <c r="BI218" s="27"/>
      <c r="BJ218" s="27"/>
      <c r="BK218" s="27" t="s">
        <v>76</v>
      </c>
      <c r="BL218" s="27"/>
    </row>
    <row r="219" ht="14.25" customHeight="1">
      <c r="A219" s="26" t="s">
        <v>55</v>
      </c>
      <c r="B219" s="26" t="s">
        <v>56</v>
      </c>
      <c r="C219" s="26" t="s">
        <v>57</v>
      </c>
      <c r="D219" s="26" t="s">
        <v>81</v>
      </c>
      <c r="E219" s="27" t="s">
        <v>823</v>
      </c>
      <c r="F219" s="26" t="s">
        <v>824</v>
      </c>
      <c r="G219" s="29" t="s">
        <v>818</v>
      </c>
      <c r="H219" s="30">
        <v>45014.0</v>
      </c>
      <c r="I219" s="30">
        <v>45379.0</v>
      </c>
      <c r="J219" s="31">
        <v>0.0</v>
      </c>
      <c r="K219" s="26" t="s">
        <v>352</v>
      </c>
      <c r="L219" s="32" t="s">
        <v>63</v>
      </c>
      <c r="M219" s="33">
        <v>0.0</v>
      </c>
      <c r="N219" s="34">
        <v>0.0</v>
      </c>
      <c r="O219" s="27" t="s">
        <v>64</v>
      </c>
      <c r="P219" s="35">
        <v>0.0</v>
      </c>
      <c r="Q219" s="35" t="s">
        <v>90</v>
      </c>
      <c r="R219" s="36" t="e">
        <v>#VALUE!</v>
      </c>
      <c r="S219" s="35" t="s">
        <v>86</v>
      </c>
      <c r="T219" s="35">
        <v>0.0</v>
      </c>
      <c r="U219" s="37" t="s">
        <v>67</v>
      </c>
      <c r="V219" s="38"/>
      <c r="W219" s="38"/>
      <c r="X219" s="27"/>
      <c r="Y219" s="39"/>
      <c r="Z219" s="39"/>
      <c r="AA219" s="39"/>
      <c r="AB219" s="40"/>
      <c r="AC219" s="27">
        <f t="shared" si="123"/>
        <v>0</v>
      </c>
      <c r="AD219" s="41">
        <f>IF(AND(S219="0",O219="Paid"),(M219*15%)-AC219,0)</f>
        <v>0</v>
      </c>
      <c r="AE219" s="42"/>
      <c r="AF219" s="27"/>
      <c r="AG219" s="43">
        <f t="shared" si="145"/>
        <v>0</v>
      </c>
      <c r="AH219" s="29"/>
      <c r="AI219" s="29"/>
      <c r="AJ219" s="29"/>
      <c r="AK219" s="29"/>
      <c r="AL219" s="27"/>
      <c r="AM219" s="44"/>
      <c r="AN219" s="68"/>
      <c r="AO219" s="46"/>
      <c r="AP219" s="47"/>
      <c r="AQ219" s="43" t="b">
        <f>IF(O219="Paid",IF(U219="Motor Plus",(M219*27%),IF(U219="Motor One",(M219*22%),(IF(U219="Golden",(M219*25%),(IF(U219="Classic",(M219*15%),(IF(U219="Wethaq",(M219*28%),IF(U219="Alwataniya",(M219*21%))*0)))))))))</f>
        <v>0</v>
      </c>
      <c r="AR219" s="43">
        <f t="shared" si="2"/>
        <v>0</v>
      </c>
      <c r="AS219" s="43">
        <f t="shared" si="3"/>
        <v>0</v>
      </c>
      <c r="AT219" s="48">
        <f t="shared" si="4"/>
        <v>0</v>
      </c>
      <c r="AU219" s="49">
        <f t="shared" si="138"/>
        <v>0</v>
      </c>
      <c r="AV219" s="48"/>
      <c r="AW219" s="34">
        <f t="shared" si="5"/>
        <v>0</v>
      </c>
      <c r="AX219" s="50">
        <f t="shared" si="6"/>
        <v>0</v>
      </c>
      <c r="AY219" s="43"/>
      <c r="AZ219" s="27"/>
      <c r="BA219" s="48">
        <f t="shared" si="135"/>
        <v>0</v>
      </c>
      <c r="BB219" s="27"/>
      <c r="BC219" s="27"/>
      <c r="BD219" s="51"/>
      <c r="BE219" s="52"/>
      <c r="BF219" s="27" t="s">
        <v>823</v>
      </c>
      <c r="BG219" s="53">
        <v>0.0</v>
      </c>
      <c r="BH219" s="53" t="str">
        <f>'[1]2023'!Q427</f>
        <v>#REF!</v>
      </c>
      <c r="BI219" s="27"/>
      <c r="BJ219" s="27"/>
      <c r="BK219" s="27" t="s">
        <v>64</v>
      </c>
      <c r="BL219" s="27"/>
    </row>
    <row r="220" ht="14.25" customHeight="1">
      <c r="A220" s="26" t="s">
        <v>55</v>
      </c>
      <c r="B220" s="26" t="s">
        <v>56</v>
      </c>
      <c r="C220" s="26" t="s">
        <v>57</v>
      </c>
      <c r="D220" s="26" t="s">
        <v>71</v>
      </c>
      <c r="E220" s="27" t="s">
        <v>825</v>
      </c>
      <c r="F220" s="28" t="s">
        <v>826</v>
      </c>
      <c r="G220" s="29" t="s">
        <v>818</v>
      </c>
      <c r="H220" s="30">
        <v>45014.0</v>
      </c>
      <c r="I220" s="30">
        <v>45379.0</v>
      </c>
      <c r="J220" s="31" t="s">
        <v>827</v>
      </c>
      <c r="K220" s="26" t="s">
        <v>352</v>
      </c>
      <c r="L220" s="32" t="s">
        <v>393</v>
      </c>
      <c r="M220" s="33">
        <v>100375.0</v>
      </c>
      <c r="N220" s="34">
        <v>106439.13</v>
      </c>
      <c r="O220" s="27" t="s">
        <v>76</v>
      </c>
      <c r="P220" s="35" t="s">
        <v>142</v>
      </c>
      <c r="Q220" s="35" t="s">
        <v>108</v>
      </c>
      <c r="R220" s="36" t="e">
        <v>#VALUE!</v>
      </c>
      <c r="S220" s="35" t="s">
        <v>86</v>
      </c>
      <c r="T220" s="35">
        <v>0.0</v>
      </c>
      <c r="U220" s="37" t="s">
        <v>67</v>
      </c>
      <c r="V220" s="38">
        <v>3650000.0</v>
      </c>
      <c r="W220" s="78" t="s">
        <v>828</v>
      </c>
      <c r="X220" s="27">
        <v>2021.0</v>
      </c>
      <c r="Y220" s="39"/>
      <c r="Z220" s="79" t="s">
        <v>829</v>
      </c>
      <c r="AA220" s="39"/>
      <c r="AB220" s="40"/>
      <c r="AC220" s="27">
        <f t="shared" si="123"/>
        <v>0</v>
      </c>
      <c r="AD220" s="41">
        <f t="shared" ref="AD220:AD225" si="148">IF(AND(S220="0",O220="Paid"),M220*15%,0)</f>
        <v>15056.25</v>
      </c>
      <c r="AE220" s="42">
        <v>1750.0</v>
      </c>
      <c r="AF220" s="29">
        <v>44962.0</v>
      </c>
      <c r="AG220" s="43">
        <f t="shared" si="145"/>
        <v>25746.1875</v>
      </c>
      <c r="AH220" s="29"/>
      <c r="AI220" s="29"/>
      <c r="AJ220" s="29"/>
      <c r="AK220" s="29"/>
      <c r="AL220" s="90"/>
      <c r="AM220" s="44"/>
      <c r="AN220" s="68"/>
      <c r="AO220" s="46"/>
      <c r="AP220" s="47"/>
      <c r="AQ220" s="43">
        <f t="shared" ref="AQ220:AQ225" si="149">IF(U220="Motor Plus",(M220*27%),IF(U220="Motor One",(M220*22%),(IF(U220="Golden",(M220*25%),(IF(U220="Classic",(M220*15%),(IF(U220="Wethaq",(M220*28%),IF(U220="Alwataniya",(M220*21%))*0))))))))</f>
        <v>27101.25</v>
      </c>
      <c r="AR220" s="43">
        <f t="shared" si="2"/>
        <v>1355.0625</v>
      </c>
      <c r="AS220" s="43">
        <f t="shared" si="3"/>
        <v>4742.71875</v>
      </c>
      <c r="AT220" s="48">
        <f t="shared" si="4"/>
        <v>21003.46875</v>
      </c>
      <c r="AU220" s="49">
        <f t="shared" si="138"/>
        <v>21003.46875</v>
      </c>
      <c r="AV220" s="48"/>
      <c r="AW220" s="82">
        <f t="shared" si="5"/>
        <v>89632.88</v>
      </c>
      <c r="AX220" s="50">
        <f t="shared" si="6"/>
        <v>4197.21875</v>
      </c>
      <c r="AY220" s="43"/>
      <c r="AZ220" s="27"/>
      <c r="BA220" s="48">
        <f t="shared" si="135"/>
        <v>21003.46875</v>
      </c>
      <c r="BB220" s="27"/>
      <c r="BC220" s="27"/>
      <c r="BD220" s="51"/>
      <c r="BE220" s="52"/>
      <c r="BF220" s="27" t="s">
        <v>825</v>
      </c>
      <c r="BG220" s="58" t="s">
        <v>830</v>
      </c>
      <c r="BH220" s="53" t="str">
        <f>'[1]2023'!Q445</f>
        <v>#REF!</v>
      </c>
      <c r="BI220" s="27"/>
      <c r="BJ220" s="27"/>
      <c r="BK220" s="27" t="s">
        <v>76</v>
      </c>
      <c r="BL220" s="64" t="s">
        <v>831</v>
      </c>
    </row>
    <row r="221" ht="14.25" customHeight="1">
      <c r="A221" s="26" t="s">
        <v>55</v>
      </c>
      <c r="B221" s="26" t="s">
        <v>56</v>
      </c>
      <c r="C221" s="26" t="s">
        <v>57</v>
      </c>
      <c r="D221" s="26" t="s">
        <v>81</v>
      </c>
      <c r="E221" s="27" t="s">
        <v>832</v>
      </c>
      <c r="F221" s="26" t="s">
        <v>833</v>
      </c>
      <c r="G221" s="29" t="s">
        <v>834</v>
      </c>
      <c r="H221" s="30">
        <v>45015.0</v>
      </c>
      <c r="I221" s="30">
        <v>45380.0</v>
      </c>
      <c r="J221" s="31">
        <v>0.0</v>
      </c>
      <c r="K221" s="26" t="s">
        <v>352</v>
      </c>
      <c r="L221" s="32" t="s">
        <v>75</v>
      </c>
      <c r="M221" s="33">
        <v>25812.5</v>
      </c>
      <c r="N221" s="34">
        <v>27476.45</v>
      </c>
      <c r="O221" s="27" t="s">
        <v>76</v>
      </c>
      <c r="P221" s="35" t="s">
        <v>122</v>
      </c>
      <c r="Q221" s="35" t="s">
        <v>90</v>
      </c>
      <c r="R221" s="36" t="e">
        <v>#VALUE!</v>
      </c>
      <c r="S221" s="35" t="s">
        <v>86</v>
      </c>
      <c r="T221" s="35">
        <v>0.0</v>
      </c>
      <c r="U221" s="37" t="s">
        <v>67</v>
      </c>
      <c r="V221" s="38"/>
      <c r="W221" s="38"/>
      <c r="X221" s="27"/>
      <c r="Y221" s="39"/>
      <c r="Z221" s="39"/>
      <c r="AA221" s="39"/>
      <c r="AB221" s="40"/>
      <c r="AC221" s="27">
        <f t="shared" si="123"/>
        <v>0</v>
      </c>
      <c r="AD221" s="41">
        <f t="shared" si="148"/>
        <v>3871.875</v>
      </c>
      <c r="AE221" s="42"/>
      <c r="AF221" s="27"/>
      <c r="AG221" s="43">
        <f t="shared" si="145"/>
        <v>6620.90625</v>
      </c>
      <c r="AH221" s="29"/>
      <c r="AI221" s="29"/>
      <c r="AJ221" s="29"/>
      <c r="AK221" s="29"/>
      <c r="AL221" s="27"/>
      <c r="AM221" s="44"/>
      <c r="AN221" s="68"/>
      <c r="AO221" s="46"/>
      <c r="AP221" s="47"/>
      <c r="AQ221" s="43">
        <f t="shared" si="149"/>
        <v>6969.375</v>
      </c>
      <c r="AR221" s="43">
        <f t="shared" si="2"/>
        <v>348.46875</v>
      </c>
      <c r="AS221" s="43">
        <f t="shared" si="3"/>
        <v>1219.640625</v>
      </c>
      <c r="AT221" s="48">
        <f t="shared" si="4"/>
        <v>5401.265625</v>
      </c>
      <c r="AU221" s="49">
        <f t="shared" si="138"/>
        <v>5401.265625</v>
      </c>
      <c r="AV221" s="48"/>
      <c r="AW221" s="34">
        <f t="shared" si="5"/>
        <v>23604.575</v>
      </c>
      <c r="AX221" s="50">
        <f t="shared" si="6"/>
        <v>1529.390625</v>
      </c>
      <c r="AY221" s="43"/>
      <c r="AZ221" s="27"/>
      <c r="BA221" s="48">
        <f t="shared" si="135"/>
        <v>5401.265625</v>
      </c>
      <c r="BB221" s="27"/>
      <c r="BC221" s="27"/>
      <c r="BD221" s="51"/>
      <c r="BE221" s="52"/>
      <c r="BF221" s="27" t="s">
        <v>832</v>
      </c>
      <c r="BG221" s="53">
        <v>0.0</v>
      </c>
      <c r="BH221" s="53" t="str">
        <f>'[1]2023'!Q356</f>
        <v>#REF!</v>
      </c>
      <c r="BI221" s="27"/>
      <c r="BJ221" s="27"/>
      <c r="BK221" s="27" t="s">
        <v>76</v>
      </c>
      <c r="BL221" s="27"/>
    </row>
    <row r="222" ht="14.25" customHeight="1">
      <c r="A222" s="26" t="s">
        <v>55</v>
      </c>
      <c r="B222" s="26" t="s">
        <v>56</v>
      </c>
      <c r="C222" s="26" t="s">
        <v>57</v>
      </c>
      <c r="D222" s="26" t="s">
        <v>81</v>
      </c>
      <c r="E222" s="27" t="s">
        <v>835</v>
      </c>
      <c r="F222" s="28" t="s">
        <v>836</v>
      </c>
      <c r="G222" s="29" t="s">
        <v>834</v>
      </c>
      <c r="H222" s="30">
        <v>45015.0</v>
      </c>
      <c r="I222" s="30">
        <v>45380.0</v>
      </c>
      <c r="J222" s="31">
        <v>0.0</v>
      </c>
      <c r="K222" s="26" t="s">
        <v>352</v>
      </c>
      <c r="L222" s="32" t="s">
        <v>75</v>
      </c>
      <c r="M222" s="33">
        <v>22715.0</v>
      </c>
      <c r="N222" s="34">
        <v>24196.19</v>
      </c>
      <c r="O222" s="27" t="s">
        <v>76</v>
      </c>
      <c r="P222" s="35" t="s">
        <v>122</v>
      </c>
      <c r="Q222" s="35" t="s">
        <v>90</v>
      </c>
      <c r="R222" s="36" t="e">
        <v>#VALUE!</v>
      </c>
      <c r="S222" s="35" t="s">
        <v>86</v>
      </c>
      <c r="T222" s="35">
        <v>0.0</v>
      </c>
      <c r="U222" s="37" t="s">
        <v>67</v>
      </c>
      <c r="V222" s="38"/>
      <c r="W222" s="38"/>
      <c r="X222" s="27"/>
      <c r="Y222" s="39"/>
      <c r="Z222" s="79" t="s">
        <v>476</v>
      </c>
      <c r="AA222" s="39"/>
      <c r="AB222" s="40"/>
      <c r="AC222" s="27">
        <f t="shared" si="123"/>
        <v>0</v>
      </c>
      <c r="AD222" s="41">
        <f t="shared" si="148"/>
        <v>3407.25</v>
      </c>
      <c r="AE222" s="42"/>
      <c r="AF222" s="27"/>
      <c r="AG222" s="43">
        <f t="shared" si="145"/>
        <v>5826.3975</v>
      </c>
      <c r="AH222" s="29"/>
      <c r="AI222" s="29"/>
      <c r="AJ222" s="29"/>
      <c r="AK222" s="29"/>
      <c r="AL222" s="27"/>
      <c r="AM222" s="44"/>
      <c r="AN222" s="68"/>
      <c r="AO222" s="46"/>
      <c r="AP222" s="47"/>
      <c r="AQ222" s="43">
        <f t="shared" si="149"/>
        <v>6133.05</v>
      </c>
      <c r="AR222" s="43">
        <f t="shared" si="2"/>
        <v>306.6525</v>
      </c>
      <c r="AS222" s="43">
        <f t="shared" si="3"/>
        <v>1073.28375</v>
      </c>
      <c r="AT222" s="48">
        <f t="shared" si="4"/>
        <v>4753.11375</v>
      </c>
      <c r="AU222" s="49">
        <f t="shared" si="138"/>
        <v>4753.11375</v>
      </c>
      <c r="AV222" s="48"/>
      <c r="AW222" s="34">
        <f t="shared" si="5"/>
        <v>20788.94</v>
      </c>
      <c r="AX222" s="50">
        <f t="shared" si="6"/>
        <v>1345.86375</v>
      </c>
      <c r="AY222" s="43"/>
      <c r="AZ222" s="27"/>
      <c r="BA222" s="48">
        <f t="shared" si="135"/>
        <v>4753.11375</v>
      </c>
      <c r="BB222" s="27"/>
      <c r="BC222" s="27"/>
      <c r="BD222" s="51"/>
      <c r="BE222" s="52"/>
      <c r="BF222" s="27" t="s">
        <v>835</v>
      </c>
      <c r="BG222" s="53">
        <v>0.0</v>
      </c>
      <c r="BH222" s="53" t="str">
        <f>'[1]2023'!Q382</f>
        <v>#REF!</v>
      </c>
      <c r="BI222" s="27"/>
      <c r="BJ222" s="27"/>
      <c r="BK222" s="27" t="s">
        <v>76</v>
      </c>
      <c r="BL222" s="27"/>
    </row>
    <row r="223" ht="14.25" customHeight="1">
      <c r="A223" s="26" t="s">
        <v>55</v>
      </c>
      <c r="B223" s="26" t="s">
        <v>56</v>
      </c>
      <c r="C223" s="26" t="s">
        <v>57</v>
      </c>
      <c r="D223" s="26" t="s">
        <v>81</v>
      </c>
      <c r="E223" s="27" t="s">
        <v>837</v>
      </c>
      <c r="F223" s="28" t="s">
        <v>838</v>
      </c>
      <c r="G223" s="29" t="s">
        <v>834</v>
      </c>
      <c r="H223" s="30">
        <v>45015.0</v>
      </c>
      <c r="I223" s="30">
        <v>45380.0</v>
      </c>
      <c r="J223" s="31">
        <v>0.0</v>
      </c>
      <c r="K223" s="26" t="s">
        <v>352</v>
      </c>
      <c r="L223" s="32" t="s">
        <v>75</v>
      </c>
      <c r="M223" s="33">
        <v>28600.0</v>
      </c>
      <c r="N223" s="34">
        <v>30428.4</v>
      </c>
      <c r="O223" s="27" t="s">
        <v>76</v>
      </c>
      <c r="P223" s="35" t="s">
        <v>122</v>
      </c>
      <c r="Q223" s="35" t="s">
        <v>90</v>
      </c>
      <c r="R223" s="36" t="e">
        <v>#VALUE!</v>
      </c>
      <c r="S223" s="35" t="s">
        <v>86</v>
      </c>
      <c r="T223" s="35">
        <v>0.0</v>
      </c>
      <c r="U223" s="37" t="s">
        <v>67</v>
      </c>
      <c r="V223" s="38"/>
      <c r="W223" s="38"/>
      <c r="X223" s="27"/>
      <c r="Y223" s="39"/>
      <c r="Z223" s="79" t="s">
        <v>208</v>
      </c>
      <c r="AA223" s="39"/>
      <c r="AB223" s="40"/>
      <c r="AC223" s="27">
        <f t="shared" si="123"/>
        <v>0</v>
      </c>
      <c r="AD223" s="41">
        <f t="shared" si="148"/>
        <v>4290</v>
      </c>
      <c r="AE223" s="42"/>
      <c r="AF223" s="27"/>
      <c r="AG223" s="43">
        <f t="shared" si="145"/>
        <v>7335.9</v>
      </c>
      <c r="AH223" s="29"/>
      <c r="AI223" s="29"/>
      <c r="AJ223" s="29"/>
      <c r="AK223" s="29"/>
      <c r="AL223" s="27"/>
      <c r="AM223" s="27"/>
      <c r="AN223" s="47"/>
      <c r="AO223" s="76"/>
      <c r="AP223" s="47"/>
      <c r="AQ223" s="43">
        <f t="shared" si="149"/>
        <v>7722</v>
      </c>
      <c r="AR223" s="43">
        <f t="shared" si="2"/>
        <v>386.1</v>
      </c>
      <c r="AS223" s="43">
        <f t="shared" si="3"/>
        <v>1351.35</v>
      </c>
      <c r="AT223" s="48">
        <f t="shared" si="4"/>
        <v>5984.55</v>
      </c>
      <c r="AU223" s="49">
        <f t="shared" si="138"/>
        <v>5984.55</v>
      </c>
      <c r="AV223" s="48"/>
      <c r="AW223" s="34">
        <f t="shared" si="5"/>
        <v>26138.4</v>
      </c>
      <c r="AX223" s="50">
        <f t="shared" si="6"/>
        <v>1694.55</v>
      </c>
      <c r="AY223" s="43"/>
      <c r="AZ223" s="27"/>
      <c r="BA223" s="48">
        <f t="shared" si="135"/>
        <v>5984.55</v>
      </c>
      <c r="BB223" s="27"/>
      <c r="BC223" s="27"/>
      <c r="BD223" s="51"/>
      <c r="BE223" s="52"/>
      <c r="BF223" s="27" t="s">
        <v>837</v>
      </c>
      <c r="BG223" s="53">
        <v>0.0</v>
      </c>
      <c r="BH223" s="53" t="str">
        <f>'[1]2023'!Q385</f>
        <v>#REF!</v>
      </c>
      <c r="BI223" s="27"/>
      <c r="BJ223" s="27"/>
      <c r="BK223" s="27" t="s">
        <v>76</v>
      </c>
      <c r="BL223" s="27"/>
    </row>
    <row r="224" ht="14.25" customHeight="1">
      <c r="A224" s="26" t="s">
        <v>55</v>
      </c>
      <c r="B224" s="26" t="s">
        <v>56</v>
      </c>
      <c r="C224" s="26" t="s">
        <v>57</v>
      </c>
      <c r="D224" s="26" t="s">
        <v>81</v>
      </c>
      <c r="E224" s="27" t="s">
        <v>839</v>
      </c>
      <c r="F224" s="26" t="s">
        <v>840</v>
      </c>
      <c r="G224" s="29" t="s">
        <v>834</v>
      </c>
      <c r="H224" s="30">
        <v>45015.0</v>
      </c>
      <c r="I224" s="30">
        <v>45380.0</v>
      </c>
      <c r="J224" s="31">
        <v>0.0</v>
      </c>
      <c r="K224" s="26" t="s">
        <v>352</v>
      </c>
      <c r="L224" s="32" t="s">
        <v>75</v>
      </c>
      <c r="M224" s="33">
        <v>20650.0</v>
      </c>
      <c r="N224" s="34">
        <v>22009.35</v>
      </c>
      <c r="O224" s="27" t="s">
        <v>76</v>
      </c>
      <c r="P224" s="35" t="s">
        <v>104</v>
      </c>
      <c r="Q224" s="35" t="s">
        <v>90</v>
      </c>
      <c r="R224" s="36" t="e">
        <v>#VALUE!</v>
      </c>
      <c r="S224" s="35" t="s">
        <v>86</v>
      </c>
      <c r="T224" s="35">
        <v>0.0</v>
      </c>
      <c r="U224" s="37" t="s">
        <v>67</v>
      </c>
      <c r="V224" s="38"/>
      <c r="W224" s="38"/>
      <c r="X224" s="27"/>
      <c r="Y224" s="39"/>
      <c r="Z224" s="39"/>
      <c r="AA224" s="39"/>
      <c r="AB224" s="40"/>
      <c r="AC224" s="27">
        <f t="shared" si="123"/>
        <v>0</v>
      </c>
      <c r="AD224" s="41">
        <f t="shared" si="148"/>
        <v>3097.5</v>
      </c>
      <c r="AE224" s="42"/>
      <c r="AF224" s="27"/>
      <c r="AG224" s="43">
        <f t="shared" si="145"/>
        <v>5296.725</v>
      </c>
      <c r="AH224" s="29"/>
      <c r="AI224" s="29"/>
      <c r="AJ224" s="29"/>
      <c r="AK224" s="29"/>
      <c r="AL224" s="27"/>
      <c r="AM224" s="44"/>
      <c r="AN224" s="68"/>
      <c r="AO224" s="46"/>
      <c r="AP224" s="47"/>
      <c r="AQ224" s="43">
        <f t="shared" si="149"/>
        <v>5575.5</v>
      </c>
      <c r="AR224" s="43">
        <f t="shared" si="2"/>
        <v>278.775</v>
      </c>
      <c r="AS224" s="43">
        <f t="shared" si="3"/>
        <v>975.7125</v>
      </c>
      <c r="AT224" s="48">
        <f t="shared" si="4"/>
        <v>4321.0125</v>
      </c>
      <c r="AU224" s="49">
        <f t="shared" si="138"/>
        <v>4321.0125</v>
      </c>
      <c r="AV224" s="48"/>
      <c r="AW224" s="34">
        <f t="shared" si="5"/>
        <v>18911.85</v>
      </c>
      <c r="AX224" s="50">
        <f t="shared" si="6"/>
        <v>1223.5125</v>
      </c>
      <c r="AY224" s="43"/>
      <c r="AZ224" s="27"/>
      <c r="BA224" s="48">
        <f t="shared" si="135"/>
        <v>4321.0125</v>
      </c>
      <c r="BB224" s="27"/>
      <c r="BC224" s="27"/>
      <c r="BD224" s="51"/>
      <c r="BE224" s="52"/>
      <c r="BF224" s="27" t="s">
        <v>839</v>
      </c>
      <c r="BG224" s="53">
        <v>0.0</v>
      </c>
      <c r="BH224" s="53" t="str">
        <f>'[1]2023'!Q399</f>
        <v>#REF!</v>
      </c>
      <c r="BI224" s="27"/>
      <c r="BJ224" s="27"/>
      <c r="BK224" s="27" t="s">
        <v>76</v>
      </c>
      <c r="BL224" s="27"/>
    </row>
    <row r="225" ht="14.25" customHeight="1">
      <c r="A225" s="26" t="s">
        <v>55</v>
      </c>
      <c r="B225" s="26" t="s">
        <v>56</v>
      </c>
      <c r="C225" s="26" t="s">
        <v>57</v>
      </c>
      <c r="D225" s="26" t="s">
        <v>71</v>
      </c>
      <c r="E225" s="27" t="s">
        <v>841</v>
      </c>
      <c r="F225" s="28" t="s">
        <v>842</v>
      </c>
      <c r="G225" s="29" t="s">
        <v>834</v>
      </c>
      <c r="H225" s="30">
        <v>45015.0</v>
      </c>
      <c r="I225" s="30">
        <v>45380.0</v>
      </c>
      <c r="J225" s="31" t="s">
        <v>843</v>
      </c>
      <c r="K225" s="26" t="s">
        <v>352</v>
      </c>
      <c r="L225" s="69">
        <v>45174.0</v>
      </c>
      <c r="M225" s="33">
        <v>45100.0</v>
      </c>
      <c r="N225" s="34">
        <v>47899.9</v>
      </c>
      <c r="O225" s="27" t="s">
        <v>76</v>
      </c>
      <c r="P225" s="35" t="s">
        <v>142</v>
      </c>
      <c r="Q225" s="35" t="s">
        <v>108</v>
      </c>
      <c r="R225" s="36" t="e">
        <v>#VALUE!</v>
      </c>
      <c r="S225" s="35" t="s">
        <v>86</v>
      </c>
      <c r="T225" s="35">
        <v>0.0</v>
      </c>
      <c r="U225" s="37" t="s">
        <v>67</v>
      </c>
      <c r="V225" s="38">
        <v>1640000.0</v>
      </c>
      <c r="W225" s="78">
        <v>7033827.0</v>
      </c>
      <c r="X225" s="27">
        <v>2023.0</v>
      </c>
      <c r="Y225" s="39"/>
      <c r="Z225" s="79" t="s">
        <v>844</v>
      </c>
      <c r="AA225" s="39"/>
      <c r="AB225" s="40"/>
      <c r="AC225" s="27">
        <f t="shared" si="123"/>
        <v>0</v>
      </c>
      <c r="AD225" s="41">
        <f t="shared" si="148"/>
        <v>6765</v>
      </c>
      <c r="AE225" s="42">
        <v>750.0</v>
      </c>
      <c r="AF225" s="29">
        <v>44931.0</v>
      </c>
      <c r="AG225" s="43">
        <f t="shared" si="145"/>
        <v>11568.15</v>
      </c>
      <c r="AH225" s="29"/>
      <c r="AI225" s="29"/>
      <c r="AJ225" s="29"/>
      <c r="AK225" s="29"/>
      <c r="AL225" s="27"/>
      <c r="AM225" s="27"/>
      <c r="AN225" s="47"/>
      <c r="AO225" s="46"/>
      <c r="AP225" s="47"/>
      <c r="AQ225" s="43">
        <f t="shared" si="149"/>
        <v>12177</v>
      </c>
      <c r="AR225" s="43">
        <f t="shared" si="2"/>
        <v>608.85</v>
      </c>
      <c r="AS225" s="43">
        <f t="shared" si="3"/>
        <v>2130.975</v>
      </c>
      <c r="AT225" s="48">
        <f t="shared" si="4"/>
        <v>9437.175</v>
      </c>
      <c r="AU225" s="49">
        <f t="shared" si="138"/>
        <v>9437.175</v>
      </c>
      <c r="AV225" s="48"/>
      <c r="AW225" s="34">
        <f t="shared" si="5"/>
        <v>40384.9</v>
      </c>
      <c r="AX225" s="50">
        <f t="shared" si="6"/>
        <v>1922.175</v>
      </c>
      <c r="AY225" s="43"/>
      <c r="AZ225" s="27"/>
      <c r="BA225" s="48">
        <f t="shared" si="135"/>
        <v>9437.175</v>
      </c>
      <c r="BB225" s="27"/>
      <c r="BC225" s="27"/>
      <c r="BD225" s="51"/>
      <c r="BE225" s="52"/>
      <c r="BF225" s="27" t="s">
        <v>841</v>
      </c>
      <c r="BG225" s="58" t="s">
        <v>845</v>
      </c>
      <c r="BH225" s="53" t="str">
        <f>'[1]2023'!Q440</f>
        <v>#REF!</v>
      </c>
      <c r="BI225" s="27"/>
      <c r="BJ225" s="27"/>
      <c r="BK225" s="27" t="s">
        <v>76</v>
      </c>
      <c r="BL225" s="27"/>
    </row>
    <row r="226" ht="14.25" customHeight="1">
      <c r="A226" s="26" t="s">
        <v>68</v>
      </c>
      <c r="B226" s="26" t="s">
        <v>56</v>
      </c>
      <c r="C226" s="26" t="s">
        <v>57</v>
      </c>
      <c r="D226" s="26" t="s">
        <v>71</v>
      </c>
      <c r="E226" s="27" t="s">
        <v>846</v>
      </c>
      <c r="F226" s="28" t="s">
        <v>847</v>
      </c>
      <c r="G226" s="29" t="s">
        <v>834</v>
      </c>
      <c r="H226" s="30">
        <v>45015.0</v>
      </c>
      <c r="I226" s="30">
        <v>45380.0</v>
      </c>
      <c r="J226" s="88" t="s">
        <v>510</v>
      </c>
      <c r="K226" s="26" t="s">
        <v>352</v>
      </c>
      <c r="L226" s="69">
        <v>45069.0</v>
      </c>
      <c r="M226" s="33">
        <v>50676.16</v>
      </c>
      <c r="N226" s="34">
        <v>54000.0</v>
      </c>
      <c r="O226" s="27" t="s">
        <v>76</v>
      </c>
      <c r="P226" s="35" t="s">
        <v>162</v>
      </c>
      <c r="Q226" s="35">
        <v>0.0</v>
      </c>
      <c r="R226" s="36" t="e">
        <v>#VALUE!</v>
      </c>
      <c r="S226" s="35" t="s">
        <v>848</v>
      </c>
      <c r="T226" s="54" t="s">
        <v>510</v>
      </c>
      <c r="U226" s="37" t="s">
        <v>68</v>
      </c>
      <c r="V226" s="38">
        <v>3000000.0</v>
      </c>
      <c r="W226" s="38"/>
      <c r="X226" s="27"/>
      <c r="Y226" s="39"/>
      <c r="Z226" s="39" t="s">
        <v>849</v>
      </c>
      <c r="AA226" s="39"/>
      <c r="AB226" s="40"/>
      <c r="AC226" s="27">
        <f t="shared" si="123"/>
        <v>0</v>
      </c>
      <c r="AD226" s="41"/>
      <c r="AE226" s="42"/>
      <c r="AF226" s="27"/>
      <c r="AG226" s="43">
        <f>IF(O226="Paid",IF(A226="Wethaq",(M226*24%)-((M226*24%)*5%)))</f>
        <v>11554.16448</v>
      </c>
      <c r="AH226" s="29" t="s">
        <v>75</v>
      </c>
      <c r="AI226" s="29">
        <v>45266.0</v>
      </c>
      <c r="AJ226" s="97">
        <v>0.24</v>
      </c>
      <c r="AK226" s="29">
        <v>45052.0</v>
      </c>
      <c r="AL226" s="43"/>
      <c r="AM226" s="44">
        <v>250.0</v>
      </c>
      <c r="AN226" s="112" t="s">
        <v>427</v>
      </c>
      <c r="AO226" s="96">
        <f>M226*AJ226-((M226*AJ226)*22.5%)</f>
        <v>9425.76576</v>
      </c>
      <c r="AP226" s="47" t="s">
        <v>850</v>
      </c>
      <c r="AQ226" s="43">
        <f>M226*AJ226</f>
        <v>12162.2784</v>
      </c>
      <c r="AR226" s="43">
        <f t="shared" si="2"/>
        <v>608.11392</v>
      </c>
      <c r="AS226" s="43">
        <f t="shared" si="3"/>
        <v>2128.39872</v>
      </c>
      <c r="AT226" s="48">
        <f t="shared" si="4"/>
        <v>9425.76576</v>
      </c>
      <c r="AU226" s="49">
        <f t="shared" si="138"/>
        <v>9425.76576</v>
      </c>
      <c r="AV226" s="106">
        <f>AU226*10%</f>
        <v>942.576576</v>
      </c>
      <c r="AW226" s="34">
        <f t="shared" si="5"/>
        <v>54000</v>
      </c>
      <c r="AX226" s="113">
        <f t="shared" si="6"/>
        <v>-1192.576576</v>
      </c>
      <c r="AY226" s="107"/>
      <c r="AZ226" s="43">
        <f>IF(AJ226&lt;28%,M226*(28%-AJ226)-((M226*(28%-AJ226))*5%),0)</f>
        <v>1925.69408</v>
      </c>
      <c r="BA226" s="48">
        <f t="shared" si="135"/>
        <v>-250</v>
      </c>
      <c r="BB226" s="27"/>
      <c r="BC226" s="27"/>
      <c r="BD226" s="51"/>
      <c r="BE226" s="52"/>
      <c r="BF226" s="27" t="s">
        <v>846</v>
      </c>
      <c r="BG226" s="58" t="s">
        <v>851</v>
      </c>
      <c r="BH226" s="53" t="str">
        <f>'[1]2023'!Q466</f>
        <v>#REF!</v>
      </c>
      <c r="BI226" s="27"/>
      <c r="BJ226" s="27"/>
      <c r="BK226" s="27" t="s">
        <v>76</v>
      </c>
      <c r="BL226" s="64" t="s">
        <v>852</v>
      </c>
    </row>
    <row r="227" ht="14.25" customHeight="1">
      <c r="A227" s="26" t="s">
        <v>55</v>
      </c>
      <c r="B227" s="26" t="s">
        <v>56</v>
      </c>
      <c r="C227" s="26" t="s">
        <v>57</v>
      </c>
      <c r="D227" s="26" t="s">
        <v>81</v>
      </c>
      <c r="E227" s="27" t="s">
        <v>853</v>
      </c>
      <c r="F227" s="26" t="s">
        <v>854</v>
      </c>
      <c r="G227" s="29" t="s">
        <v>855</v>
      </c>
      <c r="H227" s="30">
        <v>45016.0</v>
      </c>
      <c r="I227" s="30">
        <v>45381.0</v>
      </c>
      <c r="J227" s="31">
        <v>0.0</v>
      </c>
      <c r="K227" s="26" t="s">
        <v>352</v>
      </c>
      <c r="L227" s="32" t="s">
        <v>75</v>
      </c>
      <c r="M227" s="33">
        <v>32800.0</v>
      </c>
      <c r="N227" s="34">
        <v>34879.2</v>
      </c>
      <c r="O227" s="27" t="s">
        <v>76</v>
      </c>
      <c r="P227" s="35" t="s">
        <v>122</v>
      </c>
      <c r="Q227" s="35" t="s">
        <v>90</v>
      </c>
      <c r="R227" s="36" t="e">
        <v>#VALUE!</v>
      </c>
      <c r="S227" s="35" t="s">
        <v>86</v>
      </c>
      <c r="T227" s="35">
        <v>0.0</v>
      </c>
      <c r="U227" s="37" t="s">
        <v>67</v>
      </c>
      <c r="V227" s="38"/>
      <c r="W227" s="38"/>
      <c r="X227" s="27"/>
      <c r="Y227" s="39"/>
      <c r="Z227" s="39"/>
      <c r="AA227" s="39"/>
      <c r="AB227" s="40"/>
      <c r="AC227" s="27">
        <f t="shared" si="123"/>
        <v>0</v>
      </c>
      <c r="AD227" s="41">
        <f>IF(AND(S227="0",O227="Paid"),M227*15%,0)</f>
        <v>4920</v>
      </c>
      <c r="AE227" s="42"/>
      <c r="AF227" s="27"/>
      <c r="AG227" s="43">
        <f t="shared" ref="AG227:AG233" si="150">IF(O227="Paid",IF(A227="Alwataniya",(M227*21%)-((M227*21%)*5%),IF((A227="GIG"),(M227*25%)-((M227*25%)*5%),IF((A227="Allianz"),(M227*27%)-((M227*27%)*5%),0))),0)</f>
        <v>8413.2</v>
      </c>
      <c r="AH227" s="29"/>
      <c r="AI227" s="29"/>
      <c r="AJ227" s="29"/>
      <c r="AK227" s="29"/>
      <c r="AL227" s="27"/>
      <c r="AM227" s="44"/>
      <c r="AN227" s="68"/>
      <c r="AO227" s="46"/>
      <c r="AP227" s="47"/>
      <c r="AQ227" s="43">
        <f t="shared" ref="AQ227:AQ232" si="151">IF(U227="Motor Plus",(M227*27%),IF(U227="Motor One",(M227*22%),(IF(U227="Golden",(M227*25%),(IF(U227="Classic",(M227*15%),(IF(U227="Wethaq",(M227*28%),IF(U227="Alwataniya",(M227*21%))*0))))))))</f>
        <v>8856</v>
      </c>
      <c r="AR227" s="43">
        <f t="shared" si="2"/>
        <v>442.8</v>
      </c>
      <c r="AS227" s="43">
        <f t="shared" si="3"/>
        <v>1549.8</v>
      </c>
      <c r="AT227" s="48">
        <f t="shared" si="4"/>
        <v>6863.4</v>
      </c>
      <c r="AU227" s="49">
        <f t="shared" si="138"/>
        <v>6863.4</v>
      </c>
      <c r="AV227" s="48"/>
      <c r="AW227" s="34">
        <f t="shared" si="5"/>
        <v>29959.2</v>
      </c>
      <c r="AX227" s="50">
        <f t="shared" si="6"/>
        <v>1943.4</v>
      </c>
      <c r="AY227" s="43"/>
      <c r="AZ227" s="27"/>
      <c r="BA227" s="48">
        <f t="shared" si="135"/>
        <v>6863.4</v>
      </c>
      <c r="BB227" s="27"/>
      <c r="BC227" s="27"/>
      <c r="BD227" s="51"/>
      <c r="BE227" s="52"/>
      <c r="BF227" s="27" t="s">
        <v>853</v>
      </c>
      <c r="BG227" s="53" t="s">
        <v>472</v>
      </c>
      <c r="BH227" s="53" t="str">
        <f>'[1]2023'!Q326</f>
        <v>#REF!</v>
      </c>
      <c r="BI227" s="27"/>
      <c r="BJ227" s="27"/>
      <c r="BK227" s="27" t="s">
        <v>76</v>
      </c>
      <c r="BL227" s="27"/>
    </row>
    <row r="228" ht="14.25" customHeight="1">
      <c r="A228" s="26" t="s">
        <v>55</v>
      </c>
      <c r="B228" s="26" t="s">
        <v>56</v>
      </c>
      <c r="C228" s="26" t="s">
        <v>57</v>
      </c>
      <c r="D228" s="26" t="s">
        <v>81</v>
      </c>
      <c r="E228" s="27" t="s">
        <v>856</v>
      </c>
      <c r="F228" s="26" t="s">
        <v>857</v>
      </c>
      <c r="G228" s="29">
        <v>45018.0</v>
      </c>
      <c r="H228" s="30">
        <v>45018.0</v>
      </c>
      <c r="I228" s="30">
        <v>45383.0</v>
      </c>
      <c r="J228" s="31">
        <v>0.0</v>
      </c>
      <c r="K228" s="26" t="s">
        <v>62</v>
      </c>
      <c r="L228" s="32" t="s">
        <v>75</v>
      </c>
      <c r="M228" s="33">
        <v>13422.5</v>
      </c>
      <c r="N228" s="34">
        <v>14355.44</v>
      </c>
      <c r="O228" s="27" t="s">
        <v>76</v>
      </c>
      <c r="P228" s="35">
        <v>0.0</v>
      </c>
      <c r="Q228" s="35" t="s">
        <v>65</v>
      </c>
      <c r="R228" s="36">
        <v>45018.0</v>
      </c>
      <c r="S228" s="35" t="s">
        <v>86</v>
      </c>
      <c r="T228" s="35">
        <v>0.0</v>
      </c>
      <c r="U228" s="37" t="s">
        <v>67</v>
      </c>
      <c r="V228" s="38"/>
      <c r="W228" s="38"/>
      <c r="X228" s="27"/>
      <c r="Y228" s="39"/>
      <c r="Z228" s="39"/>
      <c r="AA228" s="39"/>
      <c r="AB228" s="27"/>
      <c r="AC228" s="27">
        <f t="shared" si="123"/>
        <v>0</v>
      </c>
      <c r="AD228" s="41"/>
      <c r="AE228" s="42"/>
      <c r="AF228" s="27"/>
      <c r="AG228" s="43">
        <f t="shared" si="150"/>
        <v>3442.87125</v>
      </c>
      <c r="AH228" s="29"/>
      <c r="AI228" s="29"/>
      <c r="AJ228" s="29"/>
      <c r="AK228" s="29"/>
      <c r="AL228" s="27"/>
      <c r="AM228" s="44"/>
      <c r="AN228" s="68"/>
      <c r="AO228" s="37"/>
      <c r="AP228" s="47"/>
      <c r="AQ228" s="43">
        <f t="shared" si="151"/>
        <v>3624.075</v>
      </c>
      <c r="AR228" s="43">
        <f t="shared" si="2"/>
        <v>181.20375</v>
      </c>
      <c r="AS228" s="43">
        <f t="shared" si="3"/>
        <v>634.213125</v>
      </c>
      <c r="AT228" s="48">
        <f t="shared" si="4"/>
        <v>2808.658125</v>
      </c>
      <c r="AU228" s="49">
        <f t="shared" si="138"/>
        <v>2808.658125</v>
      </c>
      <c r="AV228" s="48"/>
      <c r="AW228" s="34">
        <f t="shared" si="5"/>
        <v>14355.44</v>
      </c>
      <c r="AX228" s="50">
        <f t="shared" si="6"/>
        <v>2808.658125</v>
      </c>
      <c r="AY228" s="43"/>
      <c r="AZ228" s="27"/>
      <c r="BA228" s="48">
        <f t="shared" si="135"/>
        <v>2808.658125</v>
      </c>
      <c r="BB228" s="27"/>
      <c r="BC228" s="27"/>
      <c r="BD228" s="51"/>
      <c r="BE228" s="52"/>
      <c r="BF228" s="27" t="s">
        <v>856</v>
      </c>
      <c r="BG228" s="53">
        <v>0.0</v>
      </c>
      <c r="BH228" s="53" t="str">
        <f>'[1]2023'!Q121</f>
        <v>#REF!</v>
      </c>
      <c r="BI228" s="27"/>
      <c r="BJ228" s="27"/>
      <c r="BK228" s="27" t="s">
        <v>76</v>
      </c>
      <c r="BL228" s="27"/>
    </row>
    <row r="229" ht="14.25" customHeight="1">
      <c r="A229" s="26" t="s">
        <v>55</v>
      </c>
      <c r="B229" s="26" t="s">
        <v>56</v>
      </c>
      <c r="C229" s="26" t="s">
        <v>57</v>
      </c>
      <c r="D229" s="26" t="s">
        <v>81</v>
      </c>
      <c r="E229" s="27" t="s">
        <v>858</v>
      </c>
      <c r="F229" s="26" t="s">
        <v>859</v>
      </c>
      <c r="G229" s="29">
        <v>45018.0</v>
      </c>
      <c r="H229" s="30">
        <v>45018.0</v>
      </c>
      <c r="I229" s="30">
        <v>45383.0</v>
      </c>
      <c r="J229" s="31">
        <v>0.0</v>
      </c>
      <c r="K229" s="26" t="s">
        <v>62</v>
      </c>
      <c r="L229" s="32" t="s">
        <v>75</v>
      </c>
      <c r="M229" s="33">
        <v>10725.0</v>
      </c>
      <c r="N229" s="34">
        <v>11498.78</v>
      </c>
      <c r="O229" s="27" t="s">
        <v>76</v>
      </c>
      <c r="P229" s="35" t="s">
        <v>89</v>
      </c>
      <c r="Q229" s="35" t="s">
        <v>108</v>
      </c>
      <c r="R229" s="36">
        <v>45018.0</v>
      </c>
      <c r="S229" s="35" t="s">
        <v>86</v>
      </c>
      <c r="T229" s="35">
        <v>0.0</v>
      </c>
      <c r="U229" s="37" t="s">
        <v>67</v>
      </c>
      <c r="V229" s="38"/>
      <c r="W229" s="38"/>
      <c r="X229" s="27"/>
      <c r="Y229" s="39"/>
      <c r="Z229" s="39"/>
      <c r="AA229" s="39"/>
      <c r="AB229" s="27"/>
      <c r="AC229" s="27">
        <f t="shared" si="123"/>
        <v>0</v>
      </c>
      <c r="AD229" s="41">
        <f>IF(AND(S229="0",O229="Paid"),M229*15%,0)</f>
        <v>1608.75</v>
      </c>
      <c r="AE229" s="42"/>
      <c r="AF229" s="60" t="s">
        <v>109</v>
      </c>
      <c r="AG229" s="43">
        <f t="shared" si="150"/>
        <v>2750.9625</v>
      </c>
      <c r="AH229" s="29"/>
      <c r="AI229" s="29"/>
      <c r="AJ229" s="29"/>
      <c r="AK229" s="29"/>
      <c r="AL229" s="27"/>
      <c r="AM229" s="44"/>
      <c r="AN229" s="68"/>
      <c r="AO229" s="46"/>
      <c r="AP229" s="47"/>
      <c r="AQ229" s="43">
        <f t="shared" si="151"/>
        <v>2895.75</v>
      </c>
      <c r="AR229" s="43">
        <f t="shared" si="2"/>
        <v>144.7875</v>
      </c>
      <c r="AS229" s="43">
        <f t="shared" si="3"/>
        <v>506.75625</v>
      </c>
      <c r="AT229" s="48">
        <f t="shared" si="4"/>
        <v>2244.20625</v>
      </c>
      <c r="AU229" s="49">
        <f t="shared" si="138"/>
        <v>2244.20625</v>
      </c>
      <c r="AV229" s="48"/>
      <c r="AW229" s="34">
        <f t="shared" si="5"/>
        <v>9890.03</v>
      </c>
      <c r="AX229" s="50">
        <f t="shared" si="6"/>
        <v>635.45625</v>
      </c>
      <c r="AY229" s="43"/>
      <c r="AZ229" s="27"/>
      <c r="BA229" s="48">
        <f t="shared" si="135"/>
        <v>2244.20625</v>
      </c>
      <c r="BB229" s="27"/>
      <c r="BC229" s="27"/>
      <c r="BD229" s="51"/>
      <c r="BE229" s="52"/>
      <c r="BF229" s="27" t="s">
        <v>858</v>
      </c>
      <c r="BG229" s="58" t="s">
        <v>860</v>
      </c>
      <c r="BH229" s="53" t="str">
        <f>'[1]2023'!Q214</f>
        <v>#REF!</v>
      </c>
      <c r="BI229" s="27"/>
      <c r="BJ229" s="27"/>
      <c r="BK229" s="27" t="s">
        <v>76</v>
      </c>
      <c r="BL229" s="27"/>
    </row>
    <row r="230" ht="14.25" customHeight="1">
      <c r="A230" s="26" t="s">
        <v>55</v>
      </c>
      <c r="B230" s="26" t="s">
        <v>56</v>
      </c>
      <c r="C230" s="26" t="s">
        <v>57</v>
      </c>
      <c r="D230" s="26" t="s">
        <v>71</v>
      </c>
      <c r="E230" s="27" t="s">
        <v>861</v>
      </c>
      <c r="F230" s="28" t="s">
        <v>862</v>
      </c>
      <c r="G230" s="29">
        <v>45019.0</v>
      </c>
      <c r="H230" s="30">
        <v>45019.0</v>
      </c>
      <c r="I230" s="30">
        <v>45384.0</v>
      </c>
      <c r="J230" s="31" t="s">
        <v>863</v>
      </c>
      <c r="K230" s="26" t="s">
        <v>352</v>
      </c>
      <c r="L230" s="69">
        <v>45110.0</v>
      </c>
      <c r="M230" s="33">
        <v>24225.0</v>
      </c>
      <c r="N230" s="34">
        <v>25799.28</v>
      </c>
      <c r="O230" s="27" t="s">
        <v>76</v>
      </c>
      <c r="P230" s="35" t="s">
        <v>104</v>
      </c>
      <c r="Q230" s="35" t="s">
        <v>65</v>
      </c>
      <c r="R230" s="36">
        <v>45019.0</v>
      </c>
      <c r="S230" s="35" t="s">
        <v>66</v>
      </c>
      <c r="T230" s="35">
        <v>0.0</v>
      </c>
      <c r="U230" s="37" t="s">
        <v>67</v>
      </c>
      <c r="V230" s="38">
        <v>600000.0</v>
      </c>
      <c r="W230" s="78">
        <v>126939.0</v>
      </c>
      <c r="X230" s="27">
        <v>2022.0</v>
      </c>
      <c r="Y230" s="39" t="s">
        <v>864</v>
      </c>
      <c r="Z230" s="79" t="s">
        <v>865</v>
      </c>
      <c r="AA230" s="39"/>
      <c r="AB230" s="40"/>
      <c r="AC230" s="27">
        <f t="shared" si="123"/>
        <v>0</v>
      </c>
      <c r="AD230" s="41"/>
      <c r="AE230" s="42"/>
      <c r="AF230" s="27"/>
      <c r="AG230" s="43">
        <f t="shared" si="150"/>
        <v>6213.7125</v>
      </c>
      <c r="AH230" s="29"/>
      <c r="AI230" s="29"/>
      <c r="AJ230" s="29"/>
      <c r="AK230" s="29"/>
      <c r="AL230" s="27"/>
      <c r="AM230" s="44">
        <f>IF((BD230&lt;=2),AU230*10%,(IF((BD230&lt;=3),AU230*20%,IF((BD230&lt;=4),AU230*20%,IF((BD230&gt;=5),AU230*30%,0)))))</f>
        <v>506.908125</v>
      </c>
      <c r="AN230" s="45" t="s">
        <v>75</v>
      </c>
      <c r="AO230" s="46"/>
      <c r="AP230" s="47"/>
      <c r="AQ230" s="43">
        <f t="shared" si="151"/>
        <v>6540.75</v>
      </c>
      <c r="AR230" s="43">
        <f t="shared" si="2"/>
        <v>327.0375</v>
      </c>
      <c r="AS230" s="43">
        <f t="shared" si="3"/>
        <v>1144.63125</v>
      </c>
      <c r="AT230" s="48">
        <f t="shared" si="4"/>
        <v>5069.08125</v>
      </c>
      <c r="AU230" s="49">
        <f t="shared" si="138"/>
        <v>5069.08125</v>
      </c>
      <c r="AV230" s="48"/>
      <c r="AW230" s="34">
        <f t="shared" si="5"/>
        <v>25799.28</v>
      </c>
      <c r="AX230" s="50">
        <f t="shared" si="6"/>
        <v>4562.173125</v>
      </c>
      <c r="AY230" s="43"/>
      <c r="AZ230" s="27"/>
      <c r="BA230" s="48">
        <f t="shared" si="135"/>
        <v>4562.173125</v>
      </c>
      <c r="BB230" s="27"/>
      <c r="BC230" s="27"/>
      <c r="BD230" s="51"/>
      <c r="BE230" s="52"/>
      <c r="BF230" s="27" t="s">
        <v>861</v>
      </c>
      <c r="BG230" s="53">
        <v>45110.0</v>
      </c>
      <c r="BH230" s="53" t="str">
        <f>'[1]2023'!Q299</f>
        <v>#REF!</v>
      </c>
      <c r="BI230" s="27"/>
      <c r="BJ230" s="27"/>
      <c r="BK230" s="27" t="s">
        <v>76</v>
      </c>
      <c r="BL230" s="27"/>
    </row>
    <row r="231" ht="14.25" customHeight="1">
      <c r="A231" s="26" t="s">
        <v>55</v>
      </c>
      <c r="B231" s="26" t="s">
        <v>56</v>
      </c>
      <c r="C231" s="26" t="s">
        <v>57</v>
      </c>
      <c r="D231" s="26" t="s">
        <v>81</v>
      </c>
      <c r="E231" s="27" t="s">
        <v>866</v>
      </c>
      <c r="F231" s="26" t="s">
        <v>867</v>
      </c>
      <c r="G231" s="29">
        <v>45019.0</v>
      </c>
      <c r="H231" s="30">
        <v>45019.0</v>
      </c>
      <c r="I231" s="30">
        <v>45384.0</v>
      </c>
      <c r="J231" s="31">
        <v>0.0</v>
      </c>
      <c r="K231" s="26" t="s">
        <v>352</v>
      </c>
      <c r="L231" s="32" t="s">
        <v>75</v>
      </c>
      <c r="M231" s="33">
        <v>7800.0</v>
      </c>
      <c r="N231" s="34">
        <v>8401.2</v>
      </c>
      <c r="O231" s="27" t="s">
        <v>76</v>
      </c>
      <c r="P231" s="35" t="s">
        <v>95</v>
      </c>
      <c r="Q231" s="35" t="s">
        <v>65</v>
      </c>
      <c r="R231" s="36">
        <v>45019.0</v>
      </c>
      <c r="S231" s="35" t="s">
        <v>86</v>
      </c>
      <c r="T231" s="35">
        <v>0.0</v>
      </c>
      <c r="U231" s="37" t="s">
        <v>67</v>
      </c>
      <c r="V231" s="38"/>
      <c r="W231" s="38"/>
      <c r="X231" s="27"/>
      <c r="Y231" s="39"/>
      <c r="Z231" s="39"/>
      <c r="AA231" s="39"/>
      <c r="AB231" s="40"/>
      <c r="AC231" s="27">
        <f t="shared" si="123"/>
        <v>0</v>
      </c>
      <c r="AD231" s="41"/>
      <c r="AE231" s="42"/>
      <c r="AF231" s="27"/>
      <c r="AG231" s="43">
        <f t="shared" si="150"/>
        <v>2000.7</v>
      </c>
      <c r="AH231" s="29"/>
      <c r="AI231" s="29"/>
      <c r="AJ231" s="29"/>
      <c r="AK231" s="29"/>
      <c r="AL231" s="27"/>
      <c r="AM231" s="44"/>
      <c r="AN231" s="68"/>
      <c r="AO231" s="46"/>
      <c r="AP231" s="47"/>
      <c r="AQ231" s="43">
        <f t="shared" si="151"/>
        <v>2106</v>
      </c>
      <c r="AR231" s="43">
        <f t="shared" si="2"/>
        <v>105.3</v>
      </c>
      <c r="AS231" s="43">
        <f t="shared" si="3"/>
        <v>368.55</v>
      </c>
      <c r="AT231" s="48">
        <f t="shared" si="4"/>
        <v>1632.15</v>
      </c>
      <c r="AU231" s="49">
        <f t="shared" si="138"/>
        <v>1632.15</v>
      </c>
      <c r="AV231" s="48"/>
      <c r="AW231" s="34">
        <f t="shared" si="5"/>
        <v>8401.2</v>
      </c>
      <c r="AX231" s="50">
        <f t="shared" si="6"/>
        <v>1632.15</v>
      </c>
      <c r="AY231" s="43"/>
      <c r="AZ231" s="27"/>
      <c r="BA231" s="48">
        <f t="shared" si="135"/>
        <v>1632.15</v>
      </c>
      <c r="BB231" s="27"/>
      <c r="BC231" s="27"/>
      <c r="BD231" s="51"/>
      <c r="BE231" s="52"/>
      <c r="BF231" s="27" t="s">
        <v>866</v>
      </c>
      <c r="BG231" s="58" t="s">
        <v>562</v>
      </c>
      <c r="BH231" s="53" t="str">
        <f>'[1]2023'!Q380</f>
        <v>#REF!</v>
      </c>
      <c r="BI231" s="27"/>
      <c r="BJ231" s="27"/>
      <c r="BK231" s="27" t="s">
        <v>76</v>
      </c>
      <c r="BL231" s="27"/>
    </row>
    <row r="232" ht="14.25" customHeight="1">
      <c r="A232" s="26" t="s">
        <v>55</v>
      </c>
      <c r="B232" s="26" t="s">
        <v>56</v>
      </c>
      <c r="C232" s="26" t="s">
        <v>57</v>
      </c>
      <c r="D232" s="26" t="s">
        <v>81</v>
      </c>
      <c r="E232" s="27" t="s">
        <v>868</v>
      </c>
      <c r="F232" s="26" t="s">
        <v>869</v>
      </c>
      <c r="G232" s="29">
        <v>45019.0</v>
      </c>
      <c r="H232" s="30">
        <v>45019.0</v>
      </c>
      <c r="I232" s="30">
        <v>45384.0</v>
      </c>
      <c r="J232" s="31">
        <v>0.0</v>
      </c>
      <c r="K232" s="26" t="s">
        <v>352</v>
      </c>
      <c r="L232" s="32" t="s">
        <v>75</v>
      </c>
      <c r="M232" s="33">
        <v>24395.25</v>
      </c>
      <c r="N232" s="34">
        <v>25975.57</v>
      </c>
      <c r="O232" s="27" t="s">
        <v>76</v>
      </c>
      <c r="P232" s="35" t="s">
        <v>89</v>
      </c>
      <c r="Q232" s="35" t="s">
        <v>65</v>
      </c>
      <c r="R232" s="36">
        <v>45019.0</v>
      </c>
      <c r="S232" s="35" t="s">
        <v>86</v>
      </c>
      <c r="T232" s="35">
        <v>0.0</v>
      </c>
      <c r="U232" s="37" t="s">
        <v>67</v>
      </c>
      <c r="V232" s="38"/>
      <c r="W232" s="38"/>
      <c r="X232" s="27"/>
      <c r="Y232" s="39"/>
      <c r="Z232" s="39"/>
      <c r="AA232" s="39"/>
      <c r="AB232" s="40"/>
      <c r="AC232" s="27">
        <f t="shared" si="123"/>
        <v>0</v>
      </c>
      <c r="AD232" s="41"/>
      <c r="AE232" s="42"/>
      <c r="AF232" s="27"/>
      <c r="AG232" s="43">
        <f t="shared" si="150"/>
        <v>6257.381625</v>
      </c>
      <c r="AH232" s="29"/>
      <c r="AI232" s="29"/>
      <c r="AJ232" s="29"/>
      <c r="AK232" s="29"/>
      <c r="AL232" s="27"/>
      <c r="AM232" s="44"/>
      <c r="AN232" s="68"/>
      <c r="AO232" s="46"/>
      <c r="AP232" s="47"/>
      <c r="AQ232" s="43">
        <f t="shared" si="151"/>
        <v>6586.7175</v>
      </c>
      <c r="AR232" s="43">
        <f t="shared" si="2"/>
        <v>329.335875</v>
      </c>
      <c r="AS232" s="43">
        <f t="shared" si="3"/>
        <v>1152.675563</v>
      </c>
      <c r="AT232" s="48">
        <f t="shared" si="4"/>
        <v>5104.706063</v>
      </c>
      <c r="AU232" s="49">
        <f t="shared" si="138"/>
        <v>5104.706063</v>
      </c>
      <c r="AV232" s="48"/>
      <c r="AW232" s="34">
        <f t="shared" si="5"/>
        <v>25975.57</v>
      </c>
      <c r="AX232" s="50">
        <f t="shared" si="6"/>
        <v>5104.706063</v>
      </c>
      <c r="AY232" s="43"/>
      <c r="AZ232" s="27"/>
      <c r="BA232" s="48">
        <f t="shared" si="135"/>
        <v>5104.706063</v>
      </c>
      <c r="BB232" s="27"/>
      <c r="BC232" s="27"/>
      <c r="BD232" s="51"/>
      <c r="BE232" s="52"/>
      <c r="BF232" s="27" t="s">
        <v>868</v>
      </c>
      <c r="BG232" s="53">
        <v>0.0</v>
      </c>
      <c r="BH232" s="53" t="str">
        <f>'[1]2023'!Q448</f>
        <v>#REF!</v>
      </c>
      <c r="BI232" s="27"/>
      <c r="BJ232" s="27"/>
      <c r="BK232" s="27" t="s">
        <v>76</v>
      </c>
      <c r="BL232" s="27"/>
    </row>
    <row r="233" ht="14.25" customHeight="1">
      <c r="A233" s="26" t="s">
        <v>55</v>
      </c>
      <c r="B233" s="26" t="s">
        <v>56</v>
      </c>
      <c r="C233" s="26" t="s">
        <v>57</v>
      </c>
      <c r="D233" s="26" t="s">
        <v>81</v>
      </c>
      <c r="E233" s="27" t="s">
        <v>870</v>
      </c>
      <c r="F233" s="26" t="s">
        <v>871</v>
      </c>
      <c r="G233" s="29">
        <v>45020.0</v>
      </c>
      <c r="H233" s="30">
        <v>45020.0</v>
      </c>
      <c r="I233" s="30">
        <v>45385.0</v>
      </c>
      <c r="J233" s="31" t="s">
        <v>872</v>
      </c>
      <c r="K233" s="26" t="s">
        <v>420</v>
      </c>
      <c r="L233" s="32" t="s">
        <v>63</v>
      </c>
      <c r="M233" s="33">
        <v>0.0</v>
      </c>
      <c r="N233" s="34">
        <v>0.0</v>
      </c>
      <c r="O233" s="27" t="s">
        <v>64</v>
      </c>
      <c r="P233" s="35">
        <v>0.0</v>
      </c>
      <c r="Q233" s="35" t="s">
        <v>85</v>
      </c>
      <c r="R233" s="36">
        <v>45020.0</v>
      </c>
      <c r="S233" s="35" t="s">
        <v>86</v>
      </c>
      <c r="T233" s="35">
        <v>0.0</v>
      </c>
      <c r="U233" s="37" t="s">
        <v>67</v>
      </c>
      <c r="V233" s="38"/>
      <c r="W233" s="38"/>
      <c r="X233" s="27"/>
      <c r="Y233" s="39"/>
      <c r="Z233" s="39"/>
      <c r="AA233" s="39"/>
      <c r="AB233" s="40"/>
      <c r="AC233" s="27">
        <f t="shared" si="123"/>
        <v>0</v>
      </c>
      <c r="AD233" s="41">
        <f t="shared" ref="AD233:AD234" si="152">IF(AND(S233="0",O233="Paid"),(M233*15%)-AC233,0)</f>
        <v>0</v>
      </c>
      <c r="AE233" s="42"/>
      <c r="AF233" s="27"/>
      <c r="AG233" s="43">
        <f t="shared" si="150"/>
        <v>0</v>
      </c>
      <c r="AH233" s="29"/>
      <c r="AI233" s="29"/>
      <c r="AJ233" s="29"/>
      <c r="AK233" s="29"/>
      <c r="AL233" s="27"/>
      <c r="AM233" s="44"/>
      <c r="AN233" s="68"/>
      <c r="AO233" s="46"/>
      <c r="AP233" s="47"/>
      <c r="AQ233" s="43" t="b">
        <f t="shared" ref="AQ233:AQ234" si="153">IF(O233="Paid",IF(U233="Motor Plus",(M233*27%),IF(U233="Motor One",(M233*22%),(IF(U233="Golden",(M233*25%),(IF(U233="Classic",(M233*15%),(IF(U233="Wethaq",(M233*28%),IF(U233="Alwataniya",(M233*21%))*0)))))))))</f>
        <v>0</v>
      </c>
      <c r="AR233" s="43">
        <f t="shared" si="2"/>
        <v>0</v>
      </c>
      <c r="AS233" s="43">
        <f t="shared" si="3"/>
        <v>0</v>
      </c>
      <c r="AT233" s="48">
        <f t="shared" si="4"/>
        <v>0</v>
      </c>
      <c r="AU233" s="49">
        <f t="shared" si="138"/>
        <v>0</v>
      </c>
      <c r="AV233" s="48"/>
      <c r="AW233" s="34">
        <f t="shared" si="5"/>
        <v>0</v>
      </c>
      <c r="AX233" s="50">
        <f t="shared" si="6"/>
        <v>0</v>
      </c>
      <c r="AY233" s="43"/>
      <c r="AZ233" s="27"/>
      <c r="BA233" s="48">
        <f t="shared" si="135"/>
        <v>0</v>
      </c>
      <c r="BB233" s="27"/>
      <c r="BC233" s="27"/>
      <c r="BD233" s="51"/>
      <c r="BE233" s="52"/>
      <c r="BF233" s="27" t="s">
        <v>870</v>
      </c>
      <c r="BG233" s="53">
        <v>0.0</v>
      </c>
      <c r="BH233" s="53" t="str">
        <f>'[1]2023'!Q368</f>
        <v>#REF!</v>
      </c>
      <c r="BI233" s="27"/>
      <c r="BJ233" s="27"/>
      <c r="BK233" s="27" t="s">
        <v>64</v>
      </c>
      <c r="BL233" s="27"/>
    </row>
    <row r="234" ht="14.25" customHeight="1">
      <c r="A234" s="26" t="s">
        <v>111</v>
      </c>
      <c r="B234" s="26" t="s">
        <v>56</v>
      </c>
      <c r="C234" s="26" t="s">
        <v>57</v>
      </c>
      <c r="D234" s="26" t="s">
        <v>71</v>
      </c>
      <c r="E234" s="27" t="s">
        <v>873</v>
      </c>
      <c r="F234" s="28" t="s">
        <v>874</v>
      </c>
      <c r="G234" s="29">
        <v>45020.0</v>
      </c>
      <c r="H234" s="30">
        <v>45020.0</v>
      </c>
      <c r="I234" s="30">
        <v>45385.0</v>
      </c>
      <c r="J234" s="31" t="s">
        <v>675</v>
      </c>
      <c r="K234" s="26" t="s">
        <v>475</v>
      </c>
      <c r="L234" s="32" t="s">
        <v>63</v>
      </c>
      <c r="M234" s="33">
        <v>12053.07</v>
      </c>
      <c r="N234" s="34">
        <v>13020.0</v>
      </c>
      <c r="O234" s="27" t="s">
        <v>64</v>
      </c>
      <c r="P234" s="35">
        <v>0.0</v>
      </c>
      <c r="Q234" s="35">
        <v>0.0</v>
      </c>
      <c r="R234" s="36">
        <v>45029.0</v>
      </c>
      <c r="S234" s="35" t="s">
        <v>676</v>
      </c>
      <c r="T234" s="35">
        <v>0.0</v>
      </c>
      <c r="U234" s="37" t="s">
        <v>149</v>
      </c>
      <c r="V234" s="38">
        <v>600000.0</v>
      </c>
      <c r="W234" s="38"/>
      <c r="X234" s="27"/>
      <c r="Y234" s="39"/>
      <c r="Z234" s="79" t="s">
        <v>677</v>
      </c>
      <c r="AA234" s="39"/>
      <c r="AB234" s="40"/>
      <c r="AC234" s="27">
        <f t="shared" si="123"/>
        <v>0</v>
      </c>
      <c r="AD234" s="41">
        <f t="shared" si="152"/>
        <v>0</v>
      </c>
      <c r="AE234" s="42"/>
      <c r="AF234" s="27"/>
      <c r="AG234" s="43">
        <f>IF(AND(O234="Paid",A234="GIG"),((M234*15%)-(((M234*15%)*5%))),0)</f>
        <v>0</v>
      </c>
      <c r="AH234" s="29"/>
      <c r="AI234" s="29"/>
      <c r="AJ234" s="29"/>
      <c r="AK234" s="29"/>
      <c r="AL234" s="27"/>
      <c r="AM234" s="44">
        <f>((M234*25%)-AC234-((M234*25%)*22.5%))*30%</f>
        <v>700.5846938</v>
      </c>
      <c r="AN234" s="114">
        <v>45148.0</v>
      </c>
      <c r="AO234" s="48">
        <f>IF(T234="Mary,shimaa,Sandy,shimaa,shrouk",(AU234*10%),0)</f>
        <v>0</v>
      </c>
      <c r="AP234" s="47"/>
      <c r="AQ234" s="43" t="b">
        <f t="shared" si="153"/>
        <v>0</v>
      </c>
      <c r="AR234" s="43">
        <f t="shared" si="2"/>
        <v>0</v>
      </c>
      <c r="AS234" s="43">
        <f t="shared" si="3"/>
        <v>0</v>
      </c>
      <c r="AT234" s="48">
        <f t="shared" si="4"/>
        <v>0</v>
      </c>
      <c r="AU234" s="49">
        <f t="shared" si="138"/>
        <v>0</v>
      </c>
      <c r="AV234" s="48"/>
      <c r="AW234" s="34">
        <f t="shared" si="5"/>
        <v>13020</v>
      </c>
      <c r="AX234" s="50">
        <f t="shared" si="6"/>
        <v>0</v>
      </c>
      <c r="AY234" s="43"/>
      <c r="AZ234" s="27"/>
      <c r="BA234" s="48">
        <f t="shared" si="135"/>
        <v>-700.5846938</v>
      </c>
      <c r="BB234" s="27"/>
      <c r="BC234" s="27"/>
      <c r="BD234" s="51"/>
      <c r="BE234" s="52"/>
      <c r="BF234" s="27" t="s">
        <v>875</v>
      </c>
      <c r="BG234" s="58" t="s">
        <v>876</v>
      </c>
      <c r="BH234" s="53" t="str">
        <f>'[1]2023'!Q436</f>
        <v>#REF!</v>
      </c>
      <c r="BI234" s="27"/>
      <c r="BJ234" s="27"/>
      <c r="BK234" s="27" t="s">
        <v>64</v>
      </c>
      <c r="BL234" s="64" t="s">
        <v>877</v>
      </c>
    </row>
    <row r="235" ht="14.25" customHeight="1">
      <c r="A235" s="26" t="s">
        <v>55</v>
      </c>
      <c r="B235" s="26" t="s">
        <v>56</v>
      </c>
      <c r="C235" s="26" t="s">
        <v>57</v>
      </c>
      <c r="D235" s="26" t="s">
        <v>81</v>
      </c>
      <c r="E235" s="27" t="s">
        <v>878</v>
      </c>
      <c r="F235" s="28" t="s">
        <v>879</v>
      </c>
      <c r="G235" s="29">
        <v>45021.0</v>
      </c>
      <c r="H235" s="30">
        <v>45021.0</v>
      </c>
      <c r="I235" s="30">
        <v>45386.0</v>
      </c>
      <c r="J235" s="31">
        <v>0.0</v>
      </c>
      <c r="K235" s="26" t="s">
        <v>427</v>
      </c>
      <c r="L235" s="32" t="s">
        <v>75</v>
      </c>
      <c r="M235" s="33">
        <v>22715.0</v>
      </c>
      <c r="N235" s="34">
        <v>24199.19</v>
      </c>
      <c r="O235" s="27" t="s">
        <v>76</v>
      </c>
      <c r="P235" s="35" t="s">
        <v>430</v>
      </c>
      <c r="Q235" s="35" t="s">
        <v>108</v>
      </c>
      <c r="R235" s="36">
        <v>45021.0</v>
      </c>
      <c r="S235" s="35" t="s">
        <v>86</v>
      </c>
      <c r="T235" s="35">
        <v>0.0</v>
      </c>
      <c r="U235" s="37" t="s">
        <v>67</v>
      </c>
      <c r="V235" s="38"/>
      <c r="W235" s="38"/>
      <c r="X235" s="27"/>
      <c r="Y235" s="39"/>
      <c r="Z235" s="39"/>
      <c r="AA235" s="39"/>
      <c r="AB235" s="40"/>
      <c r="AC235" s="27">
        <f t="shared" si="123"/>
        <v>0</v>
      </c>
      <c r="AD235" s="41">
        <f>IF(AND(S235="0",O235="Paid"),M235*15%,0)</f>
        <v>3407.25</v>
      </c>
      <c r="AE235" s="42"/>
      <c r="AF235" s="27" t="s">
        <v>880</v>
      </c>
      <c r="AG235" s="43">
        <f t="shared" ref="AG235:AG242" si="154">IF(O235="Paid",IF(A235="Alwataniya",(M235*21%)-((M235*21%)*5%),IF((A235="GIG"),(M235*25%)-((M235*25%)*5%),IF((A235="Allianz"),(M235*27%)-((M235*27%)*5%),0))),0)</f>
        <v>5826.3975</v>
      </c>
      <c r="AH235" s="29"/>
      <c r="AI235" s="29"/>
      <c r="AJ235" s="29"/>
      <c r="AK235" s="29"/>
      <c r="AL235" s="27"/>
      <c r="AM235" s="44"/>
      <c r="AN235" s="115"/>
      <c r="AO235" s="46"/>
      <c r="AP235" s="47"/>
      <c r="AQ235" s="43">
        <f t="shared" ref="AQ235:AQ240" si="155">IF(U235="Motor Plus",(M235*27%),IF(U235="Motor One",(M235*22%),(IF(U235="Golden",(M235*25%),(IF(U235="Classic",(M235*15%),(IF(U235="Wethaq",(M235*28%),IF(U235="Alwataniya",(M235*21%))*0))))))))</f>
        <v>6133.05</v>
      </c>
      <c r="AR235" s="43">
        <f t="shared" si="2"/>
        <v>306.6525</v>
      </c>
      <c r="AS235" s="43">
        <f t="shared" si="3"/>
        <v>1073.28375</v>
      </c>
      <c r="AT235" s="48">
        <f t="shared" si="4"/>
        <v>4753.11375</v>
      </c>
      <c r="AU235" s="49">
        <f t="shared" si="138"/>
        <v>4753.11375</v>
      </c>
      <c r="AV235" s="48"/>
      <c r="AW235" s="34">
        <f t="shared" si="5"/>
        <v>20791.94</v>
      </c>
      <c r="AX235" s="50">
        <f t="shared" si="6"/>
        <v>1345.86375</v>
      </c>
      <c r="AY235" s="43"/>
      <c r="AZ235" s="43"/>
      <c r="BA235" s="48">
        <f t="shared" si="135"/>
        <v>4753.11375</v>
      </c>
      <c r="BB235" s="27"/>
      <c r="BC235" s="27"/>
      <c r="BD235" s="51"/>
      <c r="BE235" s="52"/>
      <c r="BF235" s="27" t="s">
        <v>878</v>
      </c>
      <c r="BG235" s="53">
        <v>0.0</v>
      </c>
      <c r="BH235" s="53" t="str">
        <f>'[1]2023'!Q509</f>
        <v>#REF!</v>
      </c>
      <c r="BI235" s="27"/>
      <c r="BJ235" s="27"/>
      <c r="BK235" s="27" t="s">
        <v>76</v>
      </c>
      <c r="BL235" s="27"/>
    </row>
    <row r="236" ht="14.25" customHeight="1">
      <c r="A236" s="26" t="s">
        <v>55</v>
      </c>
      <c r="B236" s="26" t="s">
        <v>56</v>
      </c>
      <c r="C236" s="26" t="s">
        <v>57</v>
      </c>
      <c r="D236" s="26" t="s">
        <v>81</v>
      </c>
      <c r="E236" s="27" t="s">
        <v>881</v>
      </c>
      <c r="F236" s="28" t="s">
        <v>882</v>
      </c>
      <c r="G236" s="29">
        <v>45021.0</v>
      </c>
      <c r="H236" s="30">
        <v>45021.0</v>
      </c>
      <c r="I236" s="30">
        <v>45386.0</v>
      </c>
      <c r="J236" s="31">
        <v>0.0</v>
      </c>
      <c r="K236" s="26" t="s">
        <v>427</v>
      </c>
      <c r="L236" s="32" t="s">
        <v>75</v>
      </c>
      <c r="M236" s="33">
        <v>18370.63</v>
      </c>
      <c r="N236" s="34">
        <v>19595.49</v>
      </c>
      <c r="O236" s="27" t="s">
        <v>76</v>
      </c>
      <c r="P236" s="35" t="s">
        <v>95</v>
      </c>
      <c r="Q236" s="35" t="s">
        <v>65</v>
      </c>
      <c r="R236" s="36">
        <v>45021.0</v>
      </c>
      <c r="S236" s="35" t="s">
        <v>86</v>
      </c>
      <c r="T236" s="35">
        <v>0.0</v>
      </c>
      <c r="U236" s="37" t="s">
        <v>67</v>
      </c>
      <c r="V236" s="38"/>
      <c r="W236" s="38"/>
      <c r="X236" s="27"/>
      <c r="Y236" s="39"/>
      <c r="Z236" s="39"/>
      <c r="AA236" s="39"/>
      <c r="AB236" s="40"/>
      <c r="AC236" s="27">
        <f t="shared" si="123"/>
        <v>0</v>
      </c>
      <c r="AD236" s="41"/>
      <c r="AE236" s="42"/>
      <c r="AF236" s="27"/>
      <c r="AG236" s="43">
        <f t="shared" si="154"/>
        <v>4712.066595</v>
      </c>
      <c r="AH236" s="29"/>
      <c r="AI236" s="29"/>
      <c r="AJ236" s="29"/>
      <c r="AK236" s="29"/>
      <c r="AL236" s="27"/>
      <c r="AM236" s="44"/>
      <c r="AN236" s="115"/>
      <c r="AO236" s="46"/>
      <c r="AP236" s="47"/>
      <c r="AQ236" s="43">
        <f t="shared" si="155"/>
        <v>4960.0701</v>
      </c>
      <c r="AR236" s="43">
        <f t="shared" si="2"/>
        <v>248.003505</v>
      </c>
      <c r="AS236" s="43">
        <f t="shared" si="3"/>
        <v>868.0122675</v>
      </c>
      <c r="AT236" s="48">
        <f t="shared" si="4"/>
        <v>3844.054328</v>
      </c>
      <c r="AU236" s="49">
        <f t="shared" si="138"/>
        <v>3844.054328</v>
      </c>
      <c r="AV236" s="48"/>
      <c r="AW236" s="34">
        <f t="shared" si="5"/>
        <v>19595.49</v>
      </c>
      <c r="AX236" s="50">
        <f t="shared" si="6"/>
        <v>3844.054328</v>
      </c>
      <c r="AY236" s="43"/>
      <c r="AZ236" s="43"/>
      <c r="BA236" s="48">
        <f t="shared" si="135"/>
        <v>3844.054328</v>
      </c>
      <c r="BB236" s="27"/>
      <c r="BC236" s="27"/>
      <c r="BD236" s="51"/>
      <c r="BE236" s="52"/>
      <c r="BF236" s="27" t="s">
        <v>881</v>
      </c>
      <c r="BG236" s="58" t="s">
        <v>883</v>
      </c>
      <c r="BH236" s="53" t="str">
        <f>'[1]2023'!Q514</f>
        <v>#REF!</v>
      </c>
      <c r="BI236" s="27"/>
      <c r="BJ236" s="27"/>
      <c r="BK236" s="27" t="s">
        <v>76</v>
      </c>
      <c r="BL236" s="27"/>
    </row>
    <row r="237" ht="14.25" customHeight="1">
      <c r="A237" s="26" t="s">
        <v>55</v>
      </c>
      <c r="B237" s="26" t="s">
        <v>56</v>
      </c>
      <c r="C237" s="26" t="s">
        <v>57</v>
      </c>
      <c r="D237" s="26" t="s">
        <v>81</v>
      </c>
      <c r="E237" s="27" t="s">
        <v>884</v>
      </c>
      <c r="F237" s="28" t="s">
        <v>885</v>
      </c>
      <c r="G237" s="29">
        <v>45021.0</v>
      </c>
      <c r="H237" s="30">
        <v>45021.0</v>
      </c>
      <c r="I237" s="30">
        <v>45386.0</v>
      </c>
      <c r="J237" s="31">
        <v>0.0</v>
      </c>
      <c r="K237" s="26" t="s">
        <v>427</v>
      </c>
      <c r="L237" s="32" t="s">
        <v>75</v>
      </c>
      <c r="M237" s="33">
        <v>15487.5</v>
      </c>
      <c r="N237" s="34">
        <v>16544.28</v>
      </c>
      <c r="O237" s="27" t="s">
        <v>76</v>
      </c>
      <c r="P237" s="35" t="s">
        <v>122</v>
      </c>
      <c r="Q237" s="35" t="s">
        <v>65</v>
      </c>
      <c r="R237" s="36">
        <v>45021.0</v>
      </c>
      <c r="S237" s="35" t="s">
        <v>231</v>
      </c>
      <c r="T237" s="35">
        <v>0.0</v>
      </c>
      <c r="U237" s="37" t="s">
        <v>67</v>
      </c>
      <c r="V237" s="38"/>
      <c r="W237" s="38"/>
      <c r="X237" s="27"/>
      <c r="Y237" s="39"/>
      <c r="Z237" s="39"/>
      <c r="AA237" s="39"/>
      <c r="AB237" s="40"/>
      <c r="AC237" s="27">
        <f t="shared" si="123"/>
        <v>0</v>
      </c>
      <c r="AD237" s="41"/>
      <c r="AE237" s="42"/>
      <c r="AF237" s="27"/>
      <c r="AG237" s="43">
        <f t="shared" si="154"/>
        <v>3972.54375</v>
      </c>
      <c r="AH237" s="29"/>
      <c r="AI237" s="29"/>
      <c r="AJ237" s="29"/>
      <c r="AK237" s="29"/>
      <c r="AL237" s="27"/>
      <c r="AM237" s="46"/>
      <c r="AN237" s="45"/>
      <c r="AO237" s="46">
        <f>M237*15%</f>
        <v>2323.125</v>
      </c>
      <c r="AP237" s="63" t="s">
        <v>886</v>
      </c>
      <c r="AQ237" s="43">
        <f t="shared" si="155"/>
        <v>4181.625</v>
      </c>
      <c r="AR237" s="43">
        <f t="shared" si="2"/>
        <v>209.08125</v>
      </c>
      <c r="AS237" s="43">
        <f t="shared" si="3"/>
        <v>731.784375</v>
      </c>
      <c r="AT237" s="48">
        <f t="shared" si="4"/>
        <v>3240.759375</v>
      </c>
      <c r="AU237" s="49">
        <f t="shared" si="138"/>
        <v>3240.759375</v>
      </c>
      <c r="AV237" s="48"/>
      <c r="AW237" s="34">
        <f t="shared" si="5"/>
        <v>16544.28</v>
      </c>
      <c r="AX237" s="113">
        <f t="shared" si="6"/>
        <v>917.634375</v>
      </c>
      <c r="AY237" s="43"/>
      <c r="AZ237" s="43"/>
      <c r="BA237" s="48">
        <f t="shared" si="135"/>
        <v>917.634375</v>
      </c>
      <c r="BB237" s="27"/>
      <c r="BC237" s="27"/>
      <c r="BD237" s="51"/>
      <c r="BE237" s="52" t="s">
        <v>887</v>
      </c>
      <c r="BF237" s="27" t="s">
        <v>884</v>
      </c>
      <c r="BG237" s="53">
        <v>0.0</v>
      </c>
      <c r="BH237" s="53" t="str">
        <f>'[1]2023'!Q517</f>
        <v>#REF!</v>
      </c>
      <c r="BI237" s="27"/>
      <c r="BJ237" s="27"/>
      <c r="BK237" s="27" t="s">
        <v>76</v>
      </c>
      <c r="BL237" s="27"/>
    </row>
    <row r="238" ht="14.25" customHeight="1">
      <c r="A238" s="26" t="s">
        <v>55</v>
      </c>
      <c r="B238" s="26" t="s">
        <v>56</v>
      </c>
      <c r="C238" s="26" t="s">
        <v>57</v>
      </c>
      <c r="D238" s="26" t="s">
        <v>81</v>
      </c>
      <c r="E238" s="27" t="s">
        <v>888</v>
      </c>
      <c r="F238" s="28" t="s">
        <v>889</v>
      </c>
      <c r="G238" s="29">
        <v>45021.0</v>
      </c>
      <c r="H238" s="30">
        <v>45021.0</v>
      </c>
      <c r="I238" s="30">
        <v>45386.0</v>
      </c>
      <c r="J238" s="31">
        <v>0.0</v>
      </c>
      <c r="K238" s="26" t="s">
        <v>427</v>
      </c>
      <c r="L238" s="32" t="s">
        <v>75</v>
      </c>
      <c r="M238" s="33">
        <v>15930.0</v>
      </c>
      <c r="N238" s="34">
        <v>17010.87</v>
      </c>
      <c r="O238" s="27" t="s">
        <v>76</v>
      </c>
      <c r="P238" s="35" t="s">
        <v>430</v>
      </c>
      <c r="Q238" s="35" t="s">
        <v>90</v>
      </c>
      <c r="R238" s="36">
        <v>45021.0</v>
      </c>
      <c r="S238" s="35" t="s">
        <v>86</v>
      </c>
      <c r="T238" s="35">
        <v>0.0</v>
      </c>
      <c r="U238" s="37" t="s">
        <v>67</v>
      </c>
      <c r="V238" s="38"/>
      <c r="W238" s="38"/>
      <c r="X238" s="27"/>
      <c r="Y238" s="39"/>
      <c r="Z238" s="79" t="s">
        <v>407</v>
      </c>
      <c r="AA238" s="39"/>
      <c r="AB238" s="40"/>
      <c r="AC238" s="27">
        <f t="shared" si="123"/>
        <v>0</v>
      </c>
      <c r="AD238" s="41">
        <f t="shared" ref="AD238:AD240" si="156">IF(AND(S238="0",O238="Paid"),M238*15%,0)</f>
        <v>2389.5</v>
      </c>
      <c r="AE238" s="42"/>
      <c r="AF238" s="27"/>
      <c r="AG238" s="43">
        <f t="shared" si="154"/>
        <v>4086.045</v>
      </c>
      <c r="AH238" s="29"/>
      <c r="AI238" s="29"/>
      <c r="AJ238" s="29"/>
      <c r="AK238" s="29"/>
      <c r="AL238" s="27"/>
      <c r="AM238" s="44"/>
      <c r="AN238" s="115"/>
      <c r="AO238" s="46"/>
      <c r="AP238" s="47"/>
      <c r="AQ238" s="43">
        <f t="shared" si="155"/>
        <v>4301.1</v>
      </c>
      <c r="AR238" s="43">
        <f t="shared" si="2"/>
        <v>215.055</v>
      </c>
      <c r="AS238" s="43">
        <f t="shared" si="3"/>
        <v>752.6925</v>
      </c>
      <c r="AT238" s="48">
        <f t="shared" si="4"/>
        <v>3333.3525</v>
      </c>
      <c r="AU238" s="49">
        <f t="shared" si="138"/>
        <v>3333.3525</v>
      </c>
      <c r="AV238" s="48"/>
      <c r="AW238" s="34">
        <f t="shared" si="5"/>
        <v>14621.37</v>
      </c>
      <c r="AX238" s="50">
        <f t="shared" si="6"/>
        <v>943.8525</v>
      </c>
      <c r="AY238" s="43"/>
      <c r="AZ238" s="43"/>
      <c r="BA238" s="48">
        <f t="shared" si="135"/>
        <v>3333.3525</v>
      </c>
      <c r="BB238" s="27"/>
      <c r="BC238" s="27"/>
      <c r="BD238" s="51"/>
      <c r="BE238" s="52"/>
      <c r="BF238" s="27" t="s">
        <v>888</v>
      </c>
      <c r="BG238" s="58" t="s">
        <v>562</v>
      </c>
      <c r="BH238" s="53" t="str">
        <f>'[1]2023'!Q535</f>
        <v>#REF!</v>
      </c>
      <c r="BI238" s="27"/>
      <c r="BJ238" s="27"/>
      <c r="BK238" s="27" t="s">
        <v>76</v>
      </c>
      <c r="BL238" s="27"/>
    </row>
    <row r="239" ht="14.25" customHeight="1">
      <c r="A239" s="26" t="s">
        <v>55</v>
      </c>
      <c r="B239" s="26" t="s">
        <v>56</v>
      </c>
      <c r="C239" s="26" t="s">
        <v>57</v>
      </c>
      <c r="D239" s="26" t="s">
        <v>81</v>
      </c>
      <c r="E239" s="27" t="s">
        <v>890</v>
      </c>
      <c r="F239" s="28" t="s">
        <v>891</v>
      </c>
      <c r="G239" s="29">
        <v>45021.0</v>
      </c>
      <c r="H239" s="30">
        <v>45021.0</v>
      </c>
      <c r="I239" s="30">
        <v>45386.0</v>
      </c>
      <c r="J239" s="31">
        <v>0.0</v>
      </c>
      <c r="K239" s="26" t="s">
        <v>427</v>
      </c>
      <c r="L239" s="32" t="s">
        <v>75</v>
      </c>
      <c r="M239" s="33">
        <v>20650.0</v>
      </c>
      <c r="N239" s="34">
        <v>22009.35</v>
      </c>
      <c r="O239" s="27" t="s">
        <v>76</v>
      </c>
      <c r="P239" s="35" t="s">
        <v>89</v>
      </c>
      <c r="Q239" s="35" t="s">
        <v>90</v>
      </c>
      <c r="R239" s="36">
        <v>45021.0</v>
      </c>
      <c r="S239" s="35" t="s">
        <v>86</v>
      </c>
      <c r="T239" s="35">
        <v>0.0</v>
      </c>
      <c r="U239" s="37" t="s">
        <v>67</v>
      </c>
      <c r="V239" s="38"/>
      <c r="W239" s="38"/>
      <c r="X239" s="27"/>
      <c r="Y239" s="39"/>
      <c r="Z239" s="79" t="s">
        <v>208</v>
      </c>
      <c r="AA239" s="39"/>
      <c r="AB239" s="40"/>
      <c r="AC239" s="27">
        <f t="shared" si="123"/>
        <v>0</v>
      </c>
      <c r="AD239" s="41">
        <f t="shared" si="156"/>
        <v>3097.5</v>
      </c>
      <c r="AE239" s="42"/>
      <c r="AF239" s="27"/>
      <c r="AG239" s="43">
        <f t="shared" si="154"/>
        <v>5296.725</v>
      </c>
      <c r="AH239" s="29"/>
      <c r="AI239" s="29"/>
      <c r="AJ239" s="29"/>
      <c r="AK239" s="29"/>
      <c r="AL239" s="27"/>
      <c r="AM239" s="44"/>
      <c r="AN239" s="115"/>
      <c r="AO239" s="46"/>
      <c r="AP239" s="47"/>
      <c r="AQ239" s="43">
        <f t="shared" si="155"/>
        <v>5575.5</v>
      </c>
      <c r="AR239" s="43">
        <f t="shared" si="2"/>
        <v>278.775</v>
      </c>
      <c r="AS239" s="43">
        <f t="shared" si="3"/>
        <v>975.7125</v>
      </c>
      <c r="AT239" s="48">
        <f t="shared" si="4"/>
        <v>4321.0125</v>
      </c>
      <c r="AU239" s="49">
        <f t="shared" si="138"/>
        <v>4321.0125</v>
      </c>
      <c r="AV239" s="48"/>
      <c r="AW239" s="34">
        <f t="shared" si="5"/>
        <v>18911.85</v>
      </c>
      <c r="AX239" s="50">
        <f t="shared" si="6"/>
        <v>1223.5125</v>
      </c>
      <c r="AY239" s="43"/>
      <c r="AZ239" s="43"/>
      <c r="BA239" s="48">
        <f t="shared" si="135"/>
        <v>4321.0125</v>
      </c>
      <c r="BB239" s="27"/>
      <c r="BC239" s="27"/>
      <c r="BD239" s="51"/>
      <c r="BE239" s="52"/>
      <c r="BF239" s="27" t="s">
        <v>890</v>
      </c>
      <c r="BG239" s="53">
        <v>0.0</v>
      </c>
      <c r="BH239" s="53" t="str">
        <f>'[1]2023'!Q554</f>
        <v>#REF!</v>
      </c>
      <c r="BI239" s="27"/>
      <c r="BJ239" s="27"/>
      <c r="BK239" s="27" t="s">
        <v>76</v>
      </c>
      <c r="BL239" s="27"/>
    </row>
    <row r="240" ht="14.25" customHeight="1">
      <c r="A240" s="26" t="s">
        <v>55</v>
      </c>
      <c r="B240" s="26" t="s">
        <v>56</v>
      </c>
      <c r="C240" s="26" t="s">
        <v>57</v>
      </c>
      <c r="D240" s="26" t="s">
        <v>81</v>
      </c>
      <c r="E240" s="27" t="s">
        <v>892</v>
      </c>
      <c r="F240" s="28" t="s">
        <v>893</v>
      </c>
      <c r="G240" s="29">
        <v>45022.0</v>
      </c>
      <c r="H240" s="30">
        <v>45022.0</v>
      </c>
      <c r="I240" s="30">
        <v>45387.0</v>
      </c>
      <c r="J240" s="31">
        <v>0.0</v>
      </c>
      <c r="K240" s="26" t="s">
        <v>440</v>
      </c>
      <c r="L240" s="32" t="s">
        <v>75</v>
      </c>
      <c r="M240" s="33">
        <v>22687.5</v>
      </c>
      <c r="N240" s="34">
        <v>24167.08</v>
      </c>
      <c r="O240" s="27" t="s">
        <v>76</v>
      </c>
      <c r="P240" s="35" t="s">
        <v>122</v>
      </c>
      <c r="Q240" s="35" t="s">
        <v>108</v>
      </c>
      <c r="R240" s="36">
        <v>45022.0</v>
      </c>
      <c r="S240" s="35" t="s">
        <v>86</v>
      </c>
      <c r="T240" s="35">
        <v>0.0</v>
      </c>
      <c r="U240" s="37" t="s">
        <v>67</v>
      </c>
      <c r="V240" s="38"/>
      <c r="W240" s="38"/>
      <c r="X240" s="27"/>
      <c r="Y240" s="39"/>
      <c r="Z240" s="39"/>
      <c r="AA240" s="39"/>
      <c r="AB240" s="40"/>
      <c r="AC240" s="27">
        <f t="shared" si="123"/>
        <v>0</v>
      </c>
      <c r="AD240" s="41">
        <f t="shared" si="156"/>
        <v>3403.125</v>
      </c>
      <c r="AE240" s="42"/>
      <c r="AF240" s="27" t="s">
        <v>305</v>
      </c>
      <c r="AG240" s="43">
        <f t="shared" si="154"/>
        <v>5819.34375</v>
      </c>
      <c r="AH240" s="29"/>
      <c r="AI240" s="29"/>
      <c r="AJ240" s="29"/>
      <c r="AK240" s="29"/>
      <c r="AL240" s="27"/>
      <c r="AM240" s="44"/>
      <c r="AN240" s="115"/>
      <c r="AO240" s="46"/>
      <c r="AP240" s="47"/>
      <c r="AQ240" s="43">
        <f t="shared" si="155"/>
        <v>6125.625</v>
      </c>
      <c r="AR240" s="43">
        <f t="shared" si="2"/>
        <v>306.28125</v>
      </c>
      <c r="AS240" s="43">
        <f t="shared" si="3"/>
        <v>1071.984375</v>
      </c>
      <c r="AT240" s="48">
        <f t="shared" si="4"/>
        <v>4747.359375</v>
      </c>
      <c r="AU240" s="49">
        <f t="shared" si="138"/>
        <v>4747.359375</v>
      </c>
      <c r="AV240" s="48"/>
      <c r="AW240" s="34">
        <f t="shared" si="5"/>
        <v>20763.955</v>
      </c>
      <c r="AX240" s="50">
        <f t="shared" si="6"/>
        <v>1344.234375</v>
      </c>
      <c r="AY240" s="43"/>
      <c r="AZ240" s="43"/>
      <c r="BA240" s="48">
        <f t="shared" si="135"/>
        <v>4747.359375</v>
      </c>
      <c r="BB240" s="27"/>
      <c r="BC240" s="27"/>
      <c r="BD240" s="51"/>
      <c r="BE240" s="52"/>
      <c r="BF240" s="27" t="s">
        <v>892</v>
      </c>
      <c r="BG240" s="53">
        <v>0.0</v>
      </c>
      <c r="BH240" s="53" t="str">
        <f>'[1]2023'!Q620</f>
        <v>#REF!</v>
      </c>
      <c r="BI240" s="27"/>
      <c r="BJ240" s="27"/>
      <c r="BK240" s="27" t="s">
        <v>76</v>
      </c>
      <c r="BL240" s="27"/>
    </row>
    <row r="241" ht="14.25" customHeight="1">
      <c r="A241" s="26" t="s">
        <v>55</v>
      </c>
      <c r="B241" s="26" t="s">
        <v>56</v>
      </c>
      <c r="C241" s="26" t="s">
        <v>57</v>
      </c>
      <c r="D241" s="26" t="s">
        <v>81</v>
      </c>
      <c r="E241" s="27" t="s">
        <v>894</v>
      </c>
      <c r="F241" s="28" t="s">
        <v>895</v>
      </c>
      <c r="G241" s="29">
        <v>45022.0</v>
      </c>
      <c r="H241" s="30">
        <v>45022.0</v>
      </c>
      <c r="I241" s="30">
        <v>45387.0</v>
      </c>
      <c r="J241" s="31">
        <v>0.0</v>
      </c>
      <c r="K241" s="26" t="s">
        <v>440</v>
      </c>
      <c r="L241" s="32" t="s">
        <v>63</v>
      </c>
      <c r="M241" s="33">
        <v>0.0</v>
      </c>
      <c r="N241" s="34">
        <v>0.0</v>
      </c>
      <c r="O241" s="27" t="s">
        <v>64</v>
      </c>
      <c r="P241" s="35">
        <v>0.0</v>
      </c>
      <c r="Q241" s="35" t="s">
        <v>108</v>
      </c>
      <c r="R241" s="36">
        <v>45022.0</v>
      </c>
      <c r="S241" s="35" t="s">
        <v>86</v>
      </c>
      <c r="T241" s="35">
        <v>0.0</v>
      </c>
      <c r="U241" s="37" t="s">
        <v>67</v>
      </c>
      <c r="V241" s="38"/>
      <c r="W241" s="38"/>
      <c r="X241" s="27"/>
      <c r="Y241" s="39"/>
      <c r="Z241" s="39"/>
      <c r="AA241" s="39"/>
      <c r="AB241" s="40"/>
      <c r="AC241" s="27">
        <f t="shared" si="123"/>
        <v>0</v>
      </c>
      <c r="AD241" s="41">
        <f>IF(AND(S241="0",O241="Paid"),(M241*15%)-AC241,0)</f>
        <v>0</v>
      </c>
      <c r="AE241" s="42"/>
      <c r="AF241" s="27" t="s">
        <v>63</v>
      </c>
      <c r="AG241" s="43">
        <f t="shared" si="154"/>
        <v>0</v>
      </c>
      <c r="AH241" s="29"/>
      <c r="AI241" s="29"/>
      <c r="AJ241" s="29"/>
      <c r="AK241" s="29"/>
      <c r="AL241" s="27"/>
      <c r="AM241" s="44"/>
      <c r="AN241" s="115"/>
      <c r="AO241" s="46"/>
      <c r="AP241" s="47"/>
      <c r="AQ241" s="43" t="b">
        <f>IF(O241="Paid",IF(U241="Motor Plus",(M241*27%),IF(U241="Motor One",(M241*22%),(IF(U241="Golden",(M241*25%),(IF(U241="Classic",(M241*15%),(IF(U241="Wethaq",(M241*28%),IF(U241="Alwataniya",(M241*21%))*0)))))))))</f>
        <v>0</v>
      </c>
      <c r="AR241" s="43">
        <f t="shared" si="2"/>
        <v>0</v>
      </c>
      <c r="AS241" s="43">
        <f t="shared" si="3"/>
        <v>0</v>
      </c>
      <c r="AT241" s="48">
        <f t="shared" si="4"/>
        <v>0</v>
      </c>
      <c r="AU241" s="49">
        <f t="shared" si="138"/>
        <v>0</v>
      </c>
      <c r="AV241" s="48"/>
      <c r="AW241" s="34">
        <f t="shared" si="5"/>
        <v>0</v>
      </c>
      <c r="AX241" s="50">
        <f t="shared" si="6"/>
        <v>0</v>
      </c>
      <c r="AY241" s="43"/>
      <c r="AZ241" s="43"/>
      <c r="BA241" s="48">
        <f t="shared" si="135"/>
        <v>0</v>
      </c>
      <c r="BB241" s="27"/>
      <c r="BC241" s="27"/>
      <c r="BD241" s="51"/>
      <c r="BE241" s="52"/>
      <c r="BF241" s="27" t="s">
        <v>894</v>
      </c>
      <c r="BG241" s="53">
        <v>0.0</v>
      </c>
      <c r="BH241" s="53" t="str">
        <f>'[1]2023'!Q663</f>
        <v>#REF!</v>
      </c>
      <c r="BI241" s="27"/>
      <c r="BJ241" s="27"/>
      <c r="BK241" s="27" t="s">
        <v>64</v>
      </c>
      <c r="BL241" s="27"/>
    </row>
    <row r="242" ht="14.25" customHeight="1">
      <c r="A242" s="26" t="s">
        <v>55</v>
      </c>
      <c r="B242" s="26" t="s">
        <v>56</v>
      </c>
      <c r="C242" s="26" t="s">
        <v>57</v>
      </c>
      <c r="D242" s="26" t="s">
        <v>81</v>
      </c>
      <c r="E242" s="27" t="s">
        <v>896</v>
      </c>
      <c r="F242" s="28" t="s">
        <v>897</v>
      </c>
      <c r="G242" s="29">
        <v>45022.0</v>
      </c>
      <c r="H242" s="30">
        <v>45022.0</v>
      </c>
      <c r="I242" s="30">
        <v>45387.0</v>
      </c>
      <c r="J242" s="31">
        <v>0.0</v>
      </c>
      <c r="K242" s="26" t="s">
        <v>440</v>
      </c>
      <c r="L242" s="32" t="s">
        <v>75</v>
      </c>
      <c r="M242" s="33">
        <v>20650.0</v>
      </c>
      <c r="N242" s="34">
        <v>22009.35</v>
      </c>
      <c r="O242" s="27" t="s">
        <v>76</v>
      </c>
      <c r="P242" s="35" t="s">
        <v>89</v>
      </c>
      <c r="Q242" s="35" t="s">
        <v>90</v>
      </c>
      <c r="R242" s="36">
        <v>45022.0</v>
      </c>
      <c r="S242" s="35" t="s">
        <v>86</v>
      </c>
      <c r="T242" s="35">
        <v>0.0</v>
      </c>
      <c r="U242" s="37" t="s">
        <v>67</v>
      </c>
      <c r="V242" s="38"/>
      <c r="W242" s="38"/>
      <c r="X242" s="27"/>
      <c r="Y242" s="39"/>
      <c r="Z242" s="79" t="s">
        <v>208</v>
      </c>
      <c r="AA242" s="39"/>
      <c r="AB242" s="40"/>
      <c r="AC242" s="27">
        <f t="shared" si="123"/>
        <v>0</v>
      </c>
      <c r="AD242" s="41">
        <f t="shared" ref="AD242:AD243" si="157">IF(AND(S242="0",O242="Paid"),M242*15%,0)</f>
        <v>3097.5</v>
      </c>
      <c r="AE242" s="42"/>
      <c r="AF242" s="27"/>
      <c r="AG242" s="43">
        <f t="shared" si="154"/>
        <v>5296.725</v>
      </c>
      <c r="AH242" s="29"/>
      <c r="AI242" s="29"/>
      <c r="AJ242" s="29"/>
      <c r="AK242" s="29"/>
      <c r="AL242" s="27"/>
      <c r="AM242" s="44"/>
      <c r="AN242" s="45"/>
      <c r="AO242" s="46"/>
      <c r="AP242" s="47"/>
      <c r="AQ242" s="43">
        <f t="shared" ref="AQ242:AQ245" si="158">IF(U242="Motor Plus",(M242*27%),IF(U242="Motor One",(M242*22%),(IF(U242="Golden",(M242*25%),(IF(U242="Classic",(M242*15%),(IF(U242="Wethaq",(M242*28%),IF(U242="Alwataniya",(M242*21%))*0))))))))</f>
        <v>5575.5</v>
      </c>
      <c r="AR242" s="43">
        <f t="shared" si="2"/>
        <v>278.775</v>
      </c>
      <c r="AS242" s="43">
        <f t="shared" si="3"/>
        <v>975.7125</v>
      </c>
      <c r="AT242" s="48">
        <f t="shared" si="4"/>
        <v>4321.0125</v>
      </c>
      <c r="AU242" s="49">
        <f t="shared" si="138"/>
        <v>4321.0125</v>
      </c>
      <c r="AV242" s="48"/>
      <c r="AW242" s="34">
        <f t="shared" si="5"/>
        <v>18911.85</v>
      </c>
      <c r="AX242" s="50">
        <f t="shared" si="6"/>
        <v>1223.5125</v>
      </c>
      <c r="AY242" s="43"/>
      <c r="AZ242" s="43"/>
      <c r="BA242" s="48">
        <f t="shared" si="135"/>
        <v>4321.0125</v>
      </c>
      <c r="BB242" s="27"/>
      <c r="BC242" s="27"/>
      <c r="BD242" s="51"/>
      <c r="BE242" s="52"/>
      <c r="BF242" s="27" t="s">
        <v>896</v>
      </c>
      <c r="BG242" s="53">
        <v>0.0</v>
      </c>
      <c r="BH242" s="53" t="str">
        <f>'[1]2023'!Q764</f>
        <v>#REF!</v>
      </c>
      <c r="BI242" s="27"/>
      <c r="BJ242" s="27"/>
      <c r="BK242" s="27" t="s">
        <v>76</v>
      </c>
      <c r="BL242" s="27"/>
    </row>
    <row r="243" ht="14.25" customHeight="1">
      <c r="A243" s="26" t="s">
        <v>111</v>
      </c>
      <c r="B243" s="26" t="s">
        <v>56</v>
      </c>
      <c r="C243" s="26" t="s">
        <v>57</v>
      </c>
      <c r="D243" s="26" t="s">
        <v>71</v>
      </c>
      <c r="E243" s="27" t="s">
        <v>898</v>
      </c>
      <c r="F243" s="28" t="s">
        <v>899</v>
      </c>
      <c r="G243" s="29">
        <v>45022.0</v>
      </c>
      <c r="H243" s="30">
        <v>45022.0</v>
      </c>
      <c r="I243" s="30">
        <v>45387.0</v>
      </c>
      <c r="J243" s="31">
        <v>0.0</v>
      </c>
      <c r="K243" s="26" t="s">
        <v>440</v>
      </c>
      <c r="L243" s="69">
        <v>45144.0</v>
      </c>
      <c r="M243" s="33">
        <v>21854.77</v>
      </c>
      <c r="N243" s="34">
        <v>23400.0</v>
      </c>
      <c r="O243" s="27" t="s">
        <v>76</v>
      </c>
      <c r="P243" s="35" t="s">
        <v>142</v>
      </c>
      <c r="Q243" s="35" t="s">
        <v>108</v>
      </c>
      <c r="R243" s="36">
        <v>45031.0</v>
      </c>
      <c r="S243" s="35" t="s">
        <v>86</v>
      </c>
      <c r="T243" s="35">
        <v>0.0</v>
      </c>
      <c r="U243" s="37" t="s">
        <v>115</v>
      </c>
      <c r="V243" s="38">
        <v>900000.0</v>
      </c>
      <c r="W243" s="38"/>
      <c r="X243" s="27"/>
      <c r="Y243" s="39"/>
      <c r="Z243" s="79" t="s">
        <v>900</v>
      </c>
      <c r="AA243" s="39"/>
      <c r="AB243" s="40"/>
      <c r="AC243" s="27">
        <f t="shared" si="123"/>
        <v>0</v>
      </c>
      <c r="AD243" s="41">
        <f t="shared" si="157"/>
        <v>3278.2155</v>
      </c>
      <c r="AE243" s="42">
        <v>400.0</v>
      </c>
      <c r="AF243" s="29">
        <v>45144.0</v>
      </c>
      <c r="AG243" s="43">
        <f>IF(O243="Paid",IF(A243="Alwataniya",(M243*21%)-((M243*21%)*5%),IF((A243="GIG"),(M243*25%)-((M243*25%)*5%),IF((A243="Allianz"),(M243*27%)-((M243*27%)*20%),0))),0)</f>
        <v>5190.507875</v>
      </c>
      <c r="AH243" s="29" t="s">
        <v>901</v>
      </c>
      <c r="AI243" s="29" t="s">
        <v>902</v>
      </c>
      <c r="AJ243" s="40"/>
      <c r="AK243" s="62" t="s">
        <v>63</v>
      </c>
      <c r="AL243" s="27"/>
      <c r="AM243" s="44"/>
      <c r="AN243" s="45"/>
      <c r="AO243" s="46"/>
      <c r="AP243" s="47"/>
      <c r="AQ243" s="43">
        <f t="shared" si="158"/>
        <v>5463.6925</v>
      </c>
      <c r="AR243" s="43">
        <f t="shared" si="2"/>
        <v>273.184625</v>
      </c>
      <c r="AS243" s="43">
        <f t="shared" si="3"/>
        <v>956.1461875</v>
      </c>
      <c r="AT243" s="48">
        <f t="shared" si="4"/>
        <v>4234.361688</v>
      </c>
      <c r="AU243" s="49">
        <f t="shared" si="138"/>
        <v>4234.361688</v>
      </c>
      <c r="AV243" s="48"/>
      <c r="AW243" s="34">
        <f t="shared" si="5"/>
        <v>19721.7845</v>
      </c>
      <c r="AX243" s="50">
        <f t="shared" si="6"/>
        <v>556.1461875</v>
      </c>
      <c r="AY243" s="43"/>
      <c r="AZ243" s="43"/>
      <c r="BA243" s="48">
        <f t="shared" si="135"/>
        <v>4234.361688</v>
      </c>
      <c r="BB243" s="27"/>
      <c r="BC243" s="27"/>
      <c r="BD243" s="51"/>
      <c r="BE243" s="52"/>
      <c r="BF243" s="27" t="s">
        <v>898</v>
      </c>
      <c r="BG243" s="53">
        <v>0.0</v>
      </c>
      <c r="BH243" s="53" t="str">
        <f>'[1]2023'!Q767</f>
        <v>#REF!</v>
      </c>
      <c r="BI243" s="27"/>
      <c r="BJ243" s="27"/>
      <c r="BK243" s="27" t="s">
        <v>76</v>
      </c>
      <c r="BL243" s="27"/>
    </row>
    <row r="244" ht="14.25" customHeight="1">
      <c r="A244" s="26" t="s">
        <v>68</v>
      </c>
      <c r="B244" s="26" t="s">
        <v>56</v>
      </c>
      <c r="C244" s="26" t="s">
        <v>57</v>
      </c>
      <c r="D244" s="26" t="s">
        <v>71</v>
      </c>
      <c r="E244" s="27" t="s">
        <v>903</v>
      </c>
      <c r="F244" s="28" t="s">
        <v>904</v>
      </c>
      <c r="G244" s="29">
        <v>45022.0</v>
      </c>
      <c r="H244" s="30">
        <v>45022.0</v>
      </c>
      <c r="I244" s="30">
        <v>45387.0</v>
      </c>
      <c r="J244" s="88" t="s">
        <v>510</v>
      </c>
      <c r="K244" s="26" t="s">
        <v>440</v>
      </c>
      <c r="L244" s="32" t="s">
        <v>75</v>
      </c>
      <c r="M244" s="33">
        <v>54527.15</v>
      </c>
      <c r="N244" s="34">
        <v>58000.0</v>
      </c>
      <c r="O244" s="27" t="s">
        <v>76</v>
      </c>
      <c r="P244" s="35" t="s">
        <v>89</v>
      </c>
      <c r="Q244" s="35">
        <v>0.0</v>
      </c>
      <c r="R244" s="36">
        <v>45041.0</v>
      </c>
      <c r="S244" s="35" t="s">
        <v>78</v>
      </c>
      <c r="T244" s="54" t="s">
        <v>510</v>
      </c>
      <c r="U244" s="37" t="s">
        <v>68</v>
      </c>
      <c r="V244" s="38"/>
      <c r="W244" s="38"/>
      <c r="X244" s="27"/>
      <c r="Y244" s="39"/>
      <c r="Z244" s="39"/>
      <c r="AA244" s="39"/>
      <c r="AB244" s="40"/>
      <c r="AC244" s="27">
        <f t="shared" si="123"/>
        <v>0</v>
      </c>
      <c r="AD244" s="41"/>
      <c r="AE244" s="42"/>
      <c r="AF244" s="27"/>
      <c r="AG244" s="43">
        <f t="shared" ref="AG244:AG245" si="159">IF(O244="Paid",IF(A244="Wethaq",(M244*29.81%)-((M244*29.81%)*5%)))</f>
        <v>15441.81624</v>
      </c>
      <c r="AH244" s="29" t="s">
        <v>306</v>
      </c>
      <c r="AI244" s="29" t="s">
        <v>721</v>
      </c>
      <c r="AJ244" s="40">
        <v>0.2981</v>
      </c>
      <c r="AK244" s="29" t="s">
        <v>306</v>
      </c>
      <c r="AL244" s="90"/>
      <c r="AM244" s="44"/>
      <c r="AN244" s="104"/>
      <c r="AO244" s="95">
        <f t="shared" ref="AO244:AO245" si="160">M244*AJ244-((M244*AJ244)*22.5%)</f>
        <v>12597.27115</v>
      </c>
      <c r="AP244" s="47" t="s">
        <v>905</v>
      </c>
      <c r="AQ244" s="43">
        <f t="shared" si="158"/>
        <v>15267.602</v>
      </c>
      <c r="AR244" s="43">
        <f t="shared" si="2"/>
        <v>763.3801</v>
      </c>
      <c r="AS244" s="43">
        <f t="shared" si="3"/>
        <v>2671.83035</v>
      </c>
      <c r="AT244" s="48">
        <f t="shared" si="4"/>
        <v>11832.39155</v>
      </c>
      <c r="AU244" s="49">
        <f t="shared" si="138"/>
        <v>11832.39155</v>
      </c>
      <c r="AV244" s="48"/>
      <c r="AW244" s="34">
        <f t="shared" si="5"/>
        <v>58000</v>
      </c>
      <c r="AX244" s="50">
        <f t="shared" si="6"/>
        <v>172.7147476</v>
      </c>
      <c r="AY244" s="43"/>
      <c r="AZ244" s="43">
        <f t="shared" ref="AZ244:AZ245" si="161">IF(AJ244&lt;31.81%,M244*(31.81%-AJ244),0)</f>
        <v>1090.543</v>
      </c>
      <c r="BA244" s="48" t="str">
        <f t="shared" ref="BA244:BA245" si="162">IF(S244&lt;&gt;0,AU244-#REF!-AM244,(AG244-AD244-AE244-AS244))</f>
        <v>#REF!</v>
      </c>
      <c r="BB244" s="27"/>
      <c r="BC244" s="27"/>
      <c r="BD244" s="51"/>
      <c r="BE244" s="52"/>
      <c r="BF244" s="27" t="s">
        <v>903</v>
      </c>
      <c r="BG244" s="53">
        <v>0.0</v>
      </c>
      <c r="BH244" s="53" t="str">
        <f t="shared" ref="BH244:BH245" si="163">'[1]2023'!Q790</f>
        <v>#REF!</v>
      </c>
      <c r="BI244" s="27"/>
      <c r="BJ244" s="27"/>
      <c r="BK244" s="27" t="s">
        <v>76</v>
      </c>
      <c r="BL244" s="64" t="s">
        <v>906</v>
      </c>
    </row>
    <row r="245" ht="14.25" customHeight="1">
      <c r="A245" s="26" t="s">
        <v>68</v>
      </c>
      <c r="B245" s="26" t="s">
        <v>56</v>
      </c>
      <c r="C245" s="26" t="s">
        <v>57</v>
      </c>
      <c r="D245" s="26" t="s">
        <v>71</v>
      </c>
      <c r="E245" s="27" t="s">
        <v>907</v>
      </c>
      <c r="F245" s="28" t="s">
        <v>908</v>
      </c>
      <c r="G245" s="29">
        <v>45022.0</v>
      </c>
      <c r="H245" s="30">
        <v>45022.0</v>
      </c>
      <c r="I245" s="30">
        <v>45387.0</v>
      </c>
      <c r="J245" s="88" t="s">
        <v>510</v>
      </c>
      <c r="K245" s="26" t="s">
        <v>440</v>
      </c>
      <c r="L245" s="32" t="s">
        <v>75</v>
      </c>
      <c r="M245" s="33">
        <v>41365.43</v>
      </c>
      <c r="N245" s="34">
        <v>44000.0</v>
      </c>
      <c r="O245" s="27" t="s">
        <v>76</v>
      </c>
      <c r="P245" s="35" t="s">
        <v>89</v>
      </c>
      <c r="Q245" s="35">
        <v>0.0</v>
      </c>
      <c r="R245" s="36">
        <v>45041.0</v>
      </c>
      <c r="S245" s="35" t="s">
        <v>78</v>
      </c>
      <c r="T245" s="54" t="s">
        <v>510</v>
      </c>
      <c r="U245" s="37" t="s">
        <v>68</v>
      </c>
      <c r="V245" s="38">
        <v>2200000.0</v>
      </c>
      <c r="W245" s="38"/>
      <c r="X245" s="27"/>
      <c r="Y245" s="39"/>
      <c r="Z245" s="39" t="s">
        <v>909</v>
      </c>
      <c r="AA245" s="39"/>
      <c r="AB245" s="40"/>
      <c r="AC245" s="27">
        <f t="shared" si="123"/>
        <v>0</v>
      </c>
      <c r="AD245" s="41"/>
      <c r="AE245" s="42"/>
      <c r="AF245" s="27"/>
      <c r="AG245" s="43">
        <f t="shared" si="159"/>
        <v>11714.48295</v>
      </c>
      <c r="AH245" s="29" t="s">
        <v>306</v>
      </c>
      <c r="AI245" s="29" t="s">
        <v>721</v>
      </c>
      <c r="AJ245" s="40">
        <v>0.2981</v>
      </c>
      <c r="AK245" s="29" t="s">
        <v>306</v>
      </c>
      <c r="AL245" s="90"/>
      <c r="AM245" s="44"/>
      <c r="AN245" s="104"/>
      <c r="AO245" s="95">
        <f t="shared" si="160"/>
        <v>9556.551879</v>
      </c>
      <c r="AP245" s="47" t="s">
        <v>905</v>
      </c>
      <c r="AQ245" s="43">
        <f t="shared" si="158"/>
        <v>11582.3204</v>
      </c>
      <c r="AR245" s="43">
        <f t="shared" si="2"/>
        <v>579.11602</v>
      </c>
      <c r="AS245" s="43">
        <f t="shared" si="3"/>
        <v>2026.90607</v>
      </c>
      <c r="AT245" s="48">
        <f t="shared" si="4"/>
        <v>8976.29831</v>
      </c>
      <c r="AU245" s="49">
        <f t="shared" si="138"/>
        <v>8976.29831</v>
      </c>
      <c r="AV245" s="48"/>
      <c r="AW245" s="34">
        <f t="shared" si="5"/>
        <v>44000</v>
      </c>
      <c r="AX245" s="50">
        <f t="shared" si="6"/>
        <v>131.0249995</v>
      </c>
      <c r="AY245" s="43"/>
      <c r="AZ245" s="43">
        <f t="shared" si="161"/>
        <v>827.3086</v>
      </c>
      <c r="BA245" s="48" t="str">
        <f t="shared" si="162"/>
        <v>#REF!</v>
      </c>
      <c r="BB245" s="27"/>
      <c r="BC245" s="27"/>
      <c r="BD245" s="51"/>
      <c r="BE245" s="52"/>
      <c r="BF245" s="27" t="s">
        <v>907</v>
      </c>
      <c r="BG245" s="53">
        <v>0.0</v>
      </c>
      <c r="BH245" s="53" t="str">
        <f t="shared" si="163"/>
        <v>#REF!</v>
      </c>
      <c r="BI245" s="27"/>
      <c r="BJ245" s="27"/>
      <c r="BK245" s="27" t="s">
        <v>76</v>
      </c>
      <c r="BL245" s="64" t="s">
        <v>906</v>
      </c>
    </row>
    <row r="246" ht="14.25" customHeight="1">
      <c r="A246" s="26" t="s">
        <v>55</v>
      </c>
      <c r="B246" s="26" t="s">
        <v>56</v>
      </c>
      <c r="C246" s="26" t="s">
        <v>57</v>
      </c>
      <c r="D246" s="26" t="s">
        <v>58</v>
      </c>
      <c r="E246" s="27" t="s">
        <v>910</v>
      </c>
      <c r="F246" s="28" t="s">
        <v>911</v>
      </c>
      <c r="G246" s="29">
        <v>45022.0</v>
      </c>
      <c r="H246" s="30">
        <v>45022.0</v>
      </c>
      <c r="I246" s="30">
        <v>45387.0</v>
      </c>
      <c r="J246" s="31">
        <v>0.0</v>
      </c>
      <c r="K246" s="26" t="s">
        <v>440</v>
      </c>
      <c r="L246" s="32" t="s">
        <v>63</v>
      </c>
      <c r="M246" s="33">
        <v>0.0</v>
      </c>
      <c r="N246" s="34">
        <v>0.0</v>
      </c>
      <c r="O246" s="27" t="s">
        <v>64</v>
      </c>
      <c r="P246" s="35">
        <v>0.0</v>
      </c>
      <c r="Q246" s="35">
        <v>0.0</v>
      </c>
      <c r="R246" s="36">
        <v>45022.0</v>
      </c>
      <c r="S246" s="35" t="s">
        <v>86</v>
      </c>
      <c r="T246" s="35">
        <v>0.0</v>
      </c>
      <c r="U246" s="37">
        <v>0.0</v>
      </c>
      <c r="V246" s="38"/>
      <c r="W246" s="38"/>
      <c r="X246" s="27"/>
      <c r="Y246" s="39"/>
      <c r="Z246" s="39"/>
      <c r="AA246" s="39"/>
      <c r="AB246" s="27"/>
      <c r="AC246" s="27">
        <f t="shared" si="123"/>
        <v>0</v>
      </c>
      <c r="AD246" s="41">
        <f>IF(AND(S246="0",O246="Paid"),(M246*15%)-AC246,0)</f>
        <v>0</v>
      </c>
      <c r="AE246" s="42"/>
      <c r="AF246" s="27"/>
      <c r="AG246" s="43">
        <f t="shared" ref="AG246:AG248" si="164">IF(O246="Paid",IF(A246="Alwataniya",(M246*21%)-((M246*21%)*5%),IF((A246="GIG"),(M246*25%)-((M246*25%)*5%),IF((A246="Allianz"),(M246*27%)-((M246*27%)*5%),0))),0)</f>
        <v>0</v>
      </c>
      <c r="AH246" s="29"/>
      <c r="AI246" s="29"/>
      <c r="AJ246" s="29"/>
      <c r="AK246" s="29"/>
      <c r="AL246" s="27"/>
      <c r="AM246" s="44"/>
      <c r="AN246" s="68"/>
      <c r="AO246" s="46"/>
      <c r="AP246" s="47"/>
      <c r="AQ246" s="43" t="b">
        <f>IF(O246="Paid",IF(U246="Motor Plus",(M246*27%),IF(U246="Motor One",(M246*22%),(IF(U246="Golden",(M246*25%),(IF(U246="Classic",(M246*15%),(IF(U246="Wethaq",(M246*28%),IF(U246="Alwataniya",(M246*21%))*0)))))))))</f>
        <v>0</v>
      </c>
      <c r="AR246" s="43">
        <f t="shared" si="2"/>
        <v>0</v>
      </c>
      <c r="AS246" s="43">
        <f t="shared" si="3"/>
        <v>0</v>
      </c>
      <c r="AT246" s="48">
        <f t="shared" si="4"/>
        <v>0</v>
      </c>
      <c r="AU246" s="49">
        <f>AQ246-AR246-AS246-AC246-AO246</f>
        <v>0</v>
      </c>
      <c r="AV246" s="48"/>
      <c r="AW246" s="34">
        <f t="shared" si="5"/>
        <v>0</v>
      </c>
      <c r="AX246" s="50">
        <f t="shared" si="6"/>
        <v>0</v>
      </c>
      <c r="AY246" s="43"/>
      <c r="AZ246" s="47"/>
      <c r="BA246" s="48">
        <f t="shared" ref="BA246:BA288" si="165">IF(S246&lt;&gt;0,AU246-AO246-AM246,(AG246-AD246-AE246-AS246))</f>
        <v>0</v>
      </c>
      <c r="BB246" s="27"/>
      <c r="BC246" s="27"/>
      <c r="BD246" s="51"/>
      <c r="BE246" s="52"/>
      <c r="BF246" s="27" t="s">
        <v>910</v>
      </c>
      <c r="BG246" s="53">
        <v>0.0</v>
      </c>
      <c r="BH246" s="53" t="str">
        <f>'[1]2023'!Q1146</f>
        <v>#REF!</v>
      </c>
      <c r="BI246" s="27"/>
      <c r="BJ246" s="27"/>
      <c r="BK246" s="27" t="s">
        <v>64</v>
      </c>
      <c r="BL246" s="27"/>
    </row>
    <row r="247" ht="14.25" customHeight="1">
      <c r="A247" s="26" t="s">
        <v>55</v>
      </c>
      <c r="B247" s="26" t="s">
        <v>56</v>
      </c>
      <c r="C247" s="26" t="s">
        <v>57</v>
      </c>
      <c r="D247" s="26" t="s">
        <v>81</v>
      </c>
      <c r="E247" s="27" t="s">
        <v>912</v>
      </c>
      <c r="F247" s="28" t="s">
        <v>913</v>
      </c>
      <c r="G247" s="29">
        <v>45023.0</v>
      </c>
      <c r="H247" s="30">
        <v>45023.0</v>
      </c>
      <c r="I247" s="30">
        <v>45388.0</v>
      </c>
      <c r="J247" s="31">
        <v>0.0</v>
      </c>
      <c r="K247" s="26" t="s">
        <v>887</v>
      </c>
      <c r="L247" s="32" t="s">
        <v>75</v>
      </c>
      <c r="M247" s="33">
        <v>25524.0</v>
      </c>
      <c r="N247" s="34">
        <v>27169.91</v>
      </c>
      <c r="O247" s="27" t="s">
        <v>76</v>
      </c>
      <c r="P247" s="35" t="s">
        <v>122</v>
      </c>
      <c r="Q247" s="35" t="s">
        <v>85</v>
      </c>
      <c r="R247" s="36">
        <v>45023.0</v>
      </c>
      <c r="S247" s="35" t="s">
        <v>86</v>
      </c>
      <c r="T247" s="35">
        <v>0.0</v>
      </c>
      <c r="U247" s="37" t="s">
        <v>67</v>
      </c>
      <c r="V247" s="38"/>
      <c r="W247" s="38"/>
      <c r="X247" s="27"/>
      <c r="Y247" s="39"/>
      <c r="Z247" s="39"/>
      <c r="AA247" s="39"/>
      <c r="AB247" s="40"/>
      <c r="AC247" s="27">
        <f t="shared" si="123"/>
        <v>0</v>
      </c>
      <c r="AD247" s="41">
        <f>IF(AND(S247="0",O247="Paid"),M247*15%,0)</f>
        <v>3828.6</v>
      </c>
      <c r="AE247" s="42"/>
      <c r="AF247" s="29">
        <v>45115.0</v>
      </c>
      <c r="AG247" s="43">
        <f t="shared" si="164"/>
        <v>6546.906</v>
      </c>
      <c r="AH247" s="29"/>
      <c r="AI247" s="29"/>
      <c r="AJ247" s="29"/>
      <c r="AK247" s="29"/>
      <c r="AL247" s="27"/>
      <c r="AM247" s="44"/>
      <c r="AN247" s="45"/>
      <c r="AO247" s="46">
        <f>IF(T247&lt;&gt;0,M247*15%,0)</f>
        <v>0</v>
      </c>
      <c r="AP247" s="47"/>
      <c r="AQ247" s="43">
        <f t="shared" ref="AQ247:AQ248" si="166">IF(U247="Motor Plus",(M247*27%),IF(U247="Motor One",(M247*22%),(IF(U247="Golden",(M247*25%),(IF(U247="Classic",(M247*15%),(IF(U247="Wethaq",(M247*28%),IF(U247="Alwataniya",(M247*21%))*0))))))))</f>
        <v>6891.48</v>
      </c>
      <c r="AR247" s="43">
        <f t="shared" si="2"/>
        <v>344.574</v>
      </c>
      <c r="AS247" s="43">
        <f t="shared" si="3"/>
        <v>1206.009</v>
      </c>
      <c r="AT247" s="48">
        <f t="shared" si="4"/>
        <v>5340.897</v>
      </c>
      <c r="AU247" s="49">
        <f t="shared" ref="AU247:AU250" si="167">AQ247-AR247-AS247-AC247</f>
        <v>5340.897</v>
      </c>
      <c r="AV247" s="48"/>
      <c r="AW247" s="34">
        <f t="shared" si="5"/>
        <v>23341.31</v>
      </c>
      <c r="AX247" s="50">
        <f t="shared" si="6"/>
        <v>1512.297</v>
      </c>
      <c r="AY247" s="43">
        <f>IF(T247&lt;&gt;0,(AU247-AO247),0)*30%</f>
        <v>0</v>
      </c>
      <c r="AZ247" s="43"/>
      <c r="BA247" s="48">
        <f t="shared" si="165"/>
        <v>5340.897</v>
      </c>
      <c r="BB247" s="27"/>
      <c r="BC247" s="27"/>
      <c r="BD247" s="51"/>
      <c r="BE247" s="52"/>
      <c r="BF247" s="27" t="s">
        <v>912</v>
      </c>
      <c r="BG247" s="58" t="s">
        <v>562</v>
      </c>
      <c r="BH247" s="53" t="str">
        <f>'[1]2023'!Q805</f>
        <v>#REF!</v>
      </c>
      <c r="BI247" s="27"/>
      <c r="BJ247" s="27"/>
      <c r="BK247" s="27" t="s">
        <v>76</v>
      </c>
      <c r="BL247" s="27"/>
    </row>
    <row r="248" ht="14.25" customHeight="1">
      <c r="A248" s="26" t="s">
        <v>55</v>
      </c>
      <c r="B248" s="26" t="s">
        <v>56</v>
      </c>
      <c r="C248" s="26" t="s">
        <v>57</v>
      </c>
      <c r="D248" s="26" t="s">
        <v>81</v>
      </c>
      <c r="E248" s="27" t="s">
        <v>914</v>
      </c>
      <c r="F248" s="28" t="s">
        <v>915</v>
      </c>
      <c r="G248" s="29">
        <v>45023.0</v>
      </c>
      <c r="H248" s="30">
        <v>45023.0</v>
      </c>
      <c r="I248" s="30">
        <v>45388.0</v>
      </c>
      <c r="J248" s="31">
        <v>0.0</v>
      </c>
      <c r="K248" s="26" t="s">
        <v>887</v>
      </c>
      <c r="L248" s="32" t="s">
        <v>75</v>
      </c>
      <c r="M248" s="33">
        <v>45500.0</v>
      </c>
      <c r="N248" s="34">
        <v>48325.5</v>
      </c>
      <c r="O248" s="27" t="s">
        <v>76</v>
      </c>
      <c r="P248" s="35" t="s">
        <v>430</v>
      </c>
      <c r="Q248" s="35">
        <v>0.0</v>
      </c>
      <c r="R248" s="36">
        <v>45023.0</v>
      </c>
      <c r="S248" s="35" t="s">
        <v>86</v>
      </c>
      <c r="T248" s="35">
        <v>0.0</v>
      </c>
      <c r="U248" s="37" t="s">
        <v>67</v>
      </c>
      <c r="V248" s="38"/>
      <c r="W248" s="38"/>
      <c r="X248" s="27"/>
      <c r="Y248" s="39"/>
      <c r="Z248" s="39"/>
      <c r="AA248" s="39"/>
      <c r="AB248" s="40"/>
      <c r="AC248" s="27">
        <f t="shared" si="123"/>
        <v>0</v>
      </c>
      <c r="AD248" s="41">
        <f t="shared" ref="AD248:AD256" si="168">IF(AND(S248="0",O248="Paid"),(M248*15%)-AC248,0)</f>
        <v>6825</v>
      </c>
      <c r="AE248" s="42"/>
      <c r="AF248" s="27"/>
      <c r="AG248" s="43">
        <f t="shared" si="164"/>
        <v>11670.75</v>
      </c>
      <c r="AH248" s="29"/>
      <c r="AI248" s="29"/>
      <c r="AJ248" s="29"/>
      <c r="AK248" s="29"/>
      <c r="AL248" s="27"/>
      <c r="AM248" s="44"/>
      <c r="AN248" s="68"/>
      <c r="AO248" s="46"/>
      <c r="AP248" s="47"/>
      <c r="AQ248" s="43">
        <f t="shared" si="166"/>
        <v>12285</v>
      </c>
      <c r="AR248" s="43">
        <f t="shared" si="2"/>
        <v>614.25</v>
      </c>
      <c r="AS248" s="43">
        <f t="shared" si="3"/>
        <v>2149.875</v>
      </c>
      <c r="AT248" s="48">
        <f t="shared" si="4"/>
        <v>9520.875</v>
      </c>
      <c r="AU248" s="49">
        <f t="shared" si="167"/>
        <v>9520.875</v>
      </c>
      <c r="AV248" s="48"/>
      <c r="AW248" s="34">
        <f t="shared" si="5"/>
        <v>41500.5</v>
      </c>
      <c r="AX248" s="50">
        <f t="shared" si="6"/>
        <v>2695.875</v>
      </c>
      <c r="AY248" s="43"/>
      <c r="AZ248" s="43"/>
      <c r="BA248" s="48">
        <f t="shared" si="165"/>
        <v>9520.875</v>
      </c>
      <c r="BB248" s="27"/>
      <c r="BC248" s="27"/>
      <c r="BD248" s="51"/>
      <c r="BE248" s="52"/>
      <c r="BF248" s="27" t="s">
        <v>914</v>
      </c>
      <c r="BG248" s="53">
        <v>0.0</v>
      </c>
      <c r="BH248" s="53" t="str">
        <f>'[1]2023'!Q909</f>
        <v>#REF!</v>
      </c>
      <c r="BI248" s="27"/>
      <c r="BJ248" s="27"/>
      <c r="BK248" s="27" t="s">
        <v>76</v>
      </c>
      <c r="BL248" s="27"/>
    </row>
    <row r="249" ht="14.25" customHeight="1">
      <c r="A249" s="26" t="s">
        <v>111</v>
      </c>
      <c r="B249" s="26" t="s">
        <v>56</v>
      </c>
      <c r="C249" s="26" t="s">
        <v>57</v>
      </c>
      <c r="D249" s="26" t="s">
        <v>71</v>
      </c>
      <c r="E249" s="27" t="s">
        <v>916</v>
      </c>
      <c r="F249" s="28" t="s">
        <v>917</v>
      </c>
      <c r="G249" s="29">
        <v>45023.0</v>
      </c>
      <c r="H249" s="30">
        <v>45023.0</v>
      </c>
      <c r="I249" s="30">
        <v>45388.0</v>
      </c>
      <c r="J249" s="31" t="s">
        <v>918</v>
      </c>
      <c r="K249" s="26" t="s">
        <v>887</v>
      </c>
      <c r="L249" s="32" t="s">
        <v>63</v>
      </c>
      <c r="M249" s="33">
        <v>24195.68</v>
      </c>
      <c r="N249" s="34">
        <v>26000.0</v>
      </c>
      <c r="O249" s="27" t="s">
        <v>64</v>
      </c>
      <c r="P249" s="35">
        <v>0.0</v>
      </c>
      <c r="Q249" s="35" t="s">
        <v>114</v>
      </c>
      <c r="R249" s="36">
        <v>45032.0</v>
      </c>
      <c r="S249" s="35" t="s">
        <v>848</v>
      </c>
      <c r="T249" s="35">
        <v>0.0</v>
      </c>
      <c r="U249" s="37" t="s">
        <v>115</v>
      </c>
      <c r="V249" s="38">
        <v>1000000.0</v>
      </c>
      <c r="W249" s="38"/>
      <c r="X249" s="27"/>
      <c r="Y249" s="39"/>
      <c r="Z249" s="79" t="s">
        <v>919</v>
      </c>
      <c r="AA249" s="39"/>
      <c r="AB249" s="40"/>
      <c r="AC249" s="27">
        <f t="shared" si="123"/>
        <v>0</v>
      </c>
      <c r="AD249" s="41">
        <f t="shared" si="168"/>
        <v>0</v>
      </c>
      <c r="AE249" s="42"/>
      <c r="AF249" s="27"/>
      <c r="AG249" s="43">
        <f t="shared" ref="AG249:AG250" si="169">IF(O249="Paid",IF(A249="Alwataniya",(M249*21%)-((M249*21%)*5%),IF((A249="GIG"),(M249*25%)-((M249*25%)*5%),IF((A249="Allianz"),(M249*27%)-((M249*27%)*20%),0))),0)</f>
        <v>0</v>
      </c>
      <c r="AH249" s="29"/>
      <c r="AI249" s="29"/>
      <c r="AJ249" s="29"/>
      <c r="AK249" s="29"/>
      <c r="AL249" s="27"/>
      <c r="AM249" s="44"/>
      <c r="AN249" s="68"/>
      <c r="AO249" s="46"/>
      <c r="AP249" s="47"/>
      <c r="AQ249" s="43" t="b">
        <f>IF(O249="Paid",IF(U249="Motor Plus",(M249*27%),IF(U249="Motor One",(M249*22%),(IF(U249="Golden",(M249*25%),(IF(U249="Classic",(M249*15%),(IF(U249="Wethaq",(M249*28%),IF(U249="Alwataniya",(M249*21%))*0)))))))))</f>
        <v>0</v>
      </c>
      <c r="AR249" s="43">
        <f t="shared" si="2"/>
        <v>0</v>
      </c>
      <c r="AS249" s="43">
        <f t="shared" si="3"/>
        <v>0</v>
      </c>
      <c r="AT249" s="48">
        <f t="shared" si="4"/>
        <v>0</v>
      </c>
      <c r="AU249" s="49">
        <f t="shared" si="167"/>
        <v>0</v>
      </c>
      <c r="AV249" s="48"/>
      <c r="AW249" s="34">
        <f t="shared" si="5"/>
        <v>26000</v>
      </c>
      <c r="AX249" s="50">
        <f t="shared" si="6"/>
        <v>0</v>
      </c>
      <c r="AY249" s="43"/>
      <c r="AZ249" s="43"/>
      <c r="BA249" s="48">
        <f t="shared" si="165"/>
        <v>0</v>
      </c>
      <c r="BB249" s="27"/>
      <c r="BC249" s="27"/>
      <c r="BD249" s="51"/>
      <c r="BE249" s="52"/>
      <c r="BF249" s="27" t="s">
        <v>916</v>
      </c>
      <c r="BG249" s="53">
        <v>0.0</v>
      </c>
      <c r="BH249" s="53" t="str">
        <f>'[1]2023'!Q940</f>
        <v>#REF!</v>
      </c>
      <c r="BI249" s="27"/>
      <c r="BJ249" s="27"/>
      <c r="BK249" s="27" t="s">
        <v>64</v>
      </c>
      <c r="BL249" s="27"/>
    </row>
    <row r="250" ht="14.25" customHeight="1">
      <c r="A250" s="26" t="s">
        <v>111</v>
      </c>
      <c r="B250" s="26" t="s">
        <v>56</v>
      </c>
      <c r="C250" s="26" t="s">
        <v>57</v>
      </c>
      <c r="D250" s="26" t="s">
        <v>71</v>
      </c>
      <c r="E250" s="27" t="s">
        <v>920</v>
      </c>
      <c r="F250" s="28" t="s">
        <v>921</v>
      </c>
      <c r="G250" s="29">
        <v>45023.0</v>
      </c>
      <c r="H250" s="30">
        <v>45023.0</v>
      </c>
      <c r="I250" s="30">
        <v>45388.0</v>
      </c>
      <c r="J250" s="31">
        <v>0.0</v>
      </c>
      <c r="K250" s="26" t="s">
        <v>887</v>
      </c>
      <c r="L250" s="69">
        <v>45267.0</v>
      </c>
      <c r="M250" s="33">
        <v>36413.72</v>
      </c>
      <c r="N250" s="34">
        <v>39000.0</v>
      </c>
      <c r="O250" s="27" t="s">
        <v>76</v>
      </c>
      <c r="P250" s="35" t="s">
        <v>142</v>
      </c>
      <c r="Q250" s="35" t="s">
        <v>108</v>
      </c>
      <c r="R250" s="36">
        <v>45032.0</v>
      </c>
      <c r="S250" s="35" t="s">
        <v>86</v>
      </c>
      <c r="T250" s="35">
        <v>0.0</v>
      </c>
      <c r="U250" s="37" t="s">
        <v>115</v>
      </c>
      <c r="V250" s="38">
        <v>1500000.0</v>
      </c>
      <c r="W250" s="38"/>
      <c r="X250" s="27"/>
      <c r="Y250" s="39"/>
      <c r="Z250" s="39"/>
      <c r="AA250" s="39"/>
      <c r="AB250" s="40"/>
      <c r="AC250" s="27">
        <f t="shared" si="123"/>
        <v>0</v>
      </c>
      <c r="AD250" s="41">
        <f t="shared" si="168"/>
        <v>5462.058</v>
      </c>
      <c r="AE250" s="42">
        <v>750.0</v>
      </c>
      <c r="AF250" s="29">
        <v>45206.0</v>
      </c>
      <c r="AG250" s="43">
        <f t="shared" si="169"/>
        <v>8648.2585</v>
      </c>
      <c r="AH250" s="29">
        <v>45267.0</v>
      </c>
      <c r="AI250" s="29">
        <v>45177.0</v>
      </c>
      <c r="AJ250" s="29"/>
      <c r="AK250" s="29" t="s">
        <v>922</v>
      </c>
      <c r="AL250" s="27"/>
      <c r="AM250" s="44"/>
      <c r="AN250" s="68"/>
      <c r="AO250" s="46">
        <f>IF(T250&lt;&gt;0,M250*15%,0)</f>
        <v>0</v>
      </c>
      <c r="AP250" s="47"/>
      <c r="AQ250" s="43">
        <f t="shared" ref="AQ250:AQ255" si="170">IF(U250="Motor Plus",(M250*27%),IF(U250="Motor One",(M250*22%),(IF(U250="Golden",(M250*25%),(IF(U250="Classic",(M250*15%),(IF(U250="Wethaq",(M250*28%),IF(U250="Alwataniya",(M250*21%))*0))))))))</f>
        <v>9103.43</v>
      </c>
      <c r="AR250" s="43">
        <f t="shared" si="2"/>
        <v>455.1715</v>
      </c>
      <c r="AS250" s="43">
        <f t="shared" si="3"/>
        <v>1593.10025</v>
      </c>
      <c r="AT250" s="48">
        <f t="shared" si="4"/>
        <v>7055.15825</v>
      </c>
      <c r="AU250" s="49">
        <f t="shared" si="167"/>
        <v>7055.15825</v>
      </c>
      <c r="AV250" s="48"/>
      <c r="AW250" s="34">
        <f t="shared" si="5"/>
        <v>32787.942</v>
      </c>
      <c r="AX250" s="50">
        <f t="shared" si="6"/>
        <v>843.10025</v>
      </c>
      <c r="AY250" s="43">
        <f>IF(T250&lt;&gt;0,(AU250-AO250),0)*30%</f>
        <v>0</v>
      </c>
      <c r="AZ250" s="43"/>
      <c r="BA250" s="48">
        <f t="shared" si="165"/>
        <v>7055.15825</v>
      </c>
      <c r="BB250" s="27"/>
      <c r="BC250" s="27"/>
      <c r="BD250" s="51"/>
      <c r="BE250" s="52"/>
      <c r="BF250" s="27" t="s">
        <v>920</v>
      </c>
      <c r="BG250" s="58" t="s">
        <v>923</v>
      </c>
      <c r="BH250" s="53" t="str">
        <f>'[1]2023'!Q942</f>
        <v>#REF!</v>
      </c>
      <c r="BI250" s="27"/>
      <c r="BJ250" s="27"/>
      <c r="BK250" s="27" t="s">
        <v>76</v>
      </c>
      <c r="BL250" s="27"/>
    </row>
    <row r="251" ht="14.25" customHeight="1">
      <c r="A251" s="26" t="s">
        <v>55</v>
      </c>
      <c r="B251" s="26" t="s">
        <v>56</v>
      </c>
      <c r="C251" s="26" t="s">
        <v>57</v>
      </c>
      <c r="D251" s="26" t="s">
        <v>81</v>
      </c>
      <c r="E251" s="27" t="s">
        <v>924</v>
      </c>
      <c r="F251" s="28" t="s">
        <v>925</v>
      </c>
      <c r="G251" s="29">
        <v>45024.0</v>
      </c>
      <c r="H251" s="30">
        <v>45024.0</v>
      </c>
      <c r="I251" s="30">
        <v>45389.0</v>
      </c>
      <c r="J251" s="31">
        <v>0.0</v>
      </c>
      <c r="K251" s="26" t="s">
        <v>455</v>
      </c>
      <c r="L251" s="32" t="s">
        <v>926</v>
      </c>
      <c r="M251" s="33">
        <v>30827.5</v>
      </c>
      <c r="N251" s="34">
        <v>32787.34</v>
      </c>
      <c r="O251" s="27" t="s">
        <v>76</v>
      </c>
      <c r="P251" s="35" t="s">
        <v>142</v>
      </c>
      <c r="Q251" s="35" t="s">
        <v>90</v>
      </c>
      <c r="R251" s="36">
        <v>45024.0</v>
      </c>
      <c r="S251" s="35" t="s">
        <v>86</v>
      </c>
      <c r="T251" s="35">
        <v>0.0</v>
      </c>
      <c r="U251" s="37" t="s">
        <v>67</v>
      </c>
      <c r="V251" s="38"/>
      <c r="W251" s="38"/>
      <c r="X251" s="27"/>
      <c r="Y251" s="39"/>
      <c r="Z251" s="79" t="s">
        <v>232</v>
      </c>
      <c r="AA251" s="39"/>
      <c r="AB251" s="27"/>
      <c r="AC251" s="27">
        <f t="shared" si="123"/>
        <v>0</v>
      </c>
      <c r="AD251" s="41">
        <f t="shared" si="168"/>
        <v>4624.125</v>
      </c>
      <c r="AE251" s="42"/>
      <c r="AF251" s="29">
        <v>44967.0</v>
      </c>
      <c r="AG251" s="43">
        <f t="shared" ref="AG251:AG253" si="171">IF(O251="Paid",IF(A251="Alwataniya",(M251*21%)-((M251*21%)*5%),IF((A251="GIG"),(M251*25%)-((M251*25%)*5%),IF((A251="Allianz"),(M251*27%)-((M251*27%)*5%),0))),0)</f>
        <v>7907.25375</v>
      </c>
      <c r="AH251" s="29"/>
      <c r="AI251" s="29"/>
      <c r="AJ251" s="29"/>
      <c r="AK251" s="29"/>
      <c r="AL251" s="27"/>
      <c r="AM251" s="27"/>
      <c r="AN251" s="47"/>
      <c r="AO251" s="46"/>
      <c r="AP251" s="47"/>
      <c r="AQ251" s="43">
        <f t="shared" si="170"/>
        <v>8323.425</v>
      </c>
      <c r="AR251" s="43">
        <f t="shared" si="2"/>
        <v>416.17125</v>
      </c>
      <c r="AS251" s="43">
        <f t="shared" si="3"/>
        <v>1456.599375</v>
      </c>
      <c r="AT251" s="48">
        <f t="shared" si="4"/>
        <v>6450.654375</v>
      </c>
      <c r="AU251" s="49">
        <f t="shared" ref="AU251:AU255" si="172">AQ251-AR251-AS251-AC251-AO251</f>
        <v>6450.654375</v>
      </c>
      <c r="AV251" s="48"/>
      <c r="AW251" s="34">
        <f t="shared" si="5"/>
        <v>28163.215</v>
      </c>
      <c r="AX251" s="50">
        <f t="shared" si="6"/>
        <v>1826.529375</v>
      </c>
      <c r="AY251" s="43"/>
      <c r="AZ251" s="47"/>
      <c r="BA251" s="48">
        <f t="shared" si="165"/>
        <v>6450.654375</v>
      </c>
      <c r="BB251" s="27"/>
      <c r="BC251" s="27"/>
      <c r="BD251" s="51"/>
      <c r="BE251" s="52"/>
      <c r="BF251" s="27" t="s">
        <v>924</v>
      </c>
      <c r="BG251" s="53">
        <v>0.0</v>
      </c>
      <c r="BH251" s="53" t="str">
        <f>'[1]2023'!Q1100</f>
        <v>#REF!</v>
      </c>
      <c r="BI251" s="27"/>
      <c r="BJ251" s="27"/>
      <c r="BK251" s="27" t="s">
        <v>76</v>
      </c>
      <c r="BL251" s="27"/>
    </row>
    <row r="252" ht="14.25" customHeight="1">
      <c r="A252" s="26" t="s">
        <v>55</v>
      </c>
      <c r="B252" s="26" t="s">
        <v>56</v>
      </c>
      <c r="C252" s="26" t="s">
        <v>57</v>
      </c>
      <c r="D252" s="26" t="s">
        <v>81</v>
      </c>
      <c r="E252" s="27" t="s">
        <v>927</v>
      </c>
      <c r="F252" s="28" t="s">
        <v>928</v>
      </c>
      <c r="G252" s="29">
        <v>45025.0</v>
      </c>
      <c r="H252" s="30">
        <v>45025.0</v>
      </c>
      <c r="I252" s="30">
        <v>45390.0</v>
      </c>
      <c r="J252" s="31">
        <v>0.0</v>
      </c>
      <c r="K252" s="26" t="s">
        <v>475</v>
      </c>
      <c r="L252" s="89">
        <v>45157.0</v>
      </c>
      <c r="M252" s="33">
        <v>10502.35</v>
      </c>
      <c r="N252" s="34">
        <v>11249.98</v>
      </c>
      <c r="O252" s="27" t="s">
        <v>76</v>
      </c>
      <c r="P252" s="35" t="s">
        <v>430</v>
      </c>
      <c r="Q252" s="35">
        <v>0.0</v>
      </c>
      <c r="R252" s="36">
        <v>45025.0</v>
      </c>
      <c r="S252" s="35" t="s">
        <v>86</v>
      </c>
      <c r="T252" s="35">
        <v>0.0</v>
      </c>
      <c r="U252" s="37" t="s">
        <v>67</v>
      </c>
      <c r="V252" s="38"/>
      <c r="W252" s="38"/>
      <c r="X252" s="27"/>
      <c r="Y252" s="39"/>
      <c r="Z252" s="39"/>
      <c r="AA252" s="39"/>
      <c r="AB252" s="27"/>
      <c r="AC252" s="27">
        <f t="shared" si="123"/>
        <v>0</v>
      </c>
      <c r="AD252" s="41">
        <f t="shared" si="168"/>
        <v>1575.3525</v>
      </c>
      <c r="AE252" s="42"/>
      <c r="AF252" s="27"/>
      <c r="AG252" s="43">
        <f t="shared" si="171"/>
        <v>2693.852775</v>
      </c>
      <c r="AH252" s="29"/>
      <c r="AI252" s="29"/>
      <c r="AJ252" s="29"/>
      <c r="AK252" s="75"/>
      <c r="AL252" s="27"/>
      <c r="AM252" s="44"/>
      <c r="AN252" s="68"/>
      <c r="AO252" s="46"/>
      <c r="AP252" s="47"/>
      <c r="AQ252" s="43">
        <f t="shared" si="170"/>
        <v>2835.6345</v>
      </c>
      <c r="AR252" s="43">
        <f t="shared" si="2"/>
        <v>141.781725</v>
      </c>
      <c r="AS252" s="43">
        <f t="shared" si="3"/>
        <v>496.2360375</v>
      </c>
      <c r="AT252" s="48">
        <f t="shared" si="4"/>
        <v>2197.616738</v>
      </c>
      <c r="AU252" s="49">
        <f t="shared" si="172"/>
        <v>2197.616738</v>
      </c>
      <c r="AV252" s="48"/>
      <c r="AW252" s="34">
        <f t="shared" si="5"/>
        <v>9674.6275</v>
      </c>
      <c r="AX252" s="50">
        <f t="shared" si="6"/>
        <v>622.2642375</v>
      </c>
      <c r="AY252" s="43"/>
      <c r="AZ252" s="47"/>
      <c r="BA252" s="48">
        <f t="shared" si="165"/>
        <v>2197.616738</v>
      </c>
      <c r="BB252" s="27"/>
      <c r="BC252" s="27"/>
      <c r="BD252" s="51"/>
      <c r="BE252" s="52"/>
      <c r="BF252" s="27" t="s">
        <v>927</v>
      </c>
      <c r="BG252" s="53">
        <v>0.0</v>
      </c>
      <c r="BH252" s="53" t="str">
        <f>'[1]2023'!Q1106</f>
        <v>#REF!</v>
      </c>
      <c r="BI252" s="27"/>
      <c r="BJ252" s="27"/>
      <c r="BK252" s="27" t="s">
        <v>76</v>
      </c>
      <c r="BL252" s="27"/>
    </row>
    <row r="253" ht="14.25" customHeight="1">
      <c r="A253" s="26" t="s">
        <v>55</v>
      </c>
      <c r="B253" s="26" t="s">
        <v>56</v>
      </c>
      <c r="C253" s="26" t="s">
        <v>57</v>
      </c>
      <c r="D253" s="26" t="s">
        <v>58</v>
      </c>
      <c r="E253" s="27" t="s">
        <v>929</v>
      </c>
      <c r="F253" s="28" t="s">
        <v>930</v>
      </c>
      <c r="G253" s="29">
        <v>45026.0</v>
      </c>
      <c r="H253" s="30">
        <v>45026.0</v>
      </c>
      <c r="I253" s="30">
        <v>45391.0</v>
      </c>
      <c r="J253" s="31">
        <v>0.0</v>
      </c>
      <c r="K253" s="26" t="s">
        <v>931</v>
      </c>
      <c r="L253" s="69">
        <v>45148.0</v>
      </c>
      <c r="M253" s="33">
        <v>7160.89</v>
      </c>
      <c r="N253" s="34">
        <v>7583.38</v>
      </c>
      <c r="O253" s="27" t="s">
        <v>76</v>
      </c>
      <c r="P253" s="35" t="s">
        <v>89</v>
      </c>
      <c r="Q253" s="35">
        <v>0.0</v>
      </c>
      <c r="R253" s="36">
        <v>45026.0</v>
      </c>
      <c r="S253" s="35" t="s">
        <v>86</v>
      </c>
      <c r="T253" s="35">
        <v>0.0</v>
      </c>
      <c r="U253" s="37" t="s">
        <v>67</v>
      </c>
      <c r="V253" s="38"/>
      <c r="W253" s="78"/>
      <c r="X253" s="27"/>
      <c r="Y253" s="39"/>
      <c r="Z253" s="39"/>
      <c r="AA253" s="39"/>
      <c r="AB253" s="27"/>
      <c r="AC253" s="27">
        <f t="shared" si="123"/>
        <v>0</v>
      </c>
      <c r="AD253" s="41">
        <f t="shared" si="168"/>
        <v>1074.1335</v>
      </c>
      <c r="AE253" s="42"/>
      <c r="AF253" s="27"/>
      <c r="AG253" s="43">
        <f t="shared" si="171"/>
        <v>1836.768285</v>
      </c>
      <c r="AH253" s="29"/>
      <c r="AI253" s="29"/>
      <c r="AJ253" s="29"/>
      <c r="AK253" s="29"/>
      <c r="AL253" s="27"/>
      <c r="AM253" s="44"/>
      <c r="AN253" s="68"/>
      <c r="AO253" s="46"/>
      <c r="AP253" s="47"/>
      <c r="AQ253" s="43">
        <f t="shared" si="170"/>
        <v>1933.4403</v>
      </c>
      <c r="AR253" s="43">
        <f t="shared" si="2"/>
        <v>96.672015</v>
      </c>
      <c r="AS253" s="43">
        <f t="shared" si="3"/>
        <v>338.3520525</v>
      </c>
      <c r="AT253" s="48">
        <f t="shared" si="4"/>
        <v>1498.416233</v>
      </c>
      <c r="AU253" s="49">
        <f t="shared" si="172"/>
        <v>1498.416233</v>
      </c>
      <c r="AV253" s="48"/>
      <c r="AW253" s="34">
        <f t="shared" si="5"/>
        <v>6509.2465</v>
      </c>
      <c r="AX253" s="50">
        <f t="shared" si="6"/>
        <v>424.2827325</v>
      </c>
      <c r="AY253" s="43"/>
      <c r="AZ253" s="47"/>
      <c r="BA253" s="48">
        <f t="shared" si="165"/>
        <v>1498.416233</v>
      </c>
      <c r="BB253" s="27"/>
      <c r="BC253" s="27"/>
      <c r="BD253" s="51"/>
      <c r="BE253" s="52"/>
      <c r="BF253" s="27"/>
      <c r="BG253" s="53">
        <v>0.0</v>
      </c>
      <c r="BH253" s="53" t="str">
        <f>'[1]2023'!Q1381</f>
        <v>#REF!</v>
      </c>
      <c r="BI253" s="27"/>
      <c r="BJ253" s="27"/>
      <c r="BK253" s="27" t="s">
        <v>76</v>
      </c>
      <c r="BL253" s="27"/>
    </row>
    <row r="254" ht="14.25" customHeight="1">
      <c r="A254" s="26" t="s">
        <v>111</v>
      </c>
      <c r="B254" s="26" t="s">
        <v>56</v>
      </c>
      <c r="C254" s="26" t="s">
        <v>57</v>
      </c>
      <c r="D254" s="26" t="s">
        <v>58</v>
      </c>
      <c r="E254" s="27" t="s">
        <v>932</v>
      </c>
      <c r="F254" s="28" t="s">
        <v>933</v>
      </c>
      <c r="G254" s="29">
        <v>45026.45763888889</v>
      </c>
      <c r="H254" s="30">
        <v>45026.45763888889</v>
      </c>
      <c r="I254" s="30">
        <v>45391.45763888889</v>
      </c>
      <c r="J254" s="31">
        <v>0.0</v>
      </c>
      <c r="K254" s="26" t="s">
        <v>420</v>
      </c>
      <c r="L254" s="32" t="s">
        <v>63</v>
      </c>
      <c r="M254" s="33">
        <v>0.0</v>
      </c>
      <c r="N254" s="116">
        <v>50.0</v>
      </c>
      <c r="O254" s="27" t="s">
        <v>76</v>
      </c>
      <c r="P254" s="35">
        <v>0.0</v>
      </c>
      <c r="Q254" s="35">
        <v>0.0</v>
      </c>
      <c r="R254" s="36">
        <v>90413.45694444445</v>
      </c>
      <c r="S254" s="35" t="s">
        <v>86</v>
      </c>
      <c r="T254" s="35">
        <v>0.0</v>
      </c>
      <c r="U254" s="37">
        <v>0.0</v>
      </c>
      <c r="V254" s="38"/>
      <c r="W254" s="78"/>
      <c r="X254" s="27"/>
      <c r="Y254" s="39"/>
      <c r="Z254" s="39"/>
      <c r="AA254" s="39"/>
      <c r="AB254" s="27"/>
      <c r="AC254" s="27">
        <f t="shared" si="123"/>
        <v>0</v>
      </c>
      <c r="AD254" s="41">
        <f t="shared" si="168"/>
        <v>0</v>
      </c>
      <c r="AE254" s="42"/>
      <c r="AF254" s="27"/>
      <c r="AG254" s="117" t="s">
        <v>63</v>
      </c>
      <c r="AH254" s="117" t="s">
        <v>63</v>
      </c>
      <c r="AI254" s="117" t="s">
        <v>63</v>
      </c>
      <c r="AJ254" s="29"/>
      <c r="AK254" s="29" t="s">
        <v>63</v>
      </c>
      <c r="AL254" s="27"/>
      <c r="AM254" s="44"/>
      <c r="AN254" s="68"/>
      <c r="AO254" s="46"/>
      <c r="AP254" s="47"/>
      <c r="AQ254" s="43">
        <f t="shared" si="170"/>
        <v>0</v>
      </c>
      <c r="AR254" s="43">
        <f t="shared" si="2"/>
        <v>0</v>
      </c>
      <c r="AS254" s="43">
        <f t="shared" si="3"/>
        <v>0</v>
      </c>
      <c r="AT254" s="48">
        <f t="shared" si="4"/>
        <v>0</v>
      </c>
      <c r="AU254" s="49">
        <f t="shared" si="172"/>
        <v>0</v>
      </c>
      <c r="AV254" s="48"/>
      <c r="AW254" s="34">
        <f t="shared" si="5"/>
        <v>50</v>
      </c>
      <c r="AX254" s="50"/>
      <c r="AY254" s="43"/>
      <c r="AZ254" s="47"/>
      <c r="BA254" s="48">
        <f t="shared" si="165"/>
        <v>0</v>
      </c>
      <c r="BB254" s="27"/>
      <c r="BC254" s="27"/>
      <c r="BD254" s="51"/>
      <c r="BE254" s="52"/>
      <c r="BF254" s="27"/>
      <c r="BG254" s="53">
        <v>0.0</v>
      </c>
      <c r="BH254" s="53" t="str">
        <f>'[1]2023'!Q1354</f>
        <v>#REF!</v>
      </c>
      <c r="BI254" s="27"/>
      <c r="BJ254" s="27"/>
      <c r="BK254" s="27" t="s">
        <v>76</v>
      </c>
      <c r="BL254" s="27"/>
    </row>
    <row r="255" ht="14.25" customHeight="1">
      <c r="A255" s="26" t="s">
        <v>111</v>
      </c>
      <c r="B255" s="26" t="s">
        <v>56</v>
      </c>
      <c r="C255" s="26" t="s">
        <v>57</v>
      </c>
      <c r="D255" s="26" t="s">
        <v>58</v>
      </c>
      <c r="E255" s="27" t="s">
        <v>934</v>
      </c>
      <c r="F255" s="28" t="s">
        <v>935</v>
      </c>
      <c r="G255" s="29">
        <v>45027.46388888889</v>
      </c>
      <c r="H255" s="30">
        <v>45027.46388888889</v>
      </c>
      <c r="I255" s="30">
        <v>45392.46388888889</v>
      </c>
      <c r="J255" s="31">
        <v>0.0</v>
      </c>
      <c r="K255" s="26" t="s">
        <v>420</v>
      </c>
      <c r="L255" s="32" t="s">
        <v>63</v>
      </c>
      <c r="M255" s="33">
        <v>0.0</v>
      </c>
      <c r="N255" s="116">
        <v>50.0</v>
      </c>
      <c r="O255" s="27" t="s">
        <v>76</v>
      </c>
      <c r="P255" s="35">
        <v>0.0</v>
      </c>
      <c r="Q255" s="35">
        <v>0.0</v>
      </c>
      <c r="R255" s="36">
        <v>90414.46319444444</v>
      </c>
      <c r="S255" s="35" t="s">
        <v>86</v>
      </c>
      <c r="T255" s="35">
        <v>0.0</v>
      </c>
      <c r="U255" s="37">
        <v>0.0</v>
      </c>
      <c r="V255" s="38"/>
      <c r="W255" s="78"/>
      <c r="X255" s="27"/>
      <c r="Y255" s="39"/>
      <c r="Z255" s="39"/>
      <c r="AA255" s="39"/>
      <c r="AB255" s="27"/>
      <c r="AC255" s="27">
        <f t="shared" si="123"/>
        <v>0</v>
      </c>
      <c r="AD255" s="41">
        <f t="shared" si="168"/>
        <v>0</v>
      </c>
      <c r="AE255" s="42"/>
      <c r="AF255" s="27"/>
      <c r="AG255" s="117" t="s">
        <v>63</v>
      </c>
      <c r="AH255" s="117" t="s">
        <v>63</v>
      </c>
      <c r="AI255" s="117" t="s">
        <v>63</v>
      </c>
      <c r="AJ255" s="29"/>
      <c r="AK255" s="29" t="s">
        <v>63</v>
      </c>
      <c r="AL255" s="27"/>
      <c r="AM255" s="27"/>
      <c r="AN255" s="47"/>
      <c r="AO255" s="46"/>
      <c r="AP255" s="47"/>
      <c r="AQ255" s="43">
        <f t="shared" si="170"/>
        <v>0</v>
      </c>
      <c r="AR255" s="43">
        <f t="shared" si="2"/>
        <v>0</v>
      </c>
      <c r="AS255" s="43">
        <f t="shared" si="3"/>
        <v>0</v>
      </c>
      <c r="AT255" s="48">
        <f t="shared" si="4"/>
        <v>0</v>
      </c>
      <c r="AU255" s="49">
        <f t="shared" si="172"/>
        <v>0</v>
      </c>
      <c r="AV255" s="48"/>
      <c r="AW255" s="34">
        <f t="shared" si="5"/>
        <v>50</v>
      </c>
      <c r="AX255" s="50"/>
      <c r="AY255" s="43"/>
      <c r="AZ255" s="47"/>
      <c r="BA255" s="48">
        <f t="shared" si="165"/>
        <v>0</v>
      </c>
      <c r="BB255" s="27"/>
      <c r="BC255" s="27"/>
      <c r="BD255" s="51"/>
      <c r="BE255" s="52"/>
      <c r="BF255" s="27"/>
      <c r="BG255" s="53">
        <v>0.0</v>
      </c>
      <c r="BH255" s="53" t="str">
        <f>'[1]2023'!Q1353</f>
        <v>#REF!</v>
      </c>
      <c r="BI255" s="27"/>
      <c r="BJ255" s="27"/>
      <c r="BK255" s="27" t="s">
        <v>76</v>
      </c>
      <c r="BL255" s="27"/>
    </row>
    <row r="256" ht="14.25" customHeight="1">
      <c r="A256" s="26" t="s">
        <v>55</v>
      </c>
      <c r="B256" s="26" t="s">
        <v>56</v>
      </c>
      <c r="C256" s="26" t="s">
        <v>57</v>
      </c>
      <c r="D256" s="26" t="s">
        <v>58</v>
      </c>
      <c r="E256" s="27" t="s">
        <v>936</v>
      </c>
      <c r="F256" s="26" t="s">
        <v>937</v>
      </c>
      <c r="G256" s="29">
        <v>45028.0</v>
      </c>
      <c r="H256" s="30">
        <v>45028.0</v>
      </c>
      <c r="I256" s="30">
        <v>45393.0</v>
      </c>
      <c r="J256" s="31">
        <v>0.0</v>
      </c>
      <c r="K256" s="26" t="s">
        <v>63</v>
      </c>
      <c r="L256" s="32" t="s">
        <v>63</v>
      </c>
      <c r="M256" s="33">
        <v>0.0</v>
      </c>
      <c r="N256" s="34">
        <v>0.0</v>
      </c>
      <c r="O256" s="27" t="s">
        <v>64</v>
      </c>
      <c r="P256" s="35">
        <v>0.0</v>
      </c>
      <c r="Q256" s="35" t="s">
        <v>90</v>
      </c>
      <c r="R256" s="36">
        <v>45028.0</v>
      </c>
      <c r="S256" s="35" t="s">
        <v>86</v>
      </c>
      <c r="T256" s="35">
        <v>0.0</v>
      </c>
      <c r="U256" s="37">
        <v>0.0</v>
      </c>
      <c r="V256" s="38"/>
      <c r="W256" s="38"/>
      <c r="X256" s="27"/>
      <c r="Y256" s="39"/>
      <c r="Z256" s="39"/>
      <c r="AA256" s="39"/>
      <c r="AB256" s="27"/>
      <c r="AC256" s="27">
        <f t="shared" si="123"/>
        <v>0</v>
      </c>
      <c r="AD256" s="41">
        <f t="shared" si="168"/>
        <v>0</v>
      </c>
      <c r="AE256" s="42"/>
      <c r="AF256" s="27"/>
      <c r="AG256" s="43">
        <f>IF(O256="Paid",IF(A256="Alwataniya",(M256*21%)-((M256*21%)*5%),IF((A256="GIG"),(M256*25%)-((M256*25%)*5%),IF((A256="Allianz"),(M256*27%)-((M256*27%)*20%),0))),0)</f>
        <v>0</v>
      </c>
      <c r="AH256" s="29"/>
      <c r="AI256" s="29"/>
      <c r="AJ256" s="29"/>
      <c r="AK256" s="29"/>
      <c r="AL256" s="27"/>
      <c r="AM256" s="44"/>
      <c r="AN256" s="68"/>
      <c r="AO256" s="46"/>
      <c r="AP256" s="47"/>
      <c r="AQ256" s="43" t="b">
        <f>IF(O256="Paid",IF(U256="Motor Plus",(M256*27%),IF(U256="Motor One",(M256*22%),(IF(U256="Golden",(M256*25%),(IF(U256="Classic",(M256*15%),(IF(U256="Wethaq",(M256*28%),IF(U256="Alwataniya",(M256*21%))*0)))))))))</f>
        <v>0</v>
      </c>
      <c r="AR256" s="43">
        <f t="shared" si="2"/>
        <v>0</v>
      </c>
      <c r="AS256" s="43">
        <f t="shared" si="3"/>
        <v>0</v>
      </c>
      <c r="AT256" s="48">
        <f t="shared" si="4"/>
        <v>0</v>
      </c>
      <c r="AU256" s="49">
        <f t="shared" ref="AU256:AU269" si="173">AQ256-AR256-AS256-AC256</f>
        <v>0</v>
      </c>
      <c r="AV256" s="48"/>
      <c r="AW256" s="34">
        <f t="shared" si="5"/>
        <v>0</v>
      </c>
      <c r="AX256" s="50">
        <f t="shared" ref="AX256:AX287" si="174">IF(O256="Paid",AG256-AS256-AM256-AO256-AD256-AE256-AV256-AL256,0)</f>
        <v>0</v>
      </c>
      <c r="AY256" s="43"/>
      <c r="AZ256" s="27"/>
      <c r="BA256" s="48">
        <f t="shared" si="165"/>
        <v>0</v>
      </c>
      <c r="BB256" s="27"/>
      <c r="BC256" s="27"/>
      <c r="BD256" s="51"/>
      <c r="BE256" s="52"/>
      <c r="BF256" s="27" t="s">
        <v>938</v>
      </c>
      <c r="BG256" s="53" t="s">
        <v>939</v>
      </c>
      <c r="BH256" s="53" t="str">
        <f>'[1]2023'!Q248</f>
        <v>#REF!</v>
      </c>
      <c r="BI256" s="27"/>
      <c r="BJ256" s="27"/>
      <c r="BK256" s="27" t="s">
        <v>64</v>
      </c>
      <c r="BL256" s="27"/>
    </row>
    <row r="257" ht="14.25" customHeight="1">
      <c r="A257" s="26" t="s">
        <v>55</v>
      </c>
      <c r="B257" s="26" t="s">
        <v>56</v>
      </c>
      <c r="C257" s="26" t="s">
        <v>57</v>
      </c>
      <c r="D257" s="26" t="s">
        <v>81</v>
      </c>
      <c r="E257" s="27" t="s">
        <v>940</v>
      </c>
      <c r="F257" s="28" t="s">
        <v>941</v>
      </c>
      <c r="G257" s="29" t="s">
        <v>942</v>
      </c>
      <c r="H257" s="30">
        <v>45029.0</v>
      </c>
      <c r="I257" s="30">
        <v>45394.0</v>
      </c>
      <c r="J257" s="31">
        <v>0.0</v>
      </c>
      <c r="K257" s="26" t="s">
        <v>420</v>
      </c>
      <c r="L257" s="32" t="s">
        <v>75</v>
      </c>
      <c r="M257" s="33">
        <v>31152.0</v>
      </c>
      <c r="N257" s="34">
        <v>33130.96</v>
      </c>
      <c r="O257" s="27" t="s">
        <v>76</v>
      </c>
      <c r="P257" s="35" t="s">
        <v>122</v>
      </c>
      <c r="Q257" s="35" t="s">
        <v>90</v>
      </c>
      <c r="R257" s="36" t="e">
        <v>#VALUE!</v>
      </c>
      <c r="S257" s="35" t="s">
        <v>86</v>
      </c>
      <c r="T257" s="35">
        <v>0.0</v>
      </c>
      <c r="U257" s="37" t="s">
        <v>67</v>
      </c>
      <c r="V257" s="38"/>
      <c r="W257" s="38"/>
      <c r="X257" s="27"/>
      <c r="Y257" s="39"/>
      <c r="Z257" s="39">
        <v>5008.0</v>
      </c>
      <c r="AA257" s="39"/>
      <c r="AB257" s="40"/>
      <c r="AC257" s="27">
        <f t="shared" si="123"/>
        <v>0</v>
      </c>
      <c r="AD257" s="41">
        <f t="shared" ref="AD257:AD259" si="175">IF(AND(S257="0",O257="Paid"),M257*15%,0)</f>
        <v>4672.8</v>
      </c>
      <c r="AE257" s="42"/>
      <c r="AF257" s="27"/>
      <c r="AG257" s="43">
        <f t="shared" ref="AG257:AG259" si="176">IF(O257="Paid",IF(A257="Alwataniya",(M257*21%)-((M257*21%)*5%),IF((A257="GIG"),(M257*25%)-((M257*25%)*5%),IF((A257="Allianz"),(M257*27%)-((M257*27%)*5%),0))),0)</f>
        <v>7990.488</v>
      </c>
      <c r="AH257" s="29"/>
      <c r="AI257" s="29"/>
      <c r="AJ257" s="29"/>
      <c r="AK257" s="29"/>
      <c r="AL257" s="27"/>
      <c r="AM257" s="44"/>
      <c r="AN257" s="68"/>
      <c r="AO257" s="46"/>
      <c r="AP257" s="47"/>
      <c r="AQ257" s="43">
        <f t="shared" ref="AQ257:AQ264" si="177">IF(U257="Motor Plus",(M257*27%),IF(U257="Motor One",(M257*22%),(IF(U257="Golden",(M257*25%),(IF(U257="Classic",(M257*15%),(IF(U257="Wethaq",(M257*28%),IF(U257="Alwataniya",(M257*21%))*0))))))))</f>
        <v>8411.04</v>
      </c>
      <c r="AR257" s="43">
        <f t="shared" si="2"/>
        <v>420.552</v>
      </c>
      <c r="AS257" s="43">
        <f t="shared" si="3"/>
        <v>1471.932</v>
      </c>
      <c r="AT257" s="48">
        <f t="shared" si="4"/>
        <v>6518.556</v>
      </c>
      <c r="AU257" s="49">
        <f t="shared" si="173"/>
        <v>6518.556</v>
      </c>
      <c r="AV257" s="48"/>
      <c r="AW257" s="34">
        <f t="shared" si="5"/>
        <v>28458.16</v>
      </c>
      <c r="AX257" s="50">
        <f t="shared" si="174"/>
        <v>1845.756</v>
      </c>
      <c r="AY257" s="43"/>
      <c r="AZ257" s="27"/>
      <c r="BA257" s="48">
        <f t="shared" si="165"/>
        <v>6518.556</v>
      </c>
      <c r="BB257" s="27"/>
      <c r="BC257" s="27"/>
      <c r="BD257" s="51"/>
      <c r="BE257" s="52"/>
      <c r="BF257" s="27" t="s">
        <v>940</v>
      </c>
      <c r="BG257" s="53">
        <v>0.0</v>
      </c>
      <c r="BH257" s="53" t="str">
        <f>'[1]2023'!Q435</f>
        <v>#REF!</v>
      </c>
      <c r="BI257" s="27"/>
      <c r="BJ257" s="27"/>
      <c r="BK257" s="27" t="s">
        <v>76</v>
      </c>
      <c r="BL257" s="27"/>
    </row>
    <row r="258" ht="14.25" customHeight="1">
      <c r="A258" s="26" t="s">
        <v>55</v>
      </c>
      <c r="B258" s="26" t="s">
        <v>56</v>
      </c>
      <c r="C258" s="26" t="s">
        <v>57</v>
      </c>
      <c r="D258" s="26" t="s">
        <v>81</v>
      </c>
      <c r="E258" s="27" t="s">
        <v>943</v>
      </c>
      <c r="F258" s="28" t="s">
        <v>944</v>
      </c>
      <c r="G258" s="29" t="s">
        <v>942</v>
      </c>
      <c r="H258" s="30">
        <v>45029.0</v>
      </c>
      <c r="I258" s="30">
        <v>45394.0</v>
      </c>
      <c r="J258" s="31">
        <v>0.0</v>
      </c>
      <c r="K258" s="26" t="s">
        <v>420</v>
      </c>
      <c r="L258" s="32" t="s">
        <v>75</v>
      </c>
      <c r="M258" s="33">
        <v>30680.0</v>
      </c>
      <c r="N258" s="34">
        <v>32631.12</v>
      </c>
      <c r="O258" s="27" t="s">
        <v>76</v>
      </c>
      <c r="P258" s="35" t="s">
        <v>122</v>
      </c>
      <c r="Q258" s="35" t="s">
        <v>90</v>
      </c>
      <c r="R258" s="36" t="e">
        <v>#VALUE!</v>
      </c>
      <c r="S258" s="35" t="s">
        <v>86</v>
      </c>
      <c r="T258" s="35">
        <v>0.0</v>
      </c>
      <c r="U258" s="37" t="s">
        <v>67</v>
      </c>
      <c r="V258" s="38"/>
      <c r="W258" s="38"/>
      <c r="X258" s="27"/>
      <c r="Y258" s="39"/>
      <c r="Z258" s="39">
        <v>5008.0</v>
      </c>
      <c r="AA258" s="39"/>
      <c r="AB258" s="40"/>
      <c r="AC258" s="27">
        <f t="shared" si="123"/>
        <v>0</v>
      </c>
      <c r="AD258" s="41">
        <f t="shared" si="175"/>
        <v>4602</v>
      </c>
      <c r="AE258" s="42"/>
      <c r="AF258" s="27"/>
      <c r="AG258" s="43">
        <f t="shared" si="176"/>
        <v>7869.42</v>
      </c>
      <c r="AH258" s="29"/>
      <c r="AI258" s="29"/>
      <c r="AJ258" s="29"/>
      <c r="AK258" s="75"/>
      <c r="AL258" s="27"/>
      <c r="AM258" s="44"/>
      <c r="AN258" s="115"/>
      <c r="AO258" s="46"/>
      <c r="AP258" s="47"/>
      <c r="AQ258" s="43">
        <f t="shared" si="177"/>
        <v>8283.6</v>
      </c>
      <c r="AR258" s="43">
        <f t="shared" si="2"/>
        <v>414.18</v>
      </c>
      <c r="AS258" s="43">
        <f t="shared" si="3"/>
        <v>1449.63</v>
      </c>
      <c r="AT258" s="48">
        <f t="shared" si="4"/>
        <v>6419.79</v>
      </c>
      <c r="AU258" s="49">
        <f t="shared" si="173"/>
        <v>6419.79</v>
      </c>
      <c r="AV258" s="48"/>
      <c r="AW258" s="34">
        <f t="shared" si="5"/>
        <v>28029.12</v>
      </c>
      <c r="AX258" s="50">
        <f t="shared" si="174"/>
        <v>1817.79</v>
      </c>
      <c r="AY258" s="43"/>
      <c r="AZ258" s="27"/>
      <c r="BA258" s="48">
        <f t="shared" si="165"/>
        <v>6419.79</v>
      </c>
      <c r="BB258" s="27"/>
      <c r="BC258" s="27"/>
      <c r="BD258" s="51"/>
      <c r="BE258" s="52"/>
      <c r="BF258" s="27" t="s">
        <v>943</v>
      </c>
      <c r="BG258" s="53">
        <v>0.0</v>
      </c>
      <c r="BH258" s="53" t="str">
        <f>'[1]2023'!Q460</f>
        <v>#REF!</v>
      </c>
      <c r="BI258" s="27"/>
      <c r="BJ258" s="27"/>
      <c r="BK258" s="27" t="s">
        <v>76</v>
      </c>
      <c r="BL258" s="27"/>
    </row>
    <row r="259" ht="14.25" customHeight="1">
      <c r="A259" s="26" t="s">
        <v>55</v>
      </c>
      <c r="B259" s="26" t="s">
        <v>56</v>
      </c>
      <c r="C259" s="26" t="s">
        <v>57</v>
      </c>
      <c r="D259" s="26" t="s">
        <v>81</v>
      </c>
      <c r="E259" s="27" t="s">
        <v>945</v>
      </c>
      <c r="F259" s="28" t="s">
        <v>946</v>
      </c>
      <c r="G259" s="29" t="s">
        <v>942</v>
      </c>
      <c r="H259" s="30">
        <v>45029.0</v>
      </c>
      <c r="I259" s="30">
        <v>45394.0</v>
      </c>
      <c r="J259" s="31">
        <v>0.0</v>
      </c>
      <c r="K259" s="26" t="s">
        <v>420</v>
      </c>
      <c r="L259" s="69">
        <v>45267.0</v>
      </c>
      <c r="M259" s="33">
        <v>30680.0</v>
      </c>
      <c r="N259" s="34">
        <v>32631.12</v>
      </c>
      <c r="O259" s="27" t="s">
        <v>76</v>
      </c>
      <c r="P259" s="35" t="s">
        <v>142</v>
      </c>
      <c r="Q259" s="35" t="s">
        <v>90</v>
      </c>
      <c r="R259" s="36" t="e">
        <v>#VALUE!</v>
      </c>
      <c r="S259" s="35" t="s">
        <v>86</v>
      </c>
      <c r="T259" s="35">
        <v>0.0</v>
      </c>
      <c r="U259" s="37" t="s">
        <v>67</v>
      </c>
      <c r="V259" s="38"/>
      <c r="W259" s="38"/>
      <c r="X259" s="27"/>
      <c r="Y259" s="39"/>
      <c r="Z259" s="79" t="s">
        <v>476</v>
      </c>
      <c r="AA259" s="39"/>
      <c r="AB259" s="40"/>
      <c r="AC259" s="27">
        <f t="shared" si="123"/>
        <v>0</v>
      </c>
      <c r="AD259" s="41">
        <f t="shared" si="175"/>
        <v>4602</v>
      </c>
      <c r="AE259" s="42"/>
      <c r="AF259" s="27" t="s">
        <v>306</v>
      </c>
      <c r="AG259" s="43">
        <f t="shared" si="176"/>
        <v>7869.42</v>
      </c>
      <c r="AH259" s="29"/>
      <c r="AI259" s="29"/>
      <c r="AJ259" s="29"/>
      <c r="AK259" s="75"/>
      <c r="AL259" s="27"/>
      <c r="AM259" s="44"/>
      <c r="AN259" s="115"/>
      <c r="AO259" s="46"/>
      <c r="AP259" s="47"/>
      <c r="AQ259" s="43">
        <f t="shared" si="177"/>
        <v>8283.6</v>
      </c>
      <c r="AR259" s="43">
        <f t="shared" si="2"/>
        <v>414.18</v>
      </c>
      <c r="AS259" s="43">
        <f t="shared" si="3"/>
        <v>1449.63</v>
      </c>
      <c r="AT259" s="48">
        <f t="shared" si="4"/>
        <v>6419.79</v>
      </c>
      <c r="AU259" s="49">
        <f t="shared" si="173"/>
        <v>6419.79</v>
      </c>
      <c r="AV259" s="48"/>
      <c r="AW259" s="34">
        <f t="shared" si="5"/>
        <v>28029.12</v>
      </c>
      <c r="AX259" s="50">
        <f t="shared" si="174"/>
        <v>1817.79</v>
      </c>
      <c r="AY259" s="43"/>
      <c r="AZ259" s="43"/>
      <c r="BA259" s="48">
        <f t="shared" si="165"/>
        <v>6419.79</v>
      </c>
      <c r="BB259" s="27"/>
      <c r="BC259" s="27"/>
      <c r="BD259" s="51"/>
      <c r="BE259" s="52"/>
      <c r="BF259" s="27" t="s">
        <v>945</v>
      </c>
      <c r="BG259" s="53">
        <v>0.0</v>
      </c>
      <c r="BH259" s="53" t="str">
        <f>'[1]2023'!Q482</f>
        <v>#REF!</v>
      </c>
      <c r="BI259" s="27"/>
      <c r="BJ259" s="27"/>
      <c r="BK259" s="27" t="s">
        <v>76</v>
      </c>
      <c r="BL259" s="27"/>
    </row>
    <row r="260" ht="14.25" customHeight="1">
      <c r="A260" s="26" t="s">
        <v>111</v>
      </c>
      <c r="B260" s="26" t="s">
        <v>56</v>
      </c>
      <c r="C260" s="26" t="s">
        <v>57</v>
      </c>
      <c r="D260" s="26" t="s">
        <v>71</v>
      </c>
      <c r="E260" s="27" t="s">
        <v>947</v>
      </c>
      <c r="F260" s="28" t="s">
        <v>948</v>
      </c>
      <c r="G260" s="29" t="s">
        <v>942</v>
      </c>
      <c r="H260" s="30">
        <v>45029.0</v>
      </c>
      <c r="I260" s="30">
        <v>45394.0</v>
      </c>
      <c r="J260" s="31" t="s">
        <v>949</v>
      </c>
      <c r="K260" s="26" t="s">
        <v>420</v>
      </c>
      <c r="L260" s="118">
        <v>45034.0</v>
      </c>
      <c r="M260" s="33">
        <v>12893.48</v>
      </c>
      <c r="N260" s="34">
        <v>13910.0</v>
      </c>
      <c r="O260" s="27" t="s">
        <v>76</v>
      </c>
      <c r="P260" s="35" t="s">
        <v>89</v>
      </c>
      <c r="Q260" s="35" t="s">
        <v>114</v>
      </c>
      <c r="R260" s="36" t="e">
        <v>#VALUE!</v>
      </c>
      <c r="S260" s="35" t="s">
        <v>231</v>
      </c>
      <c r="T260" s="35">
        <v>0.0</v>
      </c>
      <c r="U260" s="37" t="s">
        <v>115</v>
      </c>
      <c r="V260" s="38">
        <v>535000.0</v>
      </c>
      <c r="W260" s="38"/>
      <c r="X260" s="27"/>
      <c r="Y260" s="39"/>
      <c r="Z260" s="79" t="s">
        <v>950</v>
      </c>
      <c r="AA260" s="39"/>
      <c r="AB260" s="40"/>
      <c r="AC260" s="27">
        <f t="shared" si="123"/>
        <v>0</v>
      </c>
      <c r="AD260" s="41">
        <f>IF(AND(S260="0",O260="Paid"),(M260*15%)-AC260,0)</f>
        <v>0</v>
      </c>
      <c r="AE260" s="42"/>
      <c r="AF260" s="27"/>
      <c r="AG260" s="43">
        <f>IF(O260="Paid",IF(A260="Alwataniya",(M260*21%)-((M260*21%)*5%),IF((A260="GIG"),(M260*25%)-((M260*25%)*5%),IF((A260="Allianz"),(M260*27%)-((M260*27%)*20%),0))),0)</f>
        <v>3062.2015</v>
      </c>
      <c r="AH260" s="29" t="s">
        <v>951</v>
      </c>
      <c r="AI260" s="61" t="s">
        <v>75</v>
      </c>
      <c r="AJ260" s="40"/>
      <c r="AK260" s="62" t="s">
        <v>63</v>
      </c>
      <c r="AL260" s="27"/>
      <c r="AM260" s="44">
        <f>IF((BD260&lt;=2),AU260*10%,(IF((BD260&lt;=3),AU260*20%,IF((BD260&lt;=4),AU260*20%,IF((BD260&gt;=5),AU260*30%,0)))))</f>
        <v>249.811175</v>
      </c>
      <c r="AN260" s="45"/>
      <c r="AO260" s="46">
        <f>M260*15%</f>
        <v>1934.022</v>
      </c>
      <c r="AP260" s="47" t="s">
        <v>75</v>
      </c>
      <c r="AQ260" s="43">
        <f t="shared" si="177"/>
        <v>3223.37</v>
      </c>
      <c r="AR260" s="43">
        <f t="shared" si="2"/>
        <v>161.1685</v>
      </c>
      <c r="AS260" s="43">
        <f t="shared" si="3"/>
        <v>564.08975</v>
      </c>
      <c r="AT260" s="48">
        <f t="shared" si="4"/>
        <v>2498.11175</v>
      </c>
      <c r="AU260" s="49">
        <f t="shared" si="173"/>
        <v>2498.11175</v>
      </c>
      <c r="AV260" s="48"/>
      <c r="AW260" s="34">
        <f t="shared" si="5"/>
        <v>13910</v>
      </c>
      <c r="AX260" s="50">
        <f t="shared" si="174"/>
        <v>314.278575</v>
      </c>
      <c r="AY260" s="43"/>
      <c r="AZ260" s="43"/>
      <c r="BA260" s="48">
        <f t="shared" si="165"/>
        <v>314.278575</v>
      </c>
      <c r="BB260" s="27"/>
      <c r="BC260" s="27"/>
      <c r="BD260" s="51"/>
      <c r="BE260" s="52"/>
      <c r="BF260" s="27" t="s">
        <v>947</v>
      </c>
      <c r="BG260" s="53">
        <v>0.0</v>
      </c>
      <c r="BH260" s="53" t="str">
        <f>'[1]2023'!Q499</f>
        <v>#REF!</v>
      </c>
      <c r="BI260" s="27"/>
      <c r="BJ260" s="27"/>
      <c r="BK260" s="27" t="s">
        <v>76</v>
      </c>
      <c r="BL260" s="64" t="s">
        <v>952</v>
      </c>
    </row>
    <row r="261" ht="14.25" customHeight="1">
      <c r="A261" s="26" t="s">
        <v>55</v>
      </c>
      <c r="B261" s="26" t="s">
        <v>56</v>
      </c>
      <c r="C261" s="26" t="s">
        <v>57</v>
      </c>
      <c r="D261" s="26" t="s">
        <v>58</v>
      </c>
      <c r="E261" s="27" t="s">
        <v>953</v>
      </c>
      <c r="F261" s="28" t="s">
        <v>954</v>
      </c>
      <c r="G261" s="29" t="s">
        <v>942</v>
      </c>
      <c r="H261" s="30">
        <v>45029.0</v>
      </c>
      <c r="I261" s="30">
        <v>45394.0</v>
      </c>
      <c r="J261" s="31" t="s">
        <v>955</v>
      </c>
      <c r="K261" s="26" t="s">
        <v>420</v>
      </c>
      <c r="L261" s="32" t="s">
        <v>75</v>
      </c>
      <c r="M261" s="33">
        <v>2486.97</v>
      </c>
      <c r="N261" s="34">
        <v>2633.7</v>
      </c>
      <c r="O261" s="27" t="s">
        <v>76</v>
      </c>
      <c r="P261" s="35" t="s">
        <v>122</v>
      </c>
      <c r="Q261" s="35" t="s">
        <v>90</v>
      </c>
      <c r="R261" s="36" t="e">
        <v>#VALUE!</v>
      </c>
      <c r="S261" s="35" t="s">
        <v>86</v>
      </c>
      <c r="T261" s="35">
        <v>0.0</v>
      </c>
      <c r="U261" s="37" t="s">
        <v>67</v>
      </c>
      <c r="V261" s="38"/>
      <c r="W261" s="38"/>
      <c r="X261" s="27"/>
      <c r="Y261" s="39"/>
      <c r="Z261" s="79" t="s">
        <v>232</v>
      </c>
      <c r="AA261" s="39"/>
      <c r="AB261" s="40"/>
      <c r="AC261" s="27">
        <f t="shared" si="123"/>
        <v>0</v>
      </c>
      <c r="AD261" s="41">
        <f>IF(AND(S261="0",O261="Paid"),M261*15%,0)</f>
        <v>373.0455</v>
      </c>
      <c r="AE261" s="42"/>
      <c r="AF261" s="27"/>
      <c r="AG261" s="43">
        <f t="shared" ref="AG261:AG274" si="178">IF(O261="Paid",IF(A261="Alwataniya",(M261*21%)-((M261*21%)*5%),IF((A261="GIG"),(M261*25%)-((M261*25%)*5%),IF((A261="Allianz"),(M261*27%)-((M261*27%)*5%),0))),0)</f>
        <v>637.907805</v>
      </c>
      <c r="AH261" s="29"/>
      <c r="AI261" s="29"/>
      <c r="AJ261" s="29"/>
      <c r="AK261" s="75"/>
      <c r="AL261" s="27"/>
      <c r="AM261" s="44"/>
      <c r="AN261" s="115"/>
      <c r="AO261" s="46"/>
      <c r="AP261" s="47"/>
      <c r="AQ261" s="43">
        <f t="shared" si="177"/>
        <v>671.4819</v>
      </c>
      <c r="AR261" s="43">
        <f t="shared" si="2"/>
        <v>33.574095</v>
      </c>
      <c r="AS261" s="43">
        <f t="shared" si="3"/>
        <v>117.5093325</v>
      </c>
      <c r="AT261" s="48">
        <f t="shared" si="4"/>
        <v>520.3984725</v>
      </c>
      <c r="AU261" s="49">
        <f t="shared" si="173"/>
        <v>520.3984725</v>
      </c>
      <c r="AV261" s="48"/>
      <c r="AW261" s="34">
        <f t="shared" si="5"/>
        <v>2260.6545</v>
      </c>
      <c r="AX261" s="50">
        <f t="shared" si="174"/>
        <v>147.3529725</v>
      </c>
      <c r="AY261" s="43"/>
      <c r="AZ261" s="43"/>
      <c r="BA261" s="48">
        <f t="shared" si="165"/>
        <v>520.3984725</v>
      </c>
      <c r="BB261" s="27"/>
      <c r="BC261" s="27"/>
      <c r="BD261" s="51"/>
      <c r="BE261" s="52"/>
      <c r="BF261" s="27" t="s">
        <v>956</v>
      </c>
      <c r="BG261" s="58" t="s">
        <v>957</v>
      </c>
      <c r="BH261" s="53" t="str">
        <f t="shared" ref="BH261:BH262" si="179">'[1]2023'!Q520</f>
        <v>#REF!</v>
      </c>
      <c r="BI261" s="27"/>
      <c r="BJ261" s="27"/>
      <c r="BK261" s="27" t="s">
        <v>76</v>
      </c>
      <c r="BL261" s="27"/>
    </row>
    <row r="262" ht="14.25" customHeight="1">
      <c r="A262" s="26" t="s">
        <v>55</v>
      </c>
      <c r="B262" s="26" t="s">
        <v>56</v>
      </c>
      <c r="C262" s="26" t="s">
        <v>57</v>
      </c>
      <c r="D262" s="26" t="s">
        <v>58</v>
      </c>
      <c r="E262" s="27" t="s">
        <v>958</v>
      </c>
      <c r="F262" s="28" t="s">
        <v>959</v>
      </c>
      <c r="G262" s="29" t="s">
        <v>942</v>
      </c>
      <c r="H262" s="30">
        <v>45029.0</v>
      </c>
      <c r="I262" s="30">
        <v>45394.0</v>
      </c>
      <c r="J262" s="31" t="s">
        <v>960</v>
      </c>
      <c r="K262" s="26" t="s">
        <v>420</v>
      </c>
      <c r="L262" s="32" t="s">
        <v>75</v>
      </c>
      <c r="M262" s="33">
        <v>0.0</v>
      </c>
      <c r="N262" s="34">
        <v>3031.94</v>
      </c>
      <c r="O262" s="27" t="s">
        <v>76</v>
      </c>
      <c r="P262" s="35" t="s">
        <v>122</v>
      </c>
      <c r="Q262" s="35" t="s">
        <v>65</v>
      </c>
      <c r="R262" s="36" t="e">
        <v>#VALUE!</v>
      </c>
      <c r="S262" s="35" t="s">
        <v>86</v>
      </c>
      <c r="T262" s="35">
        <v>0.0</v>
      </c>
      <c r="U262" s="37" t="s">
        <v>67</v>
      </c>
      <c r="V262" s="38"/>
      <c r="W262" s="38"/>
      <c r="X262" s="27"/>
      <c r="Y262" s="39"/>
      <c r="Z262" s="39"/>
      <c r="AA262" s="39"/>
      <c r="AB262" s="40"/>
      <c r="AC262" s="27">
        <f t="shared" si="123"/>
        <v>0</v>
      </c>
      <c r="AD262" s="41"/>
      <c r="AE262" s="42"/>
      <c r="AF262" s="27"/>
      <c r="AG262" s="43">
        <f t="shared" si="178"/>
        <v>0</v>
      </c>
      <c r="AH262" s="29"/>
      <c r="AI262" s="29"/>
      <c r="AJ262" s="29"/>
      <c r="AK262" s="29"/>
      <c r="AL262" s="27"/>
      <c r="AM262" s="44"/>
      <c r="AN262" s="115"/>
      <c r="AO262" s="46"/>
      <c r="AP262" s="47"/>
      <c r="AQ262" s="43">
        <f t="shared" si="177"/>
        <v>0</v>
      </c>
      <c r="AR262" s="43">
        <f t="shared" si="2"/>
        <v>0</v>
      </c>
      <c r="AS262" s="43">
        <f t="shared" si="3"/>
        <v>0</v>
      </c>
      <c r="AT262" s="48">
        <f t="shared" si="4"/>
        <v>0</v>
      </c>
      <c r="AU262" s="49">
        <f t="shared" si="173"/>
        <v>0</v>
      </c>
      <c r="AV262" s="48"/>
      <c r="AW262" s="34">
        <f t="shared" si="5"/>
        <v>3031.94</v>
      </c>
      <c r="AX262" s="50">
        <f t="shared" si="174"/>
        <v>0</v>
      </c>
      <c r="AY262" s="43"/>
      <c r="AZ262" s="43"/>
      <c r="BA262" s="48">
        <f t="shared" si="165"/>
        <v>0</v>
      </c>
      <c r="BB262" s="27"/>
      <c r="BC262" s="27"/>
      <c r="BD262" s="51"/>
      <c r="BE262" s="52"/>
      <c r="BF262" s="27" t="s">
        <v>961</v>
      </c>
      <c r="BG262" s="58" t="s">
        <v>962</v>
      </c>
      <c r="BH262" s="53" t="str">
        <f t="shared" si="179"/>
        <v>#REF!</v>
      </c>
      <c r="BI262" s="27"/>
      <c r="BJ262" s="27"/>
      <c r="BK262" s="27" t="s">
        <v>76</v>
      </c>
      <c r="BL262" s="27"/>
    </row>
    <row r="263" ht="14.25" customHeight="1">
      <c r="A263" s="26" t="s">
        <v>55</v>
      </c>
      <c r="B263" s="26" t="s">
        <v>56</v>
      </c>
      <c r="C263" s="26" t="s">
        <v>57</v>
      </c>
      <c r="D263" s="26" t="s">
        <v>81</v>
      </c>
      <c r="E263" s="27" t="s">
        <v>963</v>
      </c>
      <c r="F263" s="26" t="s">
        <v>964</v>
      </c>
      <c r="G263" s="29" t="s">
        <v>965</v>
      </c>
      <c r="H263" s="30">
        <v>45030.0</v>
      </c>
      <c r="I263" s="30">
        <v>45395.0</v>
      </c>
      <c r="J263" s="31">
        <v>0.0</v>
      </c>
      <c r="K263" s="26" t="s">
        <v>420</v>
      </c>
      <c r="L263" s="32" t="s">
        <v>75</v>
      </c>
      <c r="M263" s="33">
        <v>18880.0</v>
      </c>
      <c r="N263" s="34">
        <v>20134.92</v>
      </c>
      <c r="O263" s="27" t="s">
        <v>76</v>
      </c>
      <c r="P263" s="35" t="s">
        <v>122</v>
      </c>
      <c r="Q263" s="35" t="s">
        <v>65</v>
      </c>
      <c r="R263" s="36" t="e">
        <v>#VALUE!</v>
      </c>
      <c r="S263" s="35" t="s">
        <v>86</v>
      </c>
      <c r="T263" s="35">
        <v>0.0</v>
      </c>
      <c r="U263" s="37" t="s">
        <v>67</v>
      </c>
      <c r="V263" s="38"/>
      <c r="W263" s="38"/>
      <c r="X263" s="27"/>
      <c r="Y263" s="39"/>
      <c r="Z263" s="39"/>
      <c r="AA263" s="39"/>
      <c r="AB263" s="40"/>
      <c r="AC263" s="27">
        <f t="shared" si="123"/>
        <v>0</v>
      </c>
      <c r="AD263" s="41"/>
      <c r="AE263" s="42"/>
      <c r="AF263" s="27"/>
      <c r="AG263" s="43">
        <f t="shared" si="178"/>
        <v>4842.72</v>
      </c>
      <c r="AH263" s="29"/>
      <c r="AI263" s="29"/>
      <c r="AJ263" s="29"/>
      <c r="AK263" s="29"/>
      <c r="AL263" s="27"/>
      <c r="AM263" s="44"/>
      <c r="AN263" s="68"/>
      <c r="AO263" s="46"/>
      <c r="AP263" s="47"/>
      <c r="AQ263" s="43">
        <f t="shared" si="177"/>
        <v>5097.6</v>
      </c>
      <c r="AR263" s="43">
        <f t="shared" si="2"/>
        <v>254.88</v>
      </c>
      <c r="AS263" s="43">
        <f t="shared" si="3"/>
        <v>892.08</v>
      </c>
      <c r="AT263" s="48">
        <f t="shared" si="4"/>
        <v>3950.64</v>
      </c>
      <c r="AU263" s="49">
        <f t="shared" si="173"/>
        <v>3950.64</v>
      </c>
      <c r="AV263" s="48"/>
      <c r="AW263" s="34">
        <f t="shared" si="5"/>
        <v>20134.92</v>
      </c>
      <c r="AX263" s="50">
        <f t="shared" si="174"/>
        <v>3950.64</v>
      </c>
      <c r="AY263" s="43"/>
      <c r="AZ263" s="27"/>
      <c r="BA263" s="48">
        <f t="shared" si="165"/>
        <v>3950.64</v>
      </c>
      <c r="BB263" s="27"/>
      <c r="BC263" s="27"/>
      <c r="BD263" s="51"/>
      <c r="BE263" s="52"/>
      <c r="BF263" s="27" t="s">
        <v>963</v>
      </c>
      <c r="BG263" s="53">
        <v>0.0</v>
      </c>
      <c r="BH263" s="53" t="str">
        <f>'[1]2023'!Q425</f>
        <v>#REF!</v>
      </c>
      <c r="BI263" s="27"/>
      <c r="BJ263" s="27"/>
      <c r="BK263" s="27" t="s">
        <v>76</v>
      </c>
      <c r="BL263" s="27"/>
    </row>
    <row r="264" ht="14.25" customHeight="1">
      <c r="A264" s="26" t="s">
        <v>55</v>
      </c>
      <c r="B264" s="26" t="s">
        <v>56</v>
      </c>
      <c r="C264" s="26" t="s">
        <v>57</v>
      </c>
      <c r="D264" s="26" t="s">
        <v>81</v>
      </c>
      <c r="E264" s="27" t="s">
        <v>966</v>
      </c>
      <c r="F264" s="28" t="s">
        <v>967</v>
      </c>
      <c r="G264" s="29" t="s">
        <v>965</v>
      </c>
      <c r="H264" s="30">
        <v>45030.0</v>
      </c>
      <c r="I264" s="30">
        <v>45395.0</v>
      </c>
      <c r="J264" s="31">
        <v>0.0</v>
      </c>
      <c r="K264" s="26" t="s">
        <v>420</v>
      </c>
      <c r="L264" s="32" t="s">
        <v>75</v>
      </c>
      <c r="M264" s="33">
        <v>20443.5</v>
      </c>
      <c r="N264" s="34">
        <v>21790.67</v>
      </c>
      <c r="O264" s="27" t="s">
        <v>76</v>
      </c>
      <c r="P264" s="35" t="s">
        <v>104</v>
      </c>
      <c r="Q264" s="35" t="s">
        <v>90</v>
      </c>
      <c r="R264" s="36" t="e">
        <v>#VALUE!</v>
      </c>
      <c r="S264" s="35" t="s">
        <v>86</v>
      </c>
      <c r="T264" s="35">
        <v>0.0</v>
      </c>
      <c r="U264" s="37" t="s">
        <v>67</v>
      </c>
      <c r="V264" s="38"/>
      <c r="W264" s="38"/>
      <c r="X264" s="27"/>
      <c r="Y264" s="39"/>
      <c r="Z264" s="79" t="s">
        <v>407</v>
      </c>
      <c r="AA264" s="39"/>
      <c r="AB264" s="40"/>
      <c r="AC264" s="27">
        <f t="shared" si="123"/>
        <v>0</v>
      </c>
      <c r="AD264" s="41">
        <f>IF(AND(S264="0",O264="Paid"),M264*15%,0)</f>
        <v>3066.525</v>
      </c>
      <c r="AE264" s="42"/>
      <c r="AF264" s="27"/>
      <c r="AG264" s="43">
        <f t="shared" si="178"/>
        <v>5243.75775</v>
      </c>
      <c r="AH264" s="29"/>
      <c r="AI264" s="29"/>
      <c r="AJ264" s="29"/>
      <c r="AK264" s="29"/>
      <c r="AL264" s="27"/>
      <c r="AM264" s="44"/>
      <c r="AN264" s="68"/>
      <c r="AO264" s="46"/>
      <c r="AP264" s="47"/>
      <c r="AQ264" s="43">
        <f t="shared" si="177"/>
        <v>5519.745</v>
      </c>
      <c r="AR264" s="43">
        <f t="shared" si="2"/>
        <v>275.98725</v>
      </c>
      <c r="AS264" s="43">
        <f t="shared" si="3"/>
        <v>965.955375</v>
      </c>
      <c r="AT264" s="48">
        <f t="shared" si="4"/>
        <v>4277.802375</v>
      </c>
      <c r="AU264" s="49">
        <f t="shared" si="173"/>
        <v>4277.802375</v>
      </c>
      <c r="AV264" s="48"/>
      <c r="AW264" s="34">
        <f t="shared" si="5"/>
        <v>18724.145</v>
      </c>
      <c r="AX264" s="50">
        <f t="shared" si="174"/>
        <v>1211.277375</v>
      </c>
      <c r="AY264" s="43"/>
      <c r="AZ264" s="27"/>
      <c r="BA264" s="48">
        <f t="shared" si="165"/>
        <v>4277.802375</v>
      </c>
      <c r="BB264" s="27"/>
      <c r="BC264" s="27"/>
      <c r="BD264" s="51"/>
      <c r="BE264" s="52"/>
      <c r="BF264" s="27" t="s">
        <v>966</v>
      </c>
      <c r="BG264" s="58" t="s">
        <v>562</v>
      </c>
      <c r="BH264" s="53" t="str">
        <f>'[1]2023'!Q438</f>
        <v>#REF!</v>
      </c>
      <c r="BI264" s="27"/>
      <c r="BJ264" s="27"/>
      <c r="BK264" s="27" t="s">
        <v>76</v>
      </c>
      <c r="BL264" s="27"/>
    </row>
    <row r="265" ht="14.25" customHeight="1">
      <c r="A265" s="26" t="s">
        <v>55</v>
      </c>
      <c r="B265" s="26" t="s">
        <v>56</v>
      </c>
      <c r="C265" s="26" t="s">
        <v>57</v>
      </c>
      <c r="D265" s="26" t="s">
        <v>81</v>
      </c>
      <c r="E265" s="27" t="s">
        <v>968</v>
      </c>
      <c r="F265" s="26" t="s">
        <v>969</v>
      </c>
      <c r="G265" s="29" t="s">
        <v>965</v>
      </c>
      <c r="H265" s="30">
        <v>45030.0</v>
      </c>
      <c r="I265" s="30">
        <v>45395.0</v>
      </c>
      <c r="J265" s="31">
        <v>0.0</v>
      </c>
      <c r="K265" s="26" t="s">
        <v>420</v>
      </c>
      <c r="L265" s="32" t="s">
        <v>63</v>
      </c>
      <c r="M265" s="33">
        <v>0.0</v>
      </c>
      <c r="N265" s="34">
        <v>0.0</v>
      </c>
      <c r="O265" s="27" t="s">
        <v>64</v>
      </c>
      <c r="P265" s="35">
        <v>0.0</v>
      </c>
      <c r="Q265" s="35" t="s">
        <v>90</v>
      </c>
      <c r="R265" s="36" t="e">
        <v>#VALUE!</v>
      </c>
      <c r="S265" s="35" t="s">
        <v>86</v>
      </c>
      <c r="T265" s="35">
        <v>0.0</v>
      </c>
      <c r="U265" s="37" t="s">
        <v>67</v>
      </c>
      <c r="V265" s="38"/>
      <c r="W265" s="38"/>
      <c r="X265" s="27"/>
      <c r="Y265" s="39"/>
      <c r="Z265" s="39"/>
      <c r="AA265" s="39"/>
      <c r="AB265" s="40"/>
      <c r="AC265" s="27">
        <f t="shared" si="123"/>
        <v>0</v>
      </c>
      <c r="AD265" s="41">
        <f>IF(AND(S265="0",O265="Paid"),(M265*15%)-AC265,0)</f>
        <v>0</v>
      </c>
      <c r="AE265" s="42"/>
      <c r="AF265" s="27"/>
      <c r="AG265" s="43">
        <f t="shared" si="178"/>
        <v>0</v>
      </c>
      <c r="AH265" s="29"/>
      <c r="AI265" s="29"/>
      <c r="AJ265" s="29"/>
      <c r="AK265" s="29"/>
      <c r="AL265" s="27"/>
      <c r="AM265" s="44"/>
      <c r="AN265" s="115"/>
      <c r="AO265" s="46"/>
      <c r="AP265" s="47"/>
      <c r="AQ265" s="43" t="b">
        <f>IF(O265="Paid",IF(U265="Motor Plus",(M265*27%),IF(U265="Motor One",(M265*22%),(IF(U265="Golden",(M265*25%),(IF(U265="Classic",(M265*15%),(IF(U265="Wethaq",(M265*28%),IF(U265="Alwataniya",(M265*21%))*0)))))))))</f>
        <v>0</v>
      </c>
      <c r="AR265" s="43">
        <f t="shared" si="2"/>
        <v>0</v>
      </c>
      <c r="AS265" s="43">
        <f t="shared" si="3"/>
        <v>0</v>
      </c>
      <c r="AT265" s="48">
        <f t="shared" si="4"/>
        <v>0</v>
      </c>
      <c r="AU265" s="49">
        <f t="shared" si="173"/>
        <v>0</v>
      </c>
      <c r="AV265" s="48"/>
      <c r="AW265" s="34">
        <f t="shared" si="5"/>
        <v>0</v>
      </c>
      <c r="AX265" s="50">
        <f t="shared" si="174"/>
        <v>0</v>
      </c>
      <c r="AY265" s="43"/>
      <c r="AZ265" s="27"/>
      <c r="BA265" s="48">
        <f t="shared" si="165"/>
        <v>0</v>
      </c>
      <c r="BB265" s="27"/>
      <c r="BC265" s="27"/>
      <c r="BD265" s="51"/>
      <c r="BE265" s="52"/>
      <c r="BF265" s="27" t="s">
        <v>968</v>
      </c>
      <c r="BG265" s="53">
        <v>0.0</v>
      </c>
      <c r="BH265" s="53" t="str">
        <f>'[1]2023'!Q457</f>
        <v>#REF!</v>
      </c>
      <c r="BI265" s="27"/>
      <c r="BJ265" s="27"/>
      <c r="BK265" s="27" t="s">
        <v>64</v>
      </c>
      <c r="BL265" s="27"/>
    </row>
    <row r="266" ht="14.25" customHeight="1">
      <c r="A266" s="26" t="s">
        <v>55</v>
      </c>
      <c r="B266" s="26" t="s">
        <v>56</v>
      </c>
      <c r="C266" s="26" t="s">
        <v>57</v>
      </c>
      <c r="D266" s="26" t="s">
        <v>81</v>
      </c>
      <c r="E266" s="27" t="s">
        <v>970</v>
      </c>
      <c r="F266" s="28" t="s">
        <v>971</v>
      </c>
      <c r="G266" s="29" t="s">
        <v>965</v>
      </c>
      <c r="H266" s="30">
        <v>45030.0</v>
      </c>
      <c r="I266" s="30">
        <v>45395.0</v>
      </c>
      <c r="J266" s="31">
        <v>0.0</v>
      </c>
      <c r="K266" s="26" t="s">
        <v>420</v>
      </c>
      <c r="L266" s="32" t="s">
        <v>75</v>
      </c>
      <c r="M266" s="33">
        <v>25960.0</v>
      </c>
      <c r="N266" s="34">
        <v>27632.64</v>
      </c>
      <c r="O266" s="27" t="s">
        <v>76</v>
      </c>
      <c r="P266" s="35" t="s">
        <v>122</v>
      </c>
      <c r="Q266" s="35" t="s">
        <v>90</v>
      </c>
      <c r="R266" s="36" t="e">
        <v>#VALUE!</v>
      </c>
      <c r="S266" s="35" t="s">
        <v>86</v>
      </c>
      <c r="T266" s="35">
        <v>0.0</v>
      </c>
      <c r="U266" s="37" t="s">
        <v>67</v>
      </c>
      <c r="V266" s="38"/>
      <c r="W266" s="38"/>
      <c r="X266" s="27"/>
      <c r="Y266" s="39"/>
      <c r="Z266" s="39">
        <v>5008.0</v>
      </c>
      <c r="AA266" s="39"/>
      <c r="AB266" s="40"/>
      <c r="AC266" s="27">
        <f t="shared" si="123"/>
        <v>0</v>
      </c>
      <c r="AD266" s="41">
        <f t="shared" ref="AD266:AD267" si="180">IF(AND(S266="0",O266="Paid"),M266*15%,0)</f>
        <v>3894</v>
      </c>
      <c r="AE266" s="42"/>
      <c r="AF266" s="27"/>
      <c r="AG266" s="43">
        <f t="shared" si="178"/>
        <v>6658.74</v>
      </c>
      <c r="AH266" s="29"/>
      <c r="AI266" s="29"/>
      <c r="AJ266" s="29"/>
      <c r="AK266" s="29"/>
      <c r="AL266" s="27"/>
      <c r="AM266" s="44"/>
      <c r="AN266" s="115"/>
      <c r="AO266" s="46"/>
      <c r="AP266" s="47"/>
      <c r="AQ266" s="43">
        <f t="shared" ref="AQ266:AQ267" si="181">IF(U266="Motor Plus",(M266*27%),IF(U266="Motor One",(M266*22%),(IF(U266="Golden",(M266*25%),(IF(U266="Classic",(M266*15%),(IF(U266="Wethaq",(M266*28%),IF(U266="Alwataniya",(M266*21%))*0))))))))</f>
        <v>7009.2</v>
      </c>
      <c r="AR266" s="43">
        <f t="shared" si="2"/>
        <v>350.46</v>
      </c>
      <c r="AS266" s="43">
        <f t="shared" si="3"/>
        <v>1226.61</v>
      </c>
      <c r="AT266" s="48">
        <f t="shared" si="4"/>
        <v>5432.13</v>
      </c>
      <c r="AU266" s="49">
        <f t="shared" si="173"/>
        <v>5432.13</v>
      </c>
      <c r="AV266" s="48"/>
      <c r="AW266" s="34">
        <f t="shared" si="5"/>
        <v>23738.64</v>
      </c>
      <c r="AX266" s="50">
        <f t="shared" si="174"/>
        <v>1538.13</v>
      </c>
      <c r="AY266" s="43"/>
      <c r="AZ266" s="27"/>
      <c r="BA266" s="48">
        <f t="shared" si="165"/>
        <v>5432.13</v>
      </c>
      <c r="BB266" s="27"/>
      <c r="BC266" s="27"/>
      <c r="BD266" s="51"/>
      <c r="BE266" s="52"/>
      <c r="BF266" s="27" t="s">
        <v>970</v>
      </c>
      <c r="BG266" s="53">
        <v>0.0</v>
      </c>
      <c r="BH266" s="53" t="str">
        <f>'[1]2023'!Q459</f>
        <v>#REF!</v>
      </c>
      <c r="BI266" s="27"/>
      <c r="BJ266" s="27"/>
      <c r="BK266" s="27" t="s">
        <v>76</v>
      </c>
      <c r="BL266" s="27"/>
    </row>
    <row r="267" ht="14.25" customHeight="1">
      <c r="A267" s="26" t="s">
        <v>55</v>
      </c>
      <c r="B267" s="26" t="s">
        <v>56</v>
      </c>
      <c r="C267" s="26" t="s">
        <v>57</v>
      </c>
      <c r="D267" s="26" t="s">
        <v>81</v>
      </c>
      <c r="E267" s="27" t="s">
        <v>972</v>
      </c>
      <c r="F267" s="28" t="s">
        <v>973</v>
      </c>
      <c r="G267" s="29" t="s">
        <v>965</v>
      </c>
      <c r="H267" s="30">
        <v>45030.0</v>
      </c>
      <c r="I267" s="30">
        <v>45395.0</v>
      </c>
      <c r="J267" s="31">
        <v>0.0</v>
      </c>
      <c r="K267" s="26" t="s">
        <v>420</v>
      </c>
      <c r="L267" s="32" t="s">
        <v>75</v>
      </c>
      <c r="M267" s="33">
        <v>25960.0</v>
      </c>
      <c r="N267" s="34">
        <v>27632.64</v>
      </c>
      <c r="O267" s="27" t="s">
        <v>64</v>
      </c>
      <c r="P267" s="35" t="s">
        <v>104</v>
      </c>
      <c r="Q267" s="35" t="s">
        <v>90</v>
      </c>
      <c r="R267" s="36" t="e">
        <v>#VALUE!</v>
      </c>
      <c r="S267" s="35" t="s">
        <v>86</v>
      </c>
      <c r="T267" s="35">
        <v>0.0</v>
      </c>
      <c r="U267" s="37" t="s">
        <v>67</v>
      </c>
      <c r="V267" s="38"/>
      <c r="W267" s="38"/>
      <c r="X267" s="27"/>
      <c r="Y267" s="39"/>
      <c r="Z267" s="39">
        <v>3008.0</v>
      </c>
      <c r="AA267" s="39"/>
      <c r="AB267" s="40"/>
      <c r="AC267" s="27">
        <f t="shared" si="123"/>
        <v>0</v>
      </c>
      <c r="AD267" s="41">
        <f t="shared" si="180"/>
        <v>0</v>
      </c>
      <c r="AE267" s="42"/>
      <c r="AF267" s="27"/>
      <c r="AG267" s="43">
        <f t="shared" si="178"/>
        <v>0</v>
      </c>
      <c r="AH267" s="29"/>
      <c r="AI267" s="29"/>
      <c r="AJ267" s="29"/>
      <c r="AK267" s="29"/>
      <c r="AL267" s="27"/>
      <c r="AM267" s="44"/>
      <c r="AN267" s="115"/>
      <c r="AO267" s="46"/>
      <c r="AP267" s="47"/>
      <c r="AQ267" s="43">
        <f t="shared" si="181"/>
        <v>7009.2</v>
      </c>
      <c r="AR267" s="43">
        <f t="shared" si="2"/>
        <v>350.46</v>
      </c>
      <c r="AS267" s="43">
        <f t="shared" si="3"/>
        <v>1226.61</v>
      </c>
      <c r="AT267" s="48">
        <f t="shared" si="4"/>
        <v>5432.13</v>
      </c>
      <c r="AU267" s="49">
        <f t="shared" si="173"/>
        <v>5432.13</v>
      </c>
      <c r="AV267" s="48"/>
      <c r="AW267" s="34">
        <f t="shared" si="5"/>
        <v>27632.64</v>
      </c>
      <c r="AX267" s="50">
        <f t="shared" si="174"/>
        <v>0</v>
      </c>
      <c r="AY267" s="43"/>
      <c r="AZ267" s="43"/>
      <c r="BA267" s="48">
        <f t="shared" si="165"/>
        <v>5432.13</v>
      </c>
      <c r="BB267" s="27"/>
      <c r="BC267" s="27"/>
      <c r="BD267" s="51"/>
      <c r="BE267" s="52"/>
      <c r="BF267" s="27" t="s">
        <v>972</v>
      </c>
      <c r="BG267" s="58" t="s">
        <v>974</v>
      </c>
      <c r="BH267" s="53" t="str">
        <f>'[1]2023'!Q470</f>
        <v>#REF!</v>
      </c>
      <c r="BI267" s="27"/>
      <c r="BJ267" s="27"/>
      <c r="BK267" s="27" t="s">
        <v>64</v>
      </c>
      <c r="BL267" s="27"/>
    </row>
    <row r="268" ht="14.25" customHeight="1">
      <c r="A268" s="26" t="s">
        <v>55</v>
      </c>
      <c r="B268" s="26" t="s">
        <v>56</v>
      </c>
      <c r="C268" s="26" t="s">
        <v>57</v>
      </c>
      <c r="D268" s="26" t="s">
        <v>81</v>
      </c>
      <c r="E268" s="27" t="s">
        <v>975</v>
      </c>
      <c r="F268" s="28" t="s">
        <v>976</v>
      </c>
      <c r="G268" s="29" t="s">
        <v>965</v>
      </c>
      <c r="H268" s="30">
        <v>45030.0</v>
      </c>
      <c r="I268" s="30">
        <v>45395.0</v>
      </c>
      <c r="J268" s="31">
        <v>0.0</v>
      </c>
      <c r="K268" s="26" t="s">
        <v>420</v>
      </c>
      <c r="L268" s="32" t="s">
        <v>63</v>
      </c>
      <c r="M268" s="33">
        <v>0.0</v>
      </c>
      <c r="N268" s="34">
        <v>0.0</v>
      </c>
      <c r="O268" s="27" t="s">
        <v>64</v>
      </c>
      <c r="P268" s="35">
        <v>0.0</v>
      </c>
      <c r="Q268" s="35" t="s">
        <v>65</v>
      </c>
      <c r="R268" s="36" t="e">
        <v>#VALUE!</v>
      </c>
      <c r="S268" s="35" t="s">
        <v>86</v>
      </c>
      <c r="T268" s="35">
        <v>0.0</v>
      </c>
      <c r="U268" s="37" t="s">
        <v>67</v>
      </c>
      <c r="V268" s="38"/>
      <c r="W268" s="38"/>
      <c r="X268" s="27"/>
      <c r="Y268" s="39"/>
      <c r="Z268" s="39"/>
      <c r="AA268" s="39"/>
      <c r="AB268" s="40"/>
      <c r="AC268" s="27">
        <f t="shared" si="123"/>
        <v>0</v>
      </c>
      <c r="AD268" s="41">
        <f t="shared" ref="AD268:AD269" si="182">IF(AND(S268="0",O268="Paid"),(M268*15%)-AC268,0)</f>
        <v>0</v>
      </c>
      <c r="AE268" s="42"/>
      <c r="AF268" s="27"/>
      <c r="AG268" s="43">
        <f t="shared" si="178"/>
        <v>0</v>
      </c>
      <c r="AH268" s="29"/>
      <c r="AI268" s="29"/>
      <c r="AJ268" s="29"/>
      <c r="AK268" s="29"/>
      <c r="AL268" s="27"/>
      <c r="AM268" s="44"/>
      <c r="AN268" s="115"/>
      <c r="AO268" s="46"/>
      <c r="AP268" s="47"/>
      <c r="AQ268" s="43" t="b">
        <f t="shared" ref="AQ268:AQ269" si="183">IF(O268="Paid",IF(U268="Motor Plus",(M268*27%),IF(U268="Motor One",(M268*22%),(IF(U268="Golden",(M268*25%),(IF(U268="Classic",(M268*15%),(IF(U268="Wethaq",(M268*28%),IF(U268="Alwataniya",(M268*21%))*0)))))))))</f>
        <v>0</v>
      </c>
      <c r="AR268" s="43">
        <f t="shared" si="2"/>
        <v>0</v>
      </c>
      <c r="AS268" s="43">
        <f t="shared" si="3"/>
        <v>0</v>
      </c>
      <c r="AT268" s="48">
        <f t="shared" si="4"/>
        <v>0</v>
      </c>
      <c r="AU268" s="49">
        <f t="shared" si="173"/>
        <v>0</v>
      </c>
      <c r="AV268" s="48"/>
      <c r="AW268" s="34">
        <f t="shared" si="5"/>
        <v>0</v>
      </c>
      <c r="AX268" s="50">
        <f t="shared" si="174"/>
        <v>0</v>
      </c>
      <c r="AY268" s="43"/>
      <c r="AZ268" s="43"/>
      <c r="BA268" s="48">
        <f t="shared" si="165"/>
        <v>0</v>
      </c>
      <c r="BB268" s="27"/>
      <c r="BC268" s="27"/>
      <c r="BD268" s="51"/>
      <c r="BE268" s="52"/>
      <c r="BF268" s="27" t="s">
        <v>975</v>
      </c>
      <c r="BG268" s="53">
        <v>0.0</v>
      </c>
      <c r="BH268" s="53" t="str">
        <f t="shared" ref="BH268:BH269" si="184">'[1]2023'!Q507</f>
        <v>#REF!</v>
      </c>
      <c r="BI268" s="27"/>
      <c r="BJ268" s="27"/>
      <c r="BK268" s="27" t="s">
        <v>64</v>
      </c>
      <c r="BL268" s="27"/>
    </row>
    <row r="269" ht="14.25" customHeight="1">
      <c r="A269" s="26" t="s">
        <v>55</v>
      </c>
      <c r="B269" s="26" t="s">
        <v>56</v>
      </c>
      <c r="C269" s="26" t="s">
        <v>57</v>
      </c>
      <c r="D269" s="26" t="s">
        <v>81</v>
      </c>
      <c r="E269" s="27" t="s">
        <v>977</v>
      </c>
      <c r="F269" s="28" t="s">
        <v>978</v>
      </c>
      <c r="G269" s="29" t="s">
        <v>965</v>
      </c>
      <c r="H269" s="30">
        <v>45030.0</v>
      </c>
      <c r="I269" s="30">
        <v>45395.0</v>
      </c>
      <c r="J269" s="31">
        <v>0.0</v>
      </c>
      <c r="K269" s="26" t="s">
        <v>420</v>
      </c>
      <c r="L269" s="32" t="s">
        <v>63</v>
      </c>
      <c r="M269" s="33">
        <v>0.0</v>
      </c>
      <c r="N269" s="34">
        <v>0.0</v>
      </c>
      <c r="O269" s="27" t="s">
        <v>64</v>
      </c>
      <c r="P269" s="35">
        <v>0.0</v>
      </c>
      <c r="Q269" s="35" t="s">
        <v>65</v>
      </c>
      <c r="R269" s="36" t="e">
        <v>#VALUE!</v>
      </c>
      <c r="S269" s="35" t="s">
        <v>86</v>
      </c>
      <c r="T269" s="35">
        <v>0.0</v>
      </c>
      <c r="U269" s="37" t="s">
        <v>67</v>
      </c>
      <c r="V269" s="38"/>
      <c r="W269" s="38"/>
      <c r="X269" s="27"/>
      <c r="Y269" s="39"/>
      <c r="Z269" s="39"/>
      <c r="AA269" s="39"/>
      <c r="AB269" s="40"/>
      <c r="AC269" s="27">
        <f t="shared" si="123"/>
        <v>0</v>
      </c>
      <c r="AD269" s="41">
        <f t="shared" si="182"/>
        <v>0</v>
      </c>
      <c r="AE269" s="42"/>
      <c r="AF269" s="27"/>
      <c r="AG269" s="43">
        <f t="shared" si="178"/>
        <v>0</v>
      </c>
      <c r="AH269" s="29"/>
      <c r="AI269" s="29"/>
      <c r="AJ269" s="29"/>
      <c r="AK269" s="29"/>
      <c r="AL269" s="27"/>
      <c r="AM269" s="44"/>
      <c r="AN269" s="115"/>
      <c r="AO269" s="46"/>
      <c r="AP269" s="47"/>
      <c r="AQ269" s="43" t="b">
        <f t="shared" si="183"/>
        <v>0</v>
      </c>
      <c r="AR269" s="43">
        <f t="shared" si="2"/>
        <v>0</v>
      </c>
      <c r="AS269" s="43">
        <f t="shared" si="3"/>
        <v>0</v>
      </c>
      <c r="AT269" s="48">
        <f t="shared" si="4"/>
        <v>0</v>
      </c>
      <c r="AU269" s="49">
        <f t="shared" si="173"/>
        <v>0</v>
      </c>
      <c r="AV269" s="48"/>
      <c r="AW269" s="34">
        <f t="shared" si="5"/>
        <v>0</v>
      </c>
      <c r="AX269" s="50">
        <f t="shared" si="174"/>
        <v>0</v>
      </c>
      <c r="AY269" s="43"/>
      <c r="AZ269" s="43"/>
      <c r="BA269" s="48">
        <f t="shared" si="165"/>
        <v>0</v>
      </c>
      <c r="BB269" s="27"/>
      <c r="BC269" s="27"/>
      <c r="BD269" s="51"/>
      <c r="BE269" s="52"/>
      <c r="BF269" s="27" t="s">
        <v>977</v>
      </c>
      <c r="BG269" s="53">
        <v>0.0</v>
      </c>
      <c r="BH269" s="53" t="str">
        <f t="shared" si="184"/>
        <v>#REF!</v>
      </c>
      <c r="BI269" s="27"/>
      <c r="BJ269" s="27"/>
      <c r="BK269" s="27" t="s">
        <v>64</v>
      </c>
      <c r="BL269" s="27"/>
    </row>
    <row r="270" ht="14.25" customHeight="1">
      <c r="A270" s="26" t="s">
        <v>55</v>
      </c>
      <c r="B270" s="26" t="s">
        <v>56</v>
      </c>
      <c r="C270" s="26" t="s">
        <v>57</v>
      </c>
      <c r="D270" s="26" t="s">
        <v>81</v>
      </c>
      <c r="E270" s="27" t="s">
        <v>979</v>
      </c>
      <c r="F270" s="28" t="s">
        <v>980</v>
      </c>
      <c r="G270" s="29">
        <v>45030.0</v>
      </c>
      <c r="H270" s="30">
        <v>45030.0</v>
      </c>
      <c r="I270" s="30">
        <v>45395.0</v>
      </c>
      <c r="J270" s="31">
        <v>0.0</v>
      </c>
      <c r="K270" s="26" t="s">
        <v>420</v>
      </c>
      <c r="L270" s="69">
        <v>45084.0</v>
      </c>
      <c r="M270" s="33">
        <v>17325.0</v>
      </c>
      <c r="N270" s="34">
        <v>18488.18</v>
      </c>
      <c r="O270" s="27" t="s">
        <v>76</v>
      </c>
      <c r="P270" s="35" t="s">
        <v>122</v>
      </c>
      <c r="Q270" s="35" t="s">
        <v>65</v>
      </c>
      <c r="R270" s="36">
        <v>45030.0</v>
      </c>
      <c r="S270" s="35" t="s">
        <v>86</v>
      </c>
      <c r="T270" s="35">
        <v>0.0</v>
      </c>
      <c r="U270" s="37" t="s">
        <v>67</v>
      </c>
      <c r="V270" s="38"/>
      <c r="W270" s="38"/>
      <c r="X270" s="27"/>
      <c r="Y270" s="39"/>
      <c r="Z270" s="39"/>
      <c r="AA270" s="39"/>
      <c r="AB270" s="40"/>
      <c r="AC270" s="27">
        <f t="shared" si="123"/>
        <v>0</v>
      </c>
      <c r="AD270" s="41"/>
      <c r="AE270" s="42"/>
      <c r="AF270" s="27"/>
      <c r="AG270" s="43">
        <f t="shared" si="178"/>
        <v>4443.8625</v>
      </c>
      <c r="AH270" s="29"/>
      <c r="AI270" s="29"/>
      <c r="AJ270" s="29"/>
      <c r="AK270" s="29"/>
      <c r="AL270" s="27"/>
      <c r="AM270" s="44"/>
      <c r="AN270" s="68"/>
      <c r="AO270" s="46"/>
      <c r="AP270" s="47"/>
      <c r="AQ270" s="43">
        <f t="shared" ref="AQ270:AQ271" si="185">IF(U270="Motor Plus",(M270*27%),IF(U270="Motor One",(M270*22%),(IF(U270="Golden",(M270*25%),(IF(U270="Classic",(M270*15%),(IF(U270="Wethaq",(M270*28%),IF(U270="Alwataniya",(M270*21%))*0))))))))</f>
        <v>4677.75</v>
      </c>
      <c r="AR270" s="43">
        <f t="shared" si="2"/>
        <v>233.8875</v>
      </c>
      <c r="AS270" s="43">
        <f t="shared" si="3"/>
        <v>818.60625</v>
      </c>
      <c r="AT270" s="48">
        <f t="shared" si="4"/>
        <v>3625.25625</v>
      </c>
      <c r="AU270" s="49">
        <f>AQ270-AR270-AS270-AC270-AO270</f>
        <v>3625.25625</v>
      </c>
      <c r="AV270" s="48"/>
      <c r="AW270" s="34">
        <f t="shared" si="5"/>
        <v>18488.18</v>
      </c>
      <c r="AX270" s="50">
        <f t="shared" si="174"/>
        <v>3625.25625</v>
      </c>
      <c r="AY270" s="43"/>
      <c r="AZ270" s="43"/>
      <c r="BA270" s="48">
        <f t="shared" si="165"/>
        <v>3625.25625</v>
      </c>
      <c r="BB270" s="27"/>
      <c r="BC270" s="27"/>
      <c r="BD270" s="51"/>
      <c r="BE270" s="52"/>
      <c r="BF270" s="27" t="s">
        <v>979</v>
      </c>
      <c r="BG270" s="53">
        <v>0.0</v>
      </c>
      <c r="BH270" s="53" t="str">
        <f>'[1]2023'!Q907</f>
        <v>#REF!</v>
      </c>
      <c r="BI270" s="27"/>
      <c r="BJ270" s="27"/>
      <c r="BK270" s="27" t="s">
        <v>76</v>
      </c>
      <c r="BL270" s="27"/>
    </row>
    <row r="271" ht="14.25" customHeight="1">
      <c r="A271" s="26" t="s">
        <v>55</v>
      </c>
      <c r="B271" s="26" t="s">
        <v>56</v>
      </c>
      <c r="C271" s="26" t="s">
        <v>57</v>
      </c>
      <c r="D271" s="26" t="s">
        <v>81</v>
      </c>
      <c r="E271" s="27" t="s">
        <v>981</v>
      </c>
      <c r="F271" s="26" t="s">
        <v>982</v>
      </c>
      <c r="G271" s="29" t="s">
        <v>983</v>
      </c>
      <c r="H271" s="30">
        <v>45031.0</v>
      </c>
      <c r="I271" s="30">
        <v>45396.0</v>
      </c>
      <c r="J271" s="31">
        <v>0.0</v>
      </c>
      <c r="K271" s="26" t="s">
        <v>420</v>
      </c>
      <c r="L271" s="32" t="s">
        <v>75</v>
      </c>
      <c r="M271" s="33">
        <v>16500.0</v>
      </c>
      <c r="N271" s="34">
        <v>17614.5</v>
      </c>
      <c r="O271" s="27" t="s">
        <v>76</v>
      </c>
      <c r="P271" s="35" t="s">
        <v>104</v>
      </c>
      <c r="Q271" s="35">
        <v>0.0</v>
      </c>
      <c r="R271" s="36" t="e">
        <v>#VALUE!</v>
      </c>
      <c r="S271" s="35" t="s">
        <v>86</v>
      </c>
      <c r="T271" s="35">
        <v>0.0</v>
      </c>
      <c r="U271" s="37" t="s">
        <v>67</v>
      </c>
      <c r="V271" s="38"/>
      <c r="W271" s="38"/>
      <c r="X271" s="27"/>
      <c r="Y271" s="39"/>
      <c r="Z271" s="39"/>
      <c r="AA271" s="39"/>
      <c r="AB271" s="40"/>
      <c r="AC271" s="27">
        <f t="shared" si="123"/>
        <v>0</v>
      </c>
      <c r="AD271" s="41">
        <f>IF(AND(S271="0",O271="Paid"),M271*15%,0)</f>
        <v>2475</v>
      </c>
      <c r="AE271" s="42"/>
      <c r="AF271" s="27"/>
      <c r="AG271" s="43">
        <f t="shared" si="178"/>
        <v>4232.25</v>
      </c>
      <c r="AH271" s="29"/>
      <c r="AI271" s="29"/>
      <c r="AJ271" s="29"/>
      <c r="AK271" s="29"/>
      <c r="AL271" s="27"/>
      <c r="AM271" s="44"/>
      <c r="AN271" s="68"/>
      <c r="AO271" s="46"/>
      <c r="AP271" s="47"/>
      <c r="AQ271" s="43">
        <f t="shared" si="185"/>
        <v>4455</v>
      </c>
      <c r="AR271" s="43">
        <f t="shared" si="2"/>
        <v>222.75</v>
      </c>
      <c r="AS271" s="43">
        <f t="shared" si="3"/>
        <v>779.625</v>
      </c>
      <c r="AT271" s="48">
        <f t="shared" si="4"/>
        <v>3452.625</v>
      </c>
      <c r="AU271" s="49">
        <f t="shared" ref="AU271:AU290" si="186">AQ271-AR271-AS271-AC271</f>
        <v>3452.625</v>
      </c>
      <c r="AV271" s="48"/>
      <c r="AW271" s="34">
        <f t="shared" si="5"/>
        <v>15139.5</v>
      </c>
      <c r="AX271" s="50">
        <f t="shared" si="174"/>
        <v>977.625</v>
      </c>
      <c r="AY271" s="43"/>
      <c r="AZ271" s="27"/>
      <c r="BA271" s="48">
        <f t="shared" si="165"/>
        <v>3452.625</v>
      </c>
      <c r="BB271" s="27"/>
      <c r="BC271" s="27"/>
      <c r="BD271" s="51"/>
      <c r="BE271" s="52"/>
      <c r="BF271" s="27" t="s">
        <v>981</v>
      </c>
      <c r="BG271" s="53">
        <v>0.0</v>
      </c>
      <c r="BH271" s="53" t="str">
        <f>'[1]2023'!Q424</f>
        <v>#REF!</v>
      </c>
      <c r="BI271" s="27"/>
      <c r="BJ271" s="27"/>
      <c r="BK271" s="27" t="s">
        <v>76</v>
      </c>
      <c r="BL271" s="27"/>
    </row>
    <row r="272" ht="14.25" customHeight="1">
      <c r="A272" s="26" t="s">
        <v>55</v>
      </c>
      <c r="B272" s="26" t="s">
        <v>56</v>
      </c>
      <c r="C272" s="26" t="s">
        <v>57</v>
      </c>
      <c r="D272" s="26" t="s">
        <v>81</v>
      </c>
      <c r="E272" s="27" t="s">
        <v>984</v>
      </c>
      <c r="F272" s="28" t="s">
        <v>985</v>
      </c>
      <c r="G272" s="29" t="s">
        <v>983</v>
      </c>
      <c r="H272" s="30">
        <v>45031.0</v>
      </c>
      <c r="I272" s="30">
        <v>45396.0</v>
      </c>
      <c r="J272" s="31">
        <v>0.0</v>
      </c>
      <c r="K272" s="26" t="s">
        <v>420</v>
      </c>
      <c r="L272" s="32" t="s">
        <v>63</v>
      </c>
      <c r="M272" s="33">
        <v>0.0</v>
      </c>
      <c r="N272" s="34">
        <v>0.0</v>
      </c>
      <c r="O272" s="27" t="s">
        <v>64</v>
      </c>
      <c r="P272" s="35">
        <v>0.0</v>
      </c>
      <c r="Q272" s="35" t="s">
        <v>90</v>
      </c>
      <c r="R272" s="36" t="e">
        <v>#VALUE!</v>
      </c>
      <c r="S272" s="35" t="s">
        <v>86</v>
      </c>
      <c r="T272" s="35">
        <v>0.0</v>
      </c>
      <c r="U272" s="37" t="s">
        <v>67</v>
      </c>
      <c r="V272" s="38"/>
      <c r="W272" s="38"/>
      <c r="X272" s="27"/>
      <c r="Y272" s="39"/>
      <c r="Z272" s="79" t="s">
        <v>476</v>
      </c>
      <c r="AA272" s="39"/>
      <c r="AB272" s="40"/>
      <c r="AC272" s="27">
        <f t="shared" si="123"/>
        <v>0</v>
      </c>
      <c r="AD272" s="41">
        <f>IF(AND(S272="0",O272="Paid"),(M272*15%)-AC272,0)</f>
        <v>0</v>
      </c>
      <c r="AE272" s="42"/>
      <c r="AF272" s="27"/>
      <c r="AG272" s="43">
        <f t="shared" si="178"/>
        <v>0</v>
      </c>
      <c r="AH272" s="29"/>
      <c r="AI272" s="29"/>
      <c r="AJ272" s="29"/>
      <c r="AK272" s="29"/>
      <c r="AL272" s="27"/>
      <c r="AM272" s="44"/>
      <c r="AN272" s="115"/>
      <c r="AO272" s="46"/>
      <c r="AP272" s="47"/>
      <c r="AQ272" s="43" t="b">
        <f>IF(O272="Paid",IF(U272="Motor Plus",(M272*27%),IF(U272="Motor One",(M272*22%),(IF(U272="Golden",(M272*25%),(IF(U272="Classic",(M272*15%),(IF(U272="Wethaq",(M272*28%),IF(U272="Alwataniya",(M272*21%))*0)))))))))</f>
        <v>0</v>
      </c>
      <c r="AR272" s="43">
        <f t="shared" si="2"/>
        <v>0</v>
      </c>
      <c r="AS272" s="43">
        <f t="shared" si="3"/>
        <v>0</v>
      </c>
      <c r="AT272" s="48">
        <f t="shared" si="4"/>
        <v>0</v>
      </c>
      <c r="AU272" s="49">
        <f t="shared" si="186"/>
        <v>0</v>
      </c>
      <c r="AV272" s="48"/>
      <c r="AW272" s="34">
        <f t="shared" si="5"/>
        <v>0</v>
      </c>
      <c r="AX272" s="50">
        <f t="shared" si="174"/>
        <v>0</v>
      </c>
      <c r="AY272" s="43"/>
      <c r="AZ272" s="43"/>
      <c r="BA272" s="48">
        <f t="shared" si="165"/>
        <v>0</v>
      </c>
      <c r="BB272" s="27"/>
      <c r="BC272" s="27"/>
      <c r="BD272" s="51"/>
      <c r="BE272" s="52"/>
      <c r="BF272" s="27" t="s">
        <v>984</v>
      </c>
      <c r="BG272" s="53">
        <v>0.0</v>
      </c>
      <c r="BH272" s="53" t="str">
        <f>'[1]2023'!Q480</f>
        <v>#REF!</v>
      </c>
      <c r="BI272" s="27"/>
      <c r="BJ272" s="27"/>
      <c r="BK272" s="27" t="s">
        <v>64</v>
      </c>
      <c r="BL272" s="27"/>
    </row>
    <row r="273" ht="14.25" customHeight="1">
      <c r="A273" s="26" t="s">
        <v>55</v>
      </c>
      <c r="B273" s="26" t="s">
        <v>56</v>
      </c>
      <c r="C273" s="26" t="s">
        <v>57</v>
      </c>
      <c r="D273" s="26" t="s">
        <v>81</v>
      </c>
      <c r="E273" s="27" t="s">
        <v>986</v>
      </c>
      <c r="F273" s="28" t="s">
        <v>987</v>
      </c>
      <c r="G273" s="29" t="s">
        <v>988</v>
      </c>
      <c r="H273" s="30">
        <v>45032.0</v>
      </c>
      <c r="I273" s="30">
        <v>45397.0</v>
      </c>
      <c r="J273" s="31">
        <v>0.0</v>
      </c>
      <c r="K273" s="26" t="s">
        <v>420</v>
      </c>
      <c r="L273" s="32" t="s">
        <v>75</v>
      </c>
      <c r="M273" s="33">
        <v>28320.0</v>
      </c>
      <c r="N273" s="34">
        <v>30129.88</v>
      </c>
      <c r="O273" s="27" t="s">
        <v>76</v>
      </c>
      <c r="P273" s="35" t="s">
        <v>142</v>
      </c>
      <c r="Q273" s="35" t="s">
        <v>90</v>
      </c>
      <c r="R273" s="36" t="e">
        <v>#VALUE!</v>
      </c>
      <c r="S273" s="35" t="s">
        <v>86</v>
      </c>
      <c r="T273" s="35">
        <v>0.0</v>
      </c>
      <c r="U273" s="37" t="s">
        <v>67</v>
      </c>
      <c r="V273" s="38"/>
      <c r="W273" s="38"/>
      <c r="X273" s="27"/>
      <c r="Y273" s="39"/>
      <c r="Z273" s="79" t="s">
        <v>208</v>
      </c>
      <c r="AA273" s="39"/>
      <c r="AB273" s="40"/>
      <c r="AC273" s="27">
        <f t="shared" si="123"/>
        <v>0</v>
      </c>
      <c r="AD273" s="41">
        <f>IF(AND(S273="0",O273="Paid"),M273*15%,0)</f>
        <v>4248</v>
      </c>
      <c r="AE273" s="42"/>
      <c r="AF273" s="27" t="s">
        <v>306</v>
      </c>
      <c r="AG273" s="43">
        <f t="shared" si="178"/>
        <v>7264.08</v>
      </c>
      <c r="AH273" s="29"/>
      <c r="AI273" s="29"/>
      <c r="AJ273" s="29"/>
      <c r="AK273" s="29"/>
      <c r="AL273" s="27"/>
      <c r="AM273" s="44"/>
      <c r="AN273" s="68"/>
      <c r="AO273" s="46"/>
      <c r="AP273" s="47"/>
      <c r="AQ273" s="43">
        <f t="shared" ref="AQ273:AQ274" si="187">IF(U273="Motor Plus",(M273*27%),IF(U273="Motor One",(M273*22%),(IF(U273="Golden",(M273*25%),(IF(U273="Classic",(M273*15%),(IF(U273="Wethaq",(M273*28%),IF(U273="Alwataniya",(M273*21%))*0))))))))</f>
        <v>7646.4</v>
      </c>
      <c r="AR273" s="43">
        <f t="shared" si="2"/>
        <v>382.32</v>
      </c>
      <c r="AS273" s="43">
        <f t="shared" si="3"/>
        <v>1338.12</v>
      </c>
      <c r="AT273" s="48">
        <f t="shared" si="4"/>
        <v>5925.96</v>
      </c>
      <c r="AU273" s="49">
        <f t="shared" si="186"/>
        <v>5925.96</v>
      </c>
      <c r="AV273" s="48"/>
      <c r="AW273" s="34">
        <f t="shared" si="5"/>
        <v>25881.88</v>
      </c>
      <c r="AX273" s="50">
        <f t="shared" si="174"/>
        <v>1677.96</v>
      </c>
      <c r="AY273" s="43"/>
      <c r="AZ273" s="27"/>
      <c r="BA273" s="48">
        <f t="shared" si="165"/>
        <v>5925.96</v>
      </c>
      <c r="BB273" s="27"/>
      <c r="BC273" s="27"/>
      <c r="BD273" s="51"/>
      <c r="BE273" s="52"/>
      <c r="BF273" s="27" t="s">
        <v>986</v>
      </c>
      <c r="BG273" s="58" t="s">
        <v>562</v>
      </c>
      <c r="BH273" s="53" t="str">
        <f>'[1]2023'!Q423</f>
        <v>#REF!</v>
      </c>
      <c r="BI273" s="27"/>
      <c r="BJ273" s="27"/>
      <c r="BK273" s="27" t="s">
        <v>76</v>
      </c>
      <c r="BL273" s="27"/>
    </row>
    <row r="274" ht="14.25" customHeight="1">
      <c r="A274" s="26" t="s">
        <v>55</v>
      </c>
      <c r="B274" s="26" t="s">
        <v>56</v>
      </c>
      <c r="C274" s="26" t="s">
        <v>57</v>
      </c>
      <c r="D274" s="26" t="s">
        <v>81</v>
      </c>
      <c r="E274" s="27" t="s">
        <v>989</v>
      </c>
      <c r="F274" s="26" t="s">
        <v>990</v>
      </c>
      <c r="G274" s="29" t="s">
        <v>988</v>
      </c>
      <c r="H274" s="30">
        <v>45032.0</v>
      </c>
      <c r="I274" s="30">
        <v>45397.0</v>
      </c>
      <c r="J274" s="31">
        <v>0.0</v>
      </c>
      <c r="K274" s="26" t="s">
        <v>420</v>
      </c>
      <c r="L274" s="32" t="s">
        <v>75</v>
      </c>
      <c r="M274" s="33">
        <v>18395.7</v>
      </c>
      <c r="N274" s="34">
        <v>19622.05</v>
      </c>
      <c r="O274" s="27" t="s">
        <v>76</v>
      </c>
      <c r="P274" s="35" t="s">
        <v>122</v>
      </c>
      <c r="Q274" s="35" t="s">
        <v>65</v>
      </c>
      <c r="R274" s="36" t="e">
        <v>#VALUE!</v>
      </c>
      <c r="S274" s="35" t="s">
        <v>78</v>
      </c>
      <c r="T274" s="54" t="s">
        <v>604</v>
      </c>
      <c r="U274" s="37" t="s">
        <v>67</v>
      </c>
      <c r="V274" s="38"/>
      <c r="W274" s="38"/>
      <c r="X274" s="27"/>
      <c r="Y274" s="39"/>
      <c r="Z274" s="39"/>
      <c r="AA274" s="39"/>
      <c r="AB274" s="40"/>
      <c r="AC274" s="27">
        <f t="shared" si="123"/>
        <v>0</v>
      </c>
      <c r="AD274" s="41"/>
      <c r="AE274" s="42"/>
      <c r="AF274" s="27"/>
      <c r="AG274" s="43">
        <f t="shared" si="178"/>
        <v>4718.49705</v>
      </c>
      <c r="AH274" s="29"/>
      <c r="AI274" s="29"/>
      <c r="AJ274" s="29"/>
      <c r="AK274" s="29"/>
      <c r="AL274" s="27"/>
      <c r="AM274" s="44"/>
      <c r="AN274" s="68"/>
      <c r="AO274" s="46">
        <f>M274*15%</f>
        <v>2759.355</v>
      </c>
      <c r="AP274" s="57">
        <v>45055.0</v>
      </c>
      <c r="AQ274" s="43">
        <f t="shared" si="187"/>
        <v>4966.839</v>
      </c>
      <c r="AR274" s="43">
        <f t="shared" si="2"/>
        <v>248.34195</v>
      </c>
      <c r="AS274" s="43">
        <f t="shared" si="3"/>
        <v>869.196825</v>
      </c>
      <c r="AT274" s="48">
        <f t="shared" si="4"/>
        <v>3849.300225</v>
      </c>
      <c r="AU274" s="49">
        <f t="shared" si="186"/>
        <v>3849.300225</v>
      </c>
      <c r="AV274" s="48"/>
      <c r="AW274" s="34">
        <f t="shared" si="5"/>
        <v>19622.05</v>
      </c>
      <c r="AX274" s="50">
        <f t="shared" si="174"/>
        <v>1089.945225</v>
      </c>
      <c r="AY274" s="43"/>
      <c r="AZ274" s="27"/>
      <c r="BA274" s="48">
        <f t="shared" si="165"/>
        <v>1089.945225</v>
      </c>
      <c r="BB274" s="27"/>
      <c r="BC274" s="27"/>
      <c r="BD274" s="51"/>
      <c r="BE274" s="52"/>
      <c r="BF274" s="27" t="s">
        <v>989</v>
      </c>
      <c r="BG274" s="53">
        <v>0.0</v>
      </c>
      <c r="BH274" s="53" t="str">
        <f>'[1]2023'!Q428</f>
        <v>#REF!</v>
      </c>
      <c r="BI274" s="27"/>
      <c r="BJ274" s="27"/>
      <c r="BK274" s="27" t="s">
        <v>76</v>
      </c>
      <c r="BL274" s="27"/>
    </row>
    <row r="275" ht="14.25" customHeight="1">
      <c r="A275" s="26" t="s">
        <v>55</v>
      </c>
      <c r="B275" s="26" t="s">
        <v>56</v>
      </c>
      <c r="C275" s="26" t="s">
        <v>57</v>
      </c>
      <c r="D275" s="26" t="s">
        <v>81</v>
      </c>
      <c r="E275" s="27" t="s">
        <v>991</v>
      </c>
      <c r="F275" s="28" t="s">
        <v>992</v>
      </c>
      <c r="G275" s="29" t="s">
        <v>988</v>
      </c>
      <c r="H275" s="30">
        <v>45032.0</v>
      </c>
      <c r="I275" s="30">
        <v>45397.0</v>
      </c>
      <c r="J275" s="31">
        <v>0.0</v>
      </c>
      <c r="K275" s="26" t="s">
        <v>420</v>
      </c>
      <c r="L275" s="32" t="s">
        <v>63</v>
      </c>
      <c r="M275" s="33">
        <v>0.0</v>
      </c>
      <c r="N275" s="34">
        <v>0.0</v>
      </c>
      <c r="O275" s="27" t="s">
        <v>64</v>
      </c>
      <c r="P275" s="35">
        <v>0.0</v>
      </c>
      <c r="Q275" s="35" t="s">
        <v>108</v>
      </c>
      <c r="R275" s="36" t="e">
        <v>#VALUE!</v>
      </c>
      <c r="S275" s="35" t="s">
        <v>86</v>
      </c>
      <c r="T275" s="35">
        <v>0.0</v>
      </c>
      <c r="U275" s="37">
        <v>0.0</v>
      </c>
      <c r="V275" s="38"/>
      <c r="W275" s="38"/>
      <c r="X275" s="27"/>
      <c r="Y275" s="39"/>
      <c r="Z275" s="39"/>
      <c r="AA275" s="39"/>
      <c r="AB275" s="40"/>
      <c r="AC275" s="27">
        <f t="shared" si="123"/>
        <v>0</v>
      </c>
      <c r="AD275" s="41">
        <f>IF(AND(S275="0",O275="Paid"),(M275*15%)-AC275,0)</f>
        <v>0</v>
      </c>
      <c r="AE275" s="42"/>
      <c r="AF275" s="27"/>
      <c r="AG275" s="43">
        <f>IF(O275="Paid",IF(A275="Alwataniya",(M275*21%)-((M275*21%)*5%),IF((A275="GIG"),(M275*25%)-((M275*25%)*5%),IF((A275="Allianz"),(M275*27%)-((M275*27%)*20%),0))),0)</f>
        <v>0</v>
      </c>
      <c r="AH275" s="29"/>
      <c r="AI275" s="29"/>
      <c r="AJ275" s="29"/>
      <c r="AK275" s="29"/>
      <c r="AL275" s="27"/>
      <c r="AM275" s="44"/>
      <c r="AN275" s="115"/>
      <c r="AO275" s="46"/>
      <c r="AP275" s="47"/>
      <c r="AQ275" s="43" t="b">
        <f>IF(O275="Paid",IF(U275="Motor Plus",(M275*27%),IF(U275="Motor One",(M275*22%),(IF(U275="Golden",(M275*25%),(IF(U275="Classic",(M275*15%),(IF(U275="Wethaq",(M275*28%),IF(U275="Alwataniya",(M275*21%))*0)))))))))</f>
        <v>0</v>
      </c>
      <c r="AR275" s="43">
        <f t="shared" si="2"/>
        <v>0</v>
      </c>
      <c r="AS275" s="43">
        <f t="shared" si="3"/>
        <v>0</v>
      </c>
      <c r="AT275" s="48">
        <f t="shared" si="4"/>
        <v>0</v>
      </c>
      <c r="AU275" s="49">
        <f t="shared" si="186"/>
        <v>0</v>
      </c>
      <c r="AV275" s="48"/>
      <c r="AW275" s="34">
        <f t="shared" si="5"/>
        <v>0</v>
      </c>
      <c r="AX275" s="50">
        <f t="shared" si="174"/>
        <v>0</v>
      </c>
      <c r="AY275" s="43"/>
      <c r="AZ275" s="43"/>
      <c r="BA275" s="48">
        <f t="shared" si="165"/>
        <v>0</v>
      </c>
      <c r="BB275" s="27"/>
      <c r="BC275" s="27"/>
      <c r="BD275" s="51"/>
      <c r="BE275" s="52"/>
      <c r="BF275" s="27" t="s">
        <v>991</v>
      </c>
      <c r="BG275" s="53">
        <v>0.0</v>
      </c>
      <c r="BH275" s="53" t="str">
        <f>'[1]2023'!Q513</f>
        <v>#REF!</v>
      </c>
      <c r="BI275" s="27"/>
      <c r="BJ275" s="27"/>
      <c r="BK275" s="27" t="s">
        <v>64</v>
      </c>
      <c r="BL275" s="27"/>
    </row>
    <row r="276" ht="14.25" customHeight="1">
      <c r="A276" s="26" t="s">
        <v>55</v>
      </c>
      <c r="B276" s="26" t="s">
        <v>56</v>
      </c>
      <c r="C276" s="26" t="s">
        <v>57</v>
      </c>
      <c r="D276" s="26" t="s">
        <v>71</v>
      </c>
      <c r="E276" s="27" t="s">
        <v>993</v>
      </c>
      <c r="F276" s="28" t="s">
        <v>994</v>
      </c>
      <c r="G276" s="29" t="s">
        <v>988</v>
      </c>
      <c r="H276" s="30">
        <v>45032.0</v>
      </c>
      <c r="I276" s="30">
        <v>45397.0</v>
      </c>
      <c r="J276" s="31" t="s">
        <v>995</v>
      </c>
      <c r="K276" s="26" t="s">
        <v>420</v>
      </c>
      <c r="L276" s="32" t="s">
        <v>996</v>
      </c>
      <c r="M276" s="33">
        <v>167750.0</v>
      </c>
      <c r="N276" s="34">
        <v>177789.25</v>
      </c>
      <c r="O276" s="27" t="s">
        <v>76</v>
      </c>
      <c r="P276" s="35" t="s">
        <v>142</v>
      </c>
      <c r="Q276" s="35" t="s">
        <v>108</v>
      </c>
      <c r="R276" s="36" t="e">
        <v>#VALUE!</v>
      </c>
      <c r="S276" s="35" t="s">
        <v>86</v>
      </c>
      <c r="T276" s="35">
        <v>0.0</v>
      </c>
      <c r="U276" s="37" t="s">
        <v>67</v>
      </c>
      <c r="V276" s="38">
        <v>6100000.0</v>
      </c>
      <c r="W276" s="78"/>
      <c r="X276" s="27"/>
      <c r="Y276" s="39"/>
      <c r="Z276" s="79" t="s">
        <v>997</v>
      </c>
      <c r="AA276" s="39"/>
      <c r="AB276" s="40"/>
      <c r="AC276" s="27">
        <f t="shared" si="123"/>
        <v>0</v>
      </c>
      <c r="AD276" s="41">
        <f>IF(AND(S276="0",O276="Paid"),M276*15%,0)</f>
        <v>25162.5</v>
      </c>
      <c r="AE276" s="42">
        <v>3000.0</v>
      </c>
      <c r="AF276" s="27" t="s">
        <v>393</v>
      </c>
      <c r="AG276" s="43">
        <f t="shared" ref="AG276:AG285" si="188">IF(O276="Paid",IF(A276="Alwataniya",(M276*21%)-((M276*21%)*5%),IF((A276="GIG"),(M276*25%)-((M276*25%)*5%),IF((A276="Allianz"),(M276*27%)-((M276*27%)*5%),0))),0)</f>
        <v>43027.875</v>
      </c>
      <c r="AH276" s="29"/>
      <c r="AI276" s="29"/>
      <c r="AJ276" s="29"/>
      <c r="AK276" s="29"/>
      <c r="AL276" s="27"/>
      <c r="AM276" s="44"/>
      <c r="AN276" s="115"/>
      <c r="AO276" s="46"/>
      <c r="AP276" s="47"/>
      <c r="AQ276" s="43">
        <f>IF(U276="Motor Plus",(M276*27%),IF(U276="Motor One",(M276*22%),(IF(U276="Golden",(M276*25%),(IF(U276="Classic",(M276*15%),(IF(U276="Wethaq",(M276*28%),IF(U276="Alwataniya",(M276*21%))*0))))))))</f>
        <v>45292.5</v>
      </c>
      <c r="AR276" s="43">
        <f t="shared" si="2"/>
        <v>2264.625</v>
      </c>
      <c r="AS276" s="43">
        <f t="shared" si="3"/>
        <v>7926.1875</v>
      </c>
      <c r="AT276" s="48">
        <f t="shared" si="4"/>
        <v>35101.6875</v>
      </c>
      <c r="AU276" s="49">
        <f t="shared" si="186"/>
        <v>35101.6875</v>
      </c>
      <c r="AV276" s="48"/>
      <c r="AW276" s="34">
        <f t="shared" si="5"/>
        <v>149626.75</v>
      </c>
      <c r="AX276" s="50">
        <f t="shared" si="174"/>
        <v>6939.1875</v>
      </c>
      <c r="AY276" s="43"/>
      <c r="AZ276" s="43"/>
      <c r="BA276" s="48">
        <f t="shared" si="165"/>
        <v>35101.6875</v>
      </c>
      <c r="BB276" s="27"/>
      <c r="BC276" s="27"/>
      <c r="BD276" s="51"/>
      <c r="BE276" s="52"/>
      <c r="BF276" s="77" t="s">
        <v>993</v>
      </c>
      <c r="BG276" s="58" t="s">
        <v>562</v>
      </c>
      <c r="BH276" s="53" t="str">
        <f>'[1]2023'!Q524</f>
        <v>#REF!</v>
      </c>
      <c r="BI276" s="27"/>
      <c r="BJ276" s="27"/>
      <c r="BK276" s="27" t="s">
        <v>76</v>
      </c>
      <c r="BL276" s="64" t="s">
        <v>998</v>
      </c>
    </row>
    <row r="277" ht="14.25" customHeight="1">
      <c r="A277" s="26" t="s">
        <v>55</v>
      </c>
      <c r="B277" s="26" t="s">
        <v>56</v>
      </c>
      <c r="C277" s="26" t="s">
        <v>57</v>
      </c>
      <c r="D277" s="26" t="s">
        <v>71</v>
      </c>
      <c r="E277" s="27" t="s">
        <v>999</v>
      </c>
      <c r="F277" s="28" t="s">
        <v>1000</v>
      </c>
      <c r="G277" s="29" t="s">
        <v>1001</v>
      </c>
      <c r="H277" s="30">
        <v>45033.0</v>
      </c>
      <c r="I277" s="30">
        <v>45398.0</v>
      </c>
      <c r="J277" s="31" t="s">
        <v>1002</v>
      </c>
      <c r="K277" s="26" t="s">
        <v>420</v>
      </c>
      <c r="L277" s="32" t="s">
        <v>63</v>
      </c>
      <c r="M277" s="33">
        <v>0.0</v>
      </c>
      <c r="N277" s="34">
        <v>0.0</v>
      </c>
      <c r="O277" s="27" t="s">
        <v>64</v>
      </c>
      <c r="P277" s="35">
        <v>0.0</v>
      </c>
      <c r="Q277" s="35" t="s">
        <v>65</v>
      </c>
      <c r="R277" s="36" t="e">
        <v>#VALUE!</v>
      </c>
      <c r="S277" s="35" t="s">
        <v>86</v>
      </c>
      <c r="T277" s="35">
        <v>0.0</v>
      </c>
      <c r="U277" s="37" t="s">
        <v>67</v>
      </c>
      <c r="V277" s="38"/>
      <c r="W277" s="38"/>
      <c r="X277" s="27"/>
      <c r="Y277" s="39"/>
      <c r="Z277" s="79" t="s">
        <v>1003</v>
      </c>
      <c r="AA277" s="39"/>
      <c r="AB277" s="40"/>
      <c r="AC277" s="27">
        <f t="shared" si="123"/>
        <v>0</v>
      </c>
      <c r="AD277" s="41">
        <f>IF(AND(S277="0",O277="Paid"),(M277*15%)-AC277,0)</f>
        <v>0</v>
      </c>
      <c r="AE277" s="42"/>
      <c r="AF277" s="27"/>
      <c r="AG277" s="43">
        <f t="shared" si="188"/>
        <v>0</v>
      </c>
      <c r="AH277" s="29"/>
      <c r="AI277" s="29"/>
      <c r="AJ277" s="29"/>
      <c r="AK277" s="29"/>
      <c r="AL277" s="27"/>
      <c r="AM277" s="44"/>
      <c r="AN277" s="115"/>
      <c r="AO277" s="46"/>
      <c r="AP277" s="68"/>
      <c r="AQ277" s="43" t="b">
        <f>IF(O277="Paid",IF(U277="Motor Plus",(M277*27%),IF(U277="Motor One",(M277*22%),(IF(U277="Golden",(M277*25%),(IF(U277="Classic",(M277*15%),(IF(U277="Wethaq",(M277*28%),IF(U277="Alwataniya",(M277*21%))*0)))))))))</f>
        <v>0</v>
      </c>
      <c r="AR277" s="43">
        <f t="shared" si="2"/>
        <v>0</v>
      </c>
      <c r="AS277" s="43">
        <f t="shared" si="3"/>
        <v>0</v>
      </c>
      <c r="AT277" s="48">
        <f t="shared" si="4"/>
        <v>0</v>
      </c>
      <c r="AU277" s="49">
        <f t="shared" si="186"/>
        <v>0</v>
      </c>
      <c r="AV277" s="48"/>
      <c r="AW277" s="34">
        <f t="shared" si="5"/>
        <v>0</v>
      </c>
      <c r="AX277" s="50">
        <f t="shared" si="174"/>
        <v>0</v>
      </c>
      <c r="AY277" s="43"/>
      <c r="AZ277" s="43"/>
      <c r="BA277" s="48">
        <f t="shared" si="165"/>
        <v>0</v>
      </c>
      <c r="BB277" s="27"/>
      <c r="BC277" s="27"/>
      <c r="BD277" s="51"/>
      <c r="BE277" s="52"/>
      <c r="BF277" s="27" t="s">
        <v>999</v>
      </c>
      <c r="BG277" s="58" t="s">
        <v>1004</v>
      </c>
      <c r="BH277" s="53" t="str">
        <f>'[1]2023'!Q530</f>
        <v>#REF!</v>
      </c>
      <c r="BI277" s="27"/>
      <c r="BJ277" s="27"/>
      <c r="BK277" s="27" t="s">
        <v>64</v>
      </c>
      <c r="BL277" s="27"/>
    </row>
    <row r="278" ht="14.25" customHeight="1">
      <c r="A278" s="26" t="s">
        <v>55</v>
      </c>
      <c r="B278" s="26" t="s">
        <v>56</v>
      </c>
      <c r="C278" s="26" t="s">
        <v>57</v>
      </c>
      <c r="D278" s="26" t="s">
        <v>81</v>
      </c>
      <c r="E278" s="27" t="s">
        <v>1005</v>
      </c>
      <c r="F278" s="28" t="s">
        <v>1006</v>
      </c>
      <c r="G278" s="29" t="s">
        <v>1007</v>
      </c>
      <c r="H278" s="30">
        <v>45034.0</v>
      </c>
      <c r="I278" s="30">
        <v>45399.0</v>
      </c>
      <c r="J278" s="31">
        <v>0.0</v>
      </c>
      <c r="K278" s="26" t="s">
        <v>420</v>
      </c>
      <c r="L278" s="32" t="s">
        <v>393</v>
      </c>
      <c r="M278" s="33">
        <v>61950.0</v>
      </c>
      <c r="N278" s="34">
        <v>65749.05</v>
      </c>
      <c r="O278" s="27" t="s">
        <v>76</v>
      </c>
      <c r="P278" s="35" t="s">
        <v>142</v>
      </c>
      <c r="Q278" s="35" t="s">
        <v>108</v>
      </c>
      <c r="R278" s="36" t="e">
        <v>#VALUE!</v>
      </c>
      <c r="S278" s="35" t="s">
        <v>86</v>
      </c>
      <c r="T278" s="35">
        <v>0.0</v>
      </c>
      <c r="U278" s="37" t="s">
        <v>67</v>
      </c>
      <c r="V278" s="38">
        <v>3000000.0</v>
      </c>
      <c r="W278" s="38"/>
      <c r="X278" s="27"/>
      <c r="Y278" s="39"/>
      <c r="Z278" s="39"/>
      <c r="AA278" s="39"/>
      <c r="AB278" s="40"/>
      <c r="AC278" s="27">
        <f t="shared" si="123"/>
        <v>0</v>
      </c>
      <c r="AD278" s="41">
        <f t="shared" ref="AD278:AD279" si="189">IF(AND(S278="0",O278="Paid"),M278*15%,0)</f>
        <v>9292.5</v>
      </c>
      <c r="AE278" s="42"/>
      <c r="AF278" s="29">
        <v>44962.0</v>
      </c>
      <c r="AG278" s="43">
        <f t="shared" si="188"/>
        <v>15890.175</v>
      </c>
      <c r="AH278" s="29"/>
      <c r="AI278" s="29"/>
      <c r="AJ278" s="29"/>
      <c r="AK278" s="29"/>
      <c r="AL278" s="90"/>
      <c r="AM278" s="44"/>
      <c r="AN278" s="115"/>
      <c r="AO278" s="46"/>
      <c r="AP278" s="47"/>
      <c r="AQ278" s="43">
        <f t="shared" ref="AQ278:AQ279" si="190">IF(U278="Motor Plus",(M278*27%),IF(U278="Motor One",(M278*22%),(IF(U278="Golden",(M278*25%),(IF(U278="Classic",(M278*15%),(IF(U278="Wethaq",(M278*28%),IF(U278="Alwataniya",(M278*21%))*0))))))))</f>
        <v>16726.5</v>
      </c>
      <c r="AR278" s="43">
        <f t="shared" si="2"/>
        <v>836.325</v>
      </c>
      <c r="AS278" s="43">
        <f t="shared" si="3"/>
        <v>2927.1375</v>
      </c>
      <c r="AT278" s="48">
        <f t="shared" si="4"/>
        <v>12963.0375</v>
      </c>
      <c r="AU278" s="49">
        <f t="shared" si="186"/>
        <v>12963.0375</v>
      </c>
      <c r="AV278" s="48"/>
      <c r="AW278" s="82">
        <f t="shared" si="5"/>
        <v>56456.55</v>
      </c>
      <c r="AX278" s="50">
        <f t="shared" si="174"/>
        <v>3670.5375</v>
      </c>
      <c r="AY278" s="43"/>
      <c r="AZ278" s="43"/>
      <c r="BA278" s="48">
        <f t="shared" si="165"/>
        <v>12963.0375</v>
      </c>
      <c r="BB278" s="27"/>
      <c r="BC278" s="27"/>
      <c r="BD278" s="51"/>
      <c r="BE278" s="52"/>
      <c r="BF278" s="27" t="s">
        <v>1005</v>
      </c>
      <c r="BG278" s="53">
        <v>0.0</v>
      </c>
      <c r="BH278" s="53" t="str">
        <f>'[1]2023'!Q497</f>
        <v>#REF!</v>
      </c>
      <c r="BI278" s="27"/>
      <c r="BJ278" s="27"/>
      <c r="BK278" s="27" t="s">
        <v>76</v>
      </c>
      <c r="BL278" s="64" t="s">
        <v>831</v>
      </c>
    </row>
    <row r="279" ht="14.25" customHeight="1">
      <c r="A279" s="26" t="s">
        <v>55</v>
      </c>
      <c r="B279" s="26" t="s">
        <v>56</v>
      </c>
      <c r="C279" s="26" t="s">
        <v>57</v>
      </c>
      <c r="D279" s="26" t="s">
        <v>71</v>
      </c>
      <c r="E279" s="27" t="s">
        <v>1008</v>
      </c>
      <c r="F279" s="28" t="s">
        <v>1009</v>
      </c>
      <c r="G279" s="29" t="s">
        <v>1007</v>
      </c>
      <c r="H279" s="30">
        <v>45034.0</v>
      </c>
      <c r="I279" s="30">
        <v>45399.0</v>
      </c>
      <c r="J279" s="31" t="s">
        <v>1010</v>
      </c>
      <c r="K279" s="26" t="s">
        <v>420</v>
      </c>
      <c r="L279" s="32" t="s">
        <v>393</v>
      </c>
      <c r="M279" s="33">
        <v>95875.0</v>
      </c>
      <c r="N279" s="34">
        <v>101674.63</v>
      </c>
      <c r="O279" s="27" t="s">
        <v>76</v>
      </c>
      <c r="P279" s="35" t="s">
        <v>142</v>
      </c>
      <c r="Q279" s="35" t="s">
        <v>108</v>
      </c>
      <c r="R279" s="36" t="e">
        <v>#VALUE!</v>
      </c>
      <c r="S279" s="35" t="s">
        <v>86</v>
      </c>
      <c r="T279" s="35">
        <v>0.0</v>
      </c>
      <c r="U279" s="37" t="s">
        <v>67</v>
      </c>
      <c r="V279" s="38">
        <v>3250000.0</v>
      </c>
      <c r="W279" s="78"/>
      <c r="X279" s="27"/>
      <c r="Y279" s="39"/>
      <c r="Z279" s="79" t="s">
        <v>1011</v>
      </c>
      <c r="AA279" s="39"/>
      <c r="AB279" s="40"/>
      <c r="AC279" s="27">
        <f t="shared" si="123"/>
        <v>0</v>
      </c>
      <c r="AD279" s="41">
        <f t="shared" si="189"/>
        <v>14381.25</v>
      </c>
      <c r="AE279" s="42">
        <v>1650.0</v>
      </c>
      <c r="AF279" s="29">
        <v>44962.0</v>
      </c>
      <c r="AG279" s="43">
        <f t="shared" si="188"/>
        <v>24591.9375</v>
      </c>
      <c r="AH279" s="29"/>
      <c r="AI279" s="29"/>
      <c r="AJ279" s="29"/>
      <c r="AK279" s="29"/>
      <c r="AL279" s="90"/>
      <c r="AM279" s="44"/>
      <c r="AN279" s="115"/>
      <c r="AO279" s="46"/>
      <c r="AP279" s="47"/>
      <c r="AQ279" s="43">
        <f t="shared" si="190"/>
        <v>25886.25</v>
      </c>
      <c r="AR279" s="43">
        <f t="shared" si="2"/>
        <v>1294.3125</v>
      </c>
      <c r="AS279" s="43">
        <f t="shared" si="3"/>
        <v>4530.09375</v>
      </c>
      <c r="AT279" s="48">
        <f t="shared" si="4"/>
        <v>20061.84375</v>
      </c>
      <c r="AU279" s="49">
        <f t="shared" si="186"/>
        <v>20061.84375</v>
      </c>
      <c r="AV279" s="48"/>
      <c r="AW279" s="82">
        <f t="shared" si="5"/>
        <v>85643.38</v>
      </c>
      <c r="AX279" s="50">
        <f t="shared" si="174"/>
        <v>4030.59375</v>
      </c>
      <c r="AY279" s="43"/>
      <c r="AZ279" s="43"/>
      <c r="BA279" s="48">
        <f t="shared" si="165"/>
        <v>20061.84375</v>
      </c>
      <c r="BB279" s="27"/>
      <c r="BC279" s="27"/>
      <c r="BD279" s="51"/>
      <c r="BE279" s="52"/>
      <c r="BF279" s="27" t="s">
        <v>1008</v>
      </c>
      <c r="BG279" s="58" t="s">
        <v>1012</v>
      </c>
      <c r="BH279" s="53" t="str">
        <f t="shared" ref="BH279:BH280" si="191">'[1]2023'!Q522</f>
        <v>#REF!</v>
      </c>
      <c r="BI279" s="27"/>
      <c r="BJ279" s="27"/>
      <c r="BK279" s="27" t="s">
        <v>76</v>
      </c>
      <c r="BL279" s="64" t="s">
        <v>831</v>
      </c>
    </row>
    <row r="280" ht="14.25" customHeight="1">
      <c r="A280" s="26" t="s">
        <v>55</v>
      </c>
      <c r="B280" s="26" t="s">
        <v>56</v>
      </c>
      <c r="C280" s="26" t="s">
        <v>57</v>
      </c>
      <c r="D280" s="26" t="s">
        <v>71</v>
      </c>
      <c r="E280" s="27" t="s">
        <v>1013</v>
      </c>
      <c r="F280" s="28" t="s">
        <v>1014</v>
      </c>
      <c r="G280" s="29" t="s">
        <v>1007</v>
      </c>
      <c r="H280" s="30">
        <v>45034.0</v>
      </c>
      <c r="I280" s="30">
        <v>45399.0</v>
      </c>
      <c r="J280" s="31" t="s">
        <v>1002</v>
      </c>
      <c r="K280" s="26" t="s">
        <v>420</v>
      </c>
      <c r="L280" s="32" t="s">
        <v>63</v>
      </c>
      <c r="M280" s="33">
        <v>0.0</v>
      </c>
      <c r="N280" s="34">
        <v>0.0</v>
      </c>
      <c r="O280" s="27" t="s">
        <v>64</v>
      </c>
      <c r="P280" s="35">
        <v>0.0</v>
      </c>
      <c r="Q280" s="35" t="s">
        <v>65</v>
      </c>
      <c r="R280" s="36" t="e">
        <v>#VALUE!</v>
      </c>
      <c r="S280" s="35" t="s">
        <v>86</v>
      </c>
      <c r="T280" s="35">
        <v>0.0</v>
      </c>
      <c r="U280" s="37" t="s">
        <v>67</v>
      </c>
      <c r="V280" s="38"/>
      <c r="W280" s="38"/>
      <c r="X280" s="27"/>
      <c r="Y280" s="39"/>
      <c r="Z280" s="39"/>
      <c r="AA280" s="39"/>
      <c r="AB280" s="40"/>
      <c r="AC280" s="27">
        <f t="shared" si="123"/>
        <v>0</v>
      </c>
      <c r="AD280" s="41">
        <f>IF(AND(S280="0",O280="Paid"),(M280*15%)-AC280,0)</f>
        <v>0</v>
      </c>
      <c r="AE280" s="42"/>
      <c r="AF280" s="27"/>
      <c r="AG280" s="43">
        <f t="shared" si="188"/>
        <v>0</v>
      </c>
      <c r="AH280" s="29"/>
      <c r="AI280" s="29"/>
      <c r="AJ280" s="29"/>
      <c r="AK280" s="29"/>
      <c r="AL280" s="27"/>
      <c r="AM280" s="44"/>
      <c r="AN280" s="115"/>
      <c r="AO280" s="46"/>
      <c r="AP280" s="47"/>
      <c r="AQ280" s="43" t="b">
        <f>IF(O280="Paid",IF(U280="Motor Plus",(M280*27%),IF(U280="Motor One",(M280*22%),(IF(U280="Golden",(M280*25%),(IF(U280="Classic",(M280*15%),(IF(U280="Wethaq",(M280*28%),IF(U280="Alwataniya",(M280*21%))*0)))))))))</f>
        <v>0</v>
      </c>
      <c r="AR280" s="43">
        <f t="shared" si="2"/>
        <v>0</v>
      </c>
      <c r="AS280" s="43">
        <f t="shared" si="3"/>
        <v>0</v>
      </c>
      <c r="AT280" s="48">
        <f t="shared" si="4"/>
        <v>0</v>
      </c>
      <c r="AU280" s="49">
        <f t="shared" si="186"/>
        <v>0</v>
      </c>
      <c r="AV280" s="48"/>
      <c r="AW280" s="34">
        <f t="shared" si="5"/>
        <v>0</v>
      </c>
      <c r="AX280" s="50">
        <f t="shared" si="174"/>
        <v>0</v>
      </c>
      <c r="AY280" s="43"/>
      <c r="AZ280" s="43"/>
      <c r="BA280" s="48">
        <f t="shared" si="165"/>
        <v>0</v>
      </c>
      <c r="BB280" s="27"/>
      <c r="BC280" s="27"/>
      <c r="BD280" s="51"/>
      <c r="BE280" s="52"/>
      <c r="BF280" s="27" t="s">
        <v>1013</v>
      </c>
      <c r="BG280" s="58" t="s">
        <v>1015</v>
      </c>
      <c r="BH280" s="53" t="str">
        <f t="shared" si="191"/>
        <v>#REF!</v>
      </c>
      <c r="BI280" s="27"/>
      <c r="BJ280" s="27"/>
      <c r="BK280" s="27" t="s">
        <v>64</v>
      </c>
      <c r="BL280" s="27"/>
    </row>
    <row r="281" ht="14.25" customHeight="1">
      <c r="A281" s="26" t="s">
        <v>55</v>
      </c>
      <c r="B281" s="26" t="s">
        <v>56</v>
      </c>
      <c r="C281" s="26" t="s">
        <v>57</v>
      </c>
      <c r="D281" s="26" t="s">
        <v>81</v>
      </c>
      <c r="E281" s="27" t="s">
        <v>1016</v>
      </c>
      <c r="F281" s="26" t="s">
        <v>1017</v>
      </c>
      <c r="G281" s="29" t="s">
        <v>1018</v>
      </c>
      <c r="H281" s="30">
        <v>45035.0</v>
      </c>
      <c r="I281" s="30">
        <v>45400.0</v>
      </c>
      <c r="J281" s="31">
        <v>0.0</v>
      </c>
      <c r="K281" s="26" t="s">
        <v>420</v>
      </c>
      <c r="L281" s="32" t="s">
        <v>75</v>
      </c>
      <c r="M281" s="33">
        <v>31152.0</v>
      </c>
      <c r="N281" s="34">
        <v>33129.96</v>
      </c>
      <c r="O281" s="27" t="s">
        <v>76</v>
      </c>
      <c r="P281" s="35" t="s">
        <v>430</v>
      </c>
      <c r="Q281" s="35" t="s">
        <v>85</v>
      </c>
      <c r="R281" s="36" t="e">
        <v>#VALUE!</v>
      </c>
      <c r="S281" s="35" t="s">
        <v>86</v>
      </c>
      <c r="T281" s="35">
        <v>0.0</v>
      </c>
      <c r="U281" s="37" t="s">
        <v>67</v>
      </c>
      <c r="V281" s="38"/>
      <c r="W281" s="38"/>
      <c r="X281" s="27"/>
      <c r="Y281" s="39"/>
      <c r="Z281" s="39"/>
      <c r="AA281" s="39"/>
      <c r="AB281" s="40"/>
      <c r="AC281" s="27">
        <f t="shared" si="123"/>
        <v>0</v>
      </c>
      <c r="AD281" s="41">
        <f>IF(AND(S281="0",O281="Paid"),M281*15%,0)</f>
        <v>4672.8</v>
      </c>
      <c r="AE281" s="42"/>
      <c r="AF281" s="92">
        <v>45112.0</v>
      </c>
      <c r="AG281" s="43">
        <f t="shared" si="188"/>
        <v>7990.488</v>
      </c>
      <c r="AH281" s="29"/>
      <c r="AI281" s="29"/>
      <c r="AJ281" s="29"/>
      <c r="AK281" s="29"/>
      <c r="AL281" s="27"/>
      <c r="AM281" s="44"/>
      <c r="AN281" s="68"/>
      <c r="AO281" s="46"/>
      <c r="AP281" s="47"/>
      <c r="AQ281" s="43">
        <f t="shared" ref="AQ281:AQ285" si="192">IF(U281="Motor Plus",(M281*27%),IF(U281="Motor One",(M281*22%),(IF(U281="Golden",(M281*25%),(IF(U281="Classic",(M281*15%),(IF(U281="Wethaq",(M281*28%),IF(U281="Alwataniya",(M281*21%))*0))))))))</f>
        <v>8411.04</v>
      </c>
      <c r="AR281" s="43">
        <f t="shared" si="2"/>
        <v>420.552</v>
      </c>
      <c r="AS281" s="43">
        <f t="shared" si="3"/>
        <v>1471.932</v>
      </c>
      <c r="AT281" s="48">
        <f t="shared" si="4"/>
        <v>6518.556</v>
      </c>
      <c r="AU281" s="49">
        <f t="shared" si="186"/>
        <v>6518.556</v>
      </c>
      <c r="AV281" s="48"/>
      <c r="AW281" s="34">
        <f t="shared" si="5"/>
        <v>28457.16</v>
      </c>
      <c r="AX281" s="50">
        <f t="shared" si="174"/>
        <v>1845.756</v>
      </c>
      <c r="AY281" s="43"/>
      <c r="AZ281" s="27"/>
      <c r="BA281" s="48">
        <f t="shared" si="165"/>
        <v>6518.556</v>
      </c>
      <c r="BB281" s="27"/>
      <c r="BC281" s="27"/>
      <c r="BD281" s="51"/>
      <c r="BE281" s="52"/>
      <c r="BF281" s="27" t="s">
        <v>1016</v>
      </c>
      <c r="BG281" s="53">
        <v>0.0</v>
      </c>
      <c r="BH281" s="53" t="str">
        <f>'[1]2023'!Q422</f>
        <v>#REF!</v>
      </c>
      <c r="BI281" s="27"/>
      <c r="BJ281" s="27"/>
      <c r="BK281" s="27" t="s">
        <v>76</v>
      </c>
      <c r="BL281" s="27"/>
    </row>
    <row r="282" ht="14.25" customHeight="1">
      <c r="A282" s="26" t="s">
        <v>55</v>
      </c>
      <c r="B282" s="26" t="s">
        <v>56</v>
      </c>
      <c r="C282" s="26" t="s">
        <v>57</v>
      </c>
      <c r="D282" s="26" t="s">
        <v>81</v>
      </c>
      <c r="E282" s="27" t="s">
        <v>1019</v>
      </c>
      <c r="F282" s="26" t="s">
        <v>1020</v>
      </c>
      <c r="G282" s="29" t="s">
        <v>1018</v>
      </c>
      <c r="H282" s="30">
        <v>45035.0</v>
      </c>
      <c r="I282" s="30">
        <v>45400.0</v>
      </c>
      <c r="J282" s="31">
        <v>0.0</v>
      </c>
      <c r="K282" s="26" t="s">
        <v>420</v>
      </c>
      <c r="L282" s="32" t="s">
        <v>75</v>
      </c>
      <c r="M282" s="33">
        <v>20995.0</v>
      </c>
      <c r="N282" s="34">
        <v>22374.71</v>
      </c>
      <c r="O282" s="27" t="s">
        <v>76</v>
      </c>
      <c r="P282" s="35" t="s">
        <v>122</v>
      </c>
      <c r="Q282" s="35" t="s">
        <v>65</v>
      </c>
      <c r="R282" s="36" t="e">
        <v>#VALUE!</v>
      </c>
      <c r="S282" s="35" t="s">
        <v>86</v>
      </c>
      <c r="T282" s="35">
        <v>0.0</v>
      </c>
      <c r="U282" s="37" t="s">
        <v>67</v>
      </c>
      <c r="V282" s="38"/>
      <c r="W282" s="38"/>
      <c r="X282" s="27"/>
      <c r="Y282" s="39"/>
      <c r="Z282" s="39"/>
      <c r="AA282" s="39"/>
      <c r="AB282" s="40"/>
      <c r="AC282" s="27">
        <f t="shared" si="123"/>
        <v>0</v>
      </c>
      <c r="AD282" s="41"/>
      <c r="AE282" s="42"/>
      <c r="AF282" s="27"/>
      <c r="AG282" s="43">
        <f t="shared" si="188"/>
        <v>5385.2175</v>
      </c>
      <c r="AH282" s="29"/>
      <c r="AI282" s="29"/>
      <c r="AJ282" s="29"/>
      <c r="AK282" s="29"/>
      <c r="AL282" s="27"/>
      <c r="AM282" s="44"/>
      <c r="AN282" s="68"/>
      <c r="AO282" s="46"/>
      <c r="AP282" s="47"/>
      <c r="AQ282" s="43">
        <f t="shared" si="192"/>
        <v>5668.65</v>
      </c>
      <c r="AR282" s="43">
        <f t="shared" si="2"/>
        <v>283.4325</v>
      </c>
      <c r="AS282" s="43">
        <f t="shared" si="3"/>
        <v>992.01375</v>
      </c>
      <c r="AT282" s="48">
        <f t="shared" si="4"/>
        <v>4393.20375</v>
      </c>
      <c r="AU282" s="49">
        <f t="shared" si="186"/>
        <v>4393.20375</v>
      </c>
      <c r="AV282" s="48"/>
      <c r="AW282" s="34">
        <f t="shared" si="5"/>
        <v>22374.71</v>
      </c>
      <c r="AX282" s="50">
        <f t="shared" si="174"/>
        <v>4393.20375</v>
      </c>
      <c r="AY282" s="43"/>
      <c r="AZ282" s="27"/>
      <c r="BA282" s="48">
        <f t="shared" si="165"/>
        <v>4393.20375</v>
      </c>
      <c r="BB282" s="27"/>
      <c r="BC282" s="27"/>
      <c r="BD282" s="51"/>
      <c r="BE282" s="52"/>
      <c r="BF282" s="27" t="s">
        <v>1019</v>
      </c>
      <c r="BG282" s="53">
        <v>0.0</v>
      </c>
      <c r="BH282" s="53" t="str">
        <f>'[1]2023'!Q429</f>
        <v>#REF!</v>
      </c>
      <c r="BI282" s="27"/>
      <c r="BJ282" s="27"/>
      <c r="BK282" s="27" t="s">
        <v>76</v>
      </c>
      <c r="BL282" s="27"/>
    </row>
    <row r="283" ht="14.25" customHeight="1">
      <c r="A283" s="26" t="s">
        <v>55</v>
      </c>
      <c r="B283" s="26" t="s">
        <v>56</v>
      </c>
      <c r="C283" s="26" t="s">
        <v>57</v>
      </c>
      <c r="D283" s="26" t="s">
        <v>81</v>
      </c>
      <c r="E283" s="27" t="s">
        <v>1021</v>
      </c>
      <c r="F283" s="28" t="s">
        <v>1022</v>
      </c>
      <c r="G283" s="29" t="s">
        <v>1018</v>
      </c>
      <c r="H283" s="30">
        <v>45035.0</v>
      </c>
      <c r="I283" s="30">
        <v>45400.0</v>
      </c>
      <c r="J283" s="31">
        <v>0.0</v>
      </c>
      <c r="K283" s="26" t="s">
        <v>420</v>
      </c>
      <c r="L283" s="32" t="s">
        <v>75</v>
      </c>
      <c r="M283" s="33">
        <v>26169.35</v>
      </c>
      <c r="N283" s="34">
        <v>27854.35</v>
      </c>
      <c r="O283" s="27" t="s">
        <v>76</v>
      </c>
      <c r="P283" s="35" t="s">
        <v>104</v>
      </c>
      <c r="Q283" s="35" t="s">
        <v>90</v>
      </c>
      <c r="R283" s="36" t="e">
        <v>#VALUE!</v>
      </c>
      <c r="S283" s="35" t="s">
        <v>86</v>
      </c>
      <c r="T283" s="35">
        <v>0.0</v>
      </c>
      <c r="U283" s="37" t="s">
        <v>67</v>
      </c>
      <c r="V283" s="38"/>
      <c r="W283" s="38"/>
      <c r="X283" s="27"/>
      <c r="Y283" s="39"/>
      <c r="Z283" s="79" t="s">
        <v>407</v>
      </c>
      <c r="AA283" s="39"/>
      <c r="AB283" s="40"/>
      <c r="AC283" s="27">
        <f t="shared" si="123"/>
        <v>0</v>
      </c>
      <c r="AD283" s="41">
        <f t="shared" ref="AD283:AD286" si="193">IF(AND(S283="0",O283="Paid"),M283*15%,0)</f>
        <v>3925.4025</v>
      </c>
      <c r="AE283" s="42"/>
      <c r="AF283" s="27"/>
      <c r="AG283" s="43">
        <f t="shared" si="188"/>
        <v>6712.438275</v>
      </c>
      <c r="AH283" s="29"/>
      <c r="AI283" s="29"/>
      <c r="AJ283" s="29"/>
      <c r="AK283" s="29"/>
      <c r="AL283" s="27"/>
      <c r="AM283" s="44"/>
      <c r="AN283" s="68"/>
      <c r="AO283" s="46"/>
      <c r="AP283" s="47"/>
      <c r="AQ283" s="43">
        <f t="shared" si="192"/>
        <v>7065.7245</v>
      </c>
      <c r="AR283" s="43">
        <f t="shared" si="2"/>
        <v>353.286225</v>
      </c>
      <c r="AS283" s="43">
        <f t="shared" si="3"/>
        <v>1236.501788</v>
      </c>
      <c r="AT283" s="48">
        <f t="shared" si="4"/>
        <v>5475.936488</v>
      </c>
      <c r="AU283" s="49">
        <f t="shared" si="186"/>
        <v>5475.936488</v>
      </c>
      <c r="AV283" s="48"/>
      <c r="AW283" s="34">
        <f t="shared" si="5"/>
        <v>23928.9475</v>
      </c>
      <c r="AX283" s="50">
        <f t="shared" si="174"/>
        <v>1550.533988</v>
      </c>
      <c r="AY283" s="43"/>
      <c r="AZ283" s="27"/>
      <c r="BA283" s="48">
        <f t="shared" si="165"/>
        <v>5475.936488</v>
      </c>
      <c r="BB283" s="27"/>
      <c r="BC283" s="27"/>
      <c r="BD283" s="51"/>
      <c r="BE283" s="52"/>
      <c r="BF283" s="27" t="s">
        <v>1021</v>
      </c>
      <c r="BG283" s="58" t="s">
        <v>562</v>
      </c>
      <c r="BH283" s="53" t="str">
        <f>'[1]2023'!Q453</f>
        <v>#REF!</v>
      </c>
      <c r="BI283" s="27"/>
      <c r="BJ283" s="27"/>
      <c r="BK283" s="27" t="s">
        <v>76</v>
      </c>
      <c r="BL283" s="27"/>
    </row>
    <row r="284" ht="14.25" customHeight="1">
      <c r="A284" s="26" t="s">
        <v>55</v>
      </c>
      <c r="B284" s="26" t="s">
        <v>56</v>
      </c>
      <c r="C284" s="26" t="s">
        <v>57</v>
      </c>
      <c r="D284" s="26" t="s">
        <v>81</v>
      </c>
      <c r="E284" s="27" t="s">
        <v>1023</v>
      </c>
      <c r="F284" s="26" t="s">
        <v>1024</v>
      </c>
      <c r="G284" s="29" t="s">
        <v>1018</v>
      </c>
      <c r="H284" s="30">
        <v>45035.0</v>
      </c>
      <c r="I284" s="30">
        <v>45400.0</v>
      </c>
      <c r="J284" s="31">
        <v>0.0</v>
      </c>
      <c r="K284" s="26" t="s">
        <v>420</v>
      </c>
      <c r="L284" s="32" t="s">
        <v>75</v>
      </c>
      <c r="M284" s="33">
        <v>20800.0</v>
      </c>
      <c r="N284" s="34">
        <v>22168.2</v>
      </c>
      <c r="O284" s="27" t="s">
        <v>76</v>
      </c>
      <c r="P284" s="35" t="s">
        <v>122</v>
      </c>
      <c r="Q284" s="35" t="s">
        <v>108</v>
      </c>
      <c r="R284" s="36" t="e">
        <v>#VALUE!</v>
      </c>
      <c r="S284" s="35" t="s">
        <v>86</v>
      </c>
      <c r="T284" s="35">
        <v>0.0</v>
      </c>
      <c r="U284" s="37" t="s">
        <v>67</v>
      </c>
      <c r="V284" s="38"/>
      <c r="W284" s="38"/>
      <c r="X284" s="27"/>
      <c r="Y284" s="39"/>
      <c r="Z284" s="39"/>
      <c r="AA284" s="39"/>
      <c r="AB284" s="40"/>
      <c r="AC284" s="27">
        <f t="shared" si="123"/>
        <v>0</v>
      </c>
      <c r="AD284" s="41">
        <f t="shared" si="193"/>
        <v>3120</v>
      </c>
      <c r="AE284" s="42"/>
      <c r="AF284" s="29">
        <v>44931.0</v>
      </c>
      <c r="AG284" s="43">
        <f t="shared" si="188"/>
        <v>5335.2</v>
      </c>
      <c r="AH284" s="29"/>
      <c r="AI284" s="29"/>
      <c r="AJ284" s="29"/>
      <c r="AK284" s="29"/>
      <c r="AL284" s="27"/>
      <c r="AM284" s="44"/>
      <c r="AN284" s="115"/>
      <c r="AO284" s="46"/>
      <c r="AP284" s="47"/>
      <c r="AQ284" s="43">
        <f t="shared" si="192"/>
        <v>5616</v>
      </c>
      <c r="AR284" s="43">
        <f t="shared" si="2"/>
        <v>280.8</v>
      </c>
      <c r="AS284" s="43">
        <f t="shared" si="3"/>
        <v>982.8</v>
      </c>
      <c r="AT284" s="48">
        <f t="shared" si="4"/>
        <v>4352.4</v>
      </c>
      <c r="AU284" s="49">
        <f t="shared" si="186"/>
        <v>4352.4</v>
      </c>
      <c r="AV284" s="48"/>
      <c r="AW284" s="34">
        <f t="shared" si="5"/>
        <v>19048.2</v>
      </c>
      <c r="AX284" s="50">
        <f t="shared" si="174"/>
        <v>1232.4</v>
      </c>
      <c r="AY284" s="43"/>
      <c r="AZ284" s="27"/>
      <c r="BA284" s="48">
        <f t="shared" si="165"/>
        <v>4352.4</v>
      </c>
      <c r="BB284" s="27"/>
      <c r="BC284" s="27"/>
      <c r="BD284" s="51"/>
      <c r="BE284" s="52"/>
      <c r="BF284" s="27" t="s">
        <v>1023</v>
      </c>
      <c r="BG284" s="53">
        <v>0.0</v>
      </c>
      <c r="BH284" s="53" t="str">
        <f>'[1]2023'!Q458</f>
        <v>#REF!</v>
      </c>
      <c r="BI284" s="27"/>
      <c r="BJ284" s="27"/>
      <c r="BK284" s="27" t="s">
        <v>76</v>
      </c>
      <c r="BL284" s="27"/>
    </row>
    <row r="285" ht="14.25" customHeight="1">
      <c r="A285" s="26" t="s">
        <v>55</v>
      </c>
      <c r="B285" s="26" t="s">
        <v>56</v>
      </c>
      <c r="C285" s="26" t="s">
        <v>57</v>
      </c>
      <c r="D285" s="26" t="s">
        <v>81</v>
      </c>
      <c r="E285" s="27" t="s">
        <v>1025</v>
      </c>
      <c r="F285" s="28" t="s">
        <v>1026</v>
      </c>
      <c r="G285" s="29" t="s">
        <v>1018</v>
      </c>
      <c r="H285" s="30">
        <v>45035.0</v>
      </c>
      <c r="I285" s="30">
        <v>45400.0</v>
      </c>
      <c r="J285" s="31">
        <v>0.0</v>
      </c>
      <c r="K285" s="26" t="s">
        <v>420</v>
      </c>
      <c r="L285" s="32" t="s">
        <v>75</v>
      </c>
      <c r="M285" s="33">
        <v>28320.0</v>
      </c>
      <c r="N285" s="34">
        <v>30131.88</v>
      </c>
      <c r="O285" s="27" t="s">
        <v>76</v>
      </c>
      <c r="P285" s="35" t="s">
        <v>122</v>
      </c>
      <c r="Q285" s="35" t="s">
        <v>85</v>
      </c>
      <c r="R285" s="36" t="e">
        <v>#VALUE!</v>
      </c>
      <c r="S285" s="35" t="s">
        <v>86</v>
      </c>
      <c r="T285" s="35">
        <v>0.0</v>
      </c>
      <c r="U285" s="37" t="s">
        <v>67</v>
      </c>
      <c r="V285" s="38"/>
      <c r="W285" s="38"/>
      <c r="X285" s="27"/>
      <c r="Y285" s="39"/>
      <c r="Z285" s="39"/>
      <c r="AA285" s="39"/>
      <c r="AB285" s="40"/>
      <c r="AC285" s="27">
        <f t="shared" si="123"/>
        <v>0</v>
      </c>
      <c r="AD285" s="41">
        <f t="shared" si="193"/>
        <v>4248</v>
      </c>
      <c r="AE285" s="42"/>
      <c r="AF285" s="92">
        <v>45112.0</v>
      </c>
      <c r="AG285" s="43">
        <f t="shared" si="188"/>
        <v>7264.08</v>
      </c>
      <c r="AH285" s="29"/>
      <c r="AI285" s="29"/>
      <c r="AJ285" s="29"/>
      <c r="AK285" s="75"/>
      <c r="AL285" s="27"/>
      <c r="AM285" s="44"/>
      <c r="AN285" s="115"/>
      <c r="AO285" s="46"/>
      <c r="AP285" s="47"/>
      <c r="AQ285" s="43">
        <f t="shared" si="192"/>
        <v>7646.4</v>
      </c>
      <c r="AR285" s="43">
        <f t="shared" si="2"/>
        <v>382.32</v>
      </c>
      <c r="AS285" s="43">
        <f t="shared" si="3"/>
        <v>1338.12</v>
      </c>
      <c r="AT285" s="48">
        <f t="shared" si="4"/>
        <v>5925.96</v>
      </c>
      <c r="AU285" s="49">
        <f t="shared" si="186"/>
        <v>5925.96</v>
      </c>
      <c r="AV285" s="48"/>
      <c r="AW285" s="34">
        <f t="shared" si="5"/>
        <v>25883.88</v>
      </c>
      <c r="AX285" s="50">
        <f t="shared" si="174"/>
        <v>1677.96</v>
      </c>
      <c r="AY285" s="43"/>
      <c r="AZ285" s="43"/>
      <c r="BA285" s="48">
        <f t="shared" si="165"/>
        <v>5925.96</v>
      </c>
      <c r="BB285" s="27"/>
      <c r="BC285" s="27"/>
      <c r="BD285" s="51"/>
      <c r="BE285" s="52"/>
      <c r="BF285" s="27" t="s">
        <v>1025</v>
      </c>
      <c r="BG285" s="53">
        <v>0.0</v>
      </c>
      <c r="BH285" s="53" t="str">
        <f>'[1]2023'!Q489</f>
        <v>#REF!</v>
      </c>
      <c r="BI285" s="27"/>
      <c r="BJ285" s="27"/>
      <c r="BK285" s="27" t="s">
        <v>76</v>
      </c>
      <c r="BL285" s="27"/>
    </row>
    <row r="286" ht="14.25" customHeight="1">
      <c r="A286" s="26" t="s">
        <v>111</v>
      </c>
      <c r="B286" s="26" t="s">
        <v>56</v>
      </c>
      <c r="C286" s="26" t="s">
        <v>57</v>
      </c>
      <c r="D286" s="26" t="s">
        <v>71</v>
      </c>
      <c r="E286" s="27" t="s">
        <v>1027</v>
      </c>
      <c r="F286" s="28" t="s">
        <v>1028</v>
      </c>
      <c r="G286" s="29">
        <v>45035.0</v>
      </c>
      <c r="H286" s="30">
        <v>45035.0</v>
      </c>
      <c r="I286" s="30">
        <v>45400.0</v>
      </c>
      <c r="J286" s="31" t="s">
        <v>1029</v>
      </c>
      <c r="K286" s="26" t="s">
        <v>420</v>
      </c>
      <c r="L286" s="32" t="s">
        <v>1030</v>
      </c>
      <c r="M286" s="33">
        <v>39531.82</v>
      </c>
      <c r="N286" s="34">
        <v>42120.0</v>
      </c>
      <c r="O286" s="27" t="s">
        <v>76</v>
      </c>
      <c r="P286" s="35" t="s">
        <v>142</v>
      </c>
      <c r="Q286" s="35" t="s">
        <v>108</v>
      </c>
      <c r="R286" s="36">
        <v>45045.0</v>
      </c>
      <c r="S286" s="35" t="s">
        <v>86</v>
      </c>
      <c r="T286" s="35">
        <v>0.0</v>
      </c>
      <c r="U286" s="37" t="s">
        <v>115</v>
      </c>
      <c r="V286" s="38">
        <v>1620000.0</v>
      </c>
      <c r="W286" s="38"/>
      <c r="X286" s="27"/>
      <c r="Y286" s="39"/>
      <c r="Z286" s="79" t="s">
        <v>1031</v>
      </c>
      <c r="AA286" s="39"/>
      <c r="AB286" s="40"/>
      <c r="AC286" s="27">
        <f t="shared" si="123"/>
        <v>0</v>
      </c>
      <c r="AD286" s="41">
        <f t="shared" si="193"/>
        <v>5929.773</v>
      </c>
      <c r="AE286" s="42">
        <v>750.0</v>
      </c>
      <c r="AF286" s="29" t="s">
        <v>1030</v>
      </c>
      <c r="AG286" s="43">
        <f>IF(O286="Paid",IF(A286="Alwataniya",(M286*21%)-((M286*21%)*5%),IF((A286="GIG"),(M286*22%)-((M286*22%)*5%),IF((A286="Allianz"),(M286*27%)-((M286*27%)*20%),0))),0)</f>
        <v>8262.15038</v>
      </c>
      <c r="AH286" s="29" t="s">
        <v>951</v>
      </c>
      <c r="AI286" s="61" t="s">
        <v>75</v>
      </c>
      <c r="AJ286" s="97">
        <v>0.22</v>
      </c>
      <c r="AK286" s="98" t="s">
        <v>63</v>
      </c>
      <c r="AL286" s="27"/>
      <c r="AM286" s="44"/>
      <c r="AN286" s="115"/>
      <c r="AO286" s="46"/>
      <c r="AP286" s="47"/>
      <c r="AQ286" s="43">
        <f>M286*AJ286</f>
        <v>8697.0004</v>
      </c>
      <c r="AR286" s="43">
        <f t="shared" si="2"/>
        <v>434.85002</v>
      </c>
      <c r="AS286" s="43">
        <f t="shared" si="3"/>
        <v>1521.97507</v>
      </c>
      <c r="AT286" s="48">
        <f t="shared" si="4"/>
        <v>6740.17531</v>
      </c>
      <c r="AU286" s="49">
        <f t="shared" si="186"/>
        <v>6740.17531</v>
      </c>
      <c r="AV286" s="48"/>
      <c r="AW286" s="34">
        <f t="shared" si="5"/>
        <v>35440.227</v>
      </c>
      <c r="AX286" s="113">
        <f t="shared" si="174"/>
        <v>60.40231</v>
      </c>
      <c r="AY286" s="43"/>
      <c r="AZ286" s="43"/>
      <c r="BA286" s="48">
        <f t="shared" si="165"/>
        <v>6740.17531</v>
      </c>
      <c r="BB286" s="27"/>
      <c r="BC286" s="27"/>
      <c r="BD286" s="51"/>
      <c r="BE286" s="52"/>
      <c r="BF286" s="27" t="s">
        <v>1032</v>
      </c>
      <c r="BG286" s="58" t="s">
        <v>1033</v>
      </c>
      <c r="BH286" s="53" t="str">
        <f>'[1]2023'!Q501</f>
        <v>#REF!</v>
      </c>
      <c r="BI286" s="27"/>
      <c r="BJ286" s="27"/>
      <c r="BK286" s="27" t="s">
        <v>76</v>
      </c>
      <c r="BL286" s="64" t="s">
        <v>1034</v>
      </c>
    </row>
    <row r="287" ht="14.25" customHeight="1">
      <c r="A287" s="26" t="s">
        <v>111</v>
      </c>
      <c r="B287" s="26" t="s">
        <v>56</v>
      </c>
      <c r="C287" s="26" t="s">
        <v>57</v>
      </c>
      <c r="D287" s="26" t="s">
        <v>71</v>
      </c>
      <c r="E287" s="27" t="s">
        <v>1035</v>
      </c>
      <c r="F287" s="28" t="s">
        <v>1036</v>
      </c>
      <c r="G287" s="29" t="s">
        <v>1018</v>
      </c>
      <c r="H287" s="30">
        <v>45035.0</v>
      </c>
      <c r="I287" s="30">
        <v>45400.0</v>
      </c>
      <c r="J287" s="31">
        <v>1.000268749E9</v>
      </c>
      <c r="K287" s="26" t="s">
        <v>420</v>
      </c>
      <c r="L287" s="69">
        <v>45057.0</v>
      </c>
      <c r="M287" s="33">
        <v>18172.05</v>
      </c>
      <c r="N287" s="34">
        <v>19500.0</v>
      </c>
      <c r="O287" s="27" t="s">
        <v>76</v>
      </c>
      <c r="P287" s="35" t="s">
        <v>509</v>
      </c>
      <c r="Q287" s="35" t="s">
        <v>90</v>
      </c>
      <c r="R287" s="36" t="e">
        <v>#VALUE!</v>
      </c>
      <c r="S287" s="35" t="s">
        <v>66</v>
      </c>
      <c r="T287" s="35">
        <v>0.0</v>
      </c>
      <c r="U287" s="37" t="s">
        <v>115</v>
      </c>
      <c r="V287" s="38">
        <v>750000.0</v>
      </c>
      <c r="W287" s="38"/>
      <c r="X287" s="27"/>
      <c r="Y287" s="39"/>
      <c r="Z287" s="79" t="s">
        <v>671</v>
      </c>
      <c r="AA287" s="39"/>
      <c r="AB287" s="40"/>
      <c r="AC287" s="27">
        <f t="shared" si="123"/>
        <v>0</v>
      </c>
      <c r="AD287" s="109">
        <f>M287*15%</f>
        <v>2725.8075</v>
      </c>
      <c r="AE287" s="110" t="s">
        <v>791</v>
      </c>
      <c r="AF287" s="82">
        <f>AT287-AM287-AD287</f>
        <v>-261.2232188</v>
      </c>
      <c r="AG287" s="43">
        <f t="shared" ref="AG287:AG288" si="194">IF(O287="Paid",IF(A287="Alwataniya",(M287*21%)-((M287*21%)*5%),IF((A287="GIG"),(M287*25%)-((M287*25%)*5%),IF((A287="Allianz"),(M287*27%)-((M287*27%)*20%),0))),0)</f>
        <v>4315.861875</v>
      </c>
      <c r="AH287" s="29" t="s">
        <v>1037</v>
      </c>
      <c r="AI287" s="61" t="s">
        <v>75</v>
      </c>
      <c r="AJ287" s="40"/>
      <c r="AK287" s="62" t="s">
        <v>63</v>
      </c>
      <c r="AL287" s="27"/>
      <c r="AM287" s="119">
        <f t="shared" ref="AM287:AM288" si="195">((M287*25%)-((M287*25%)*22.5%))*30%</f>
        <v>1056.250406</v>
      </c>
      <c r="AN287" s="120" t="s">
        <v>1038</v>
      </c>
      <c r="AO287" s="46"/>
      <c r="AP287" s="47"/>
      <c r="AQ287" s="43">
        <f t="shared" ref="AQ287:AQ288" si="196">IF(U287="Motor Plus",(M287*27%),IF(U287="Motor One",(M287*22%),(IF(U287="Golden",(M287*25%),(IF(U287="Classic",(M287*15%),(IF(U287="Wethaq",(M287*28%),IF(U287="Alwataniya",(M287*21%))*0))))))))</f>
        <v>4543.0125</v>
      </c>
      <c r="AR287" s="43">
        <f t="shared" si="2"/>
        <v>227.150625</v>
      </c>
      <c r="AS287" s="43">
        <f t="shared" si="3"/>
        <v>795.0271875</v>
      </c>
      <c r="AT287" s="48">
        <f t="shared" si="4"/>
        <v>3520.834688</v>
      </c>
      <c r="AU287" s="49">
        <f t="shared" si="186"/>
        <v>3520.834688</v>
      </c>
      <c r="AV287" s="48"/>
      <c r="AW287" s="27" t="str">
        <f t="shared" si="5"/>
        <v>#VALUE!</v>
      </c>
      <c r="AX287" s="113" t="str">
        <f t="shared" si="174"/>
        <v>#VALUE!</v>
      </c>
      <c r="AY287" s="43"/>
      <c r="AZ287" s="43"/>
      <c r="BA287" s="48">
        <f t="shared" si="165"/>
        <v>2464.584281</v>
      </c>
      <c r="BB287" s="27"/>
      <c r="BC287" s="27"/>
      <c r="BD287" s="51"/>
      <c r="BE287" s="52" t="s">
        <v>440</v>
      </c>
      <c r="BF287" s="27" t="s">
        <v>1035</v>
      </c>
      <c r="BG287" s="53">
        <v>0.0</v>
      </c>
      <c r="BH287" s="53" t="str">
        <f t="shared" ref="BH287:BH288" si="197">'[1]2023'!Q525</f>
        <v>#REF!</v>
      </c>
      <c r="BI287" s="27"/>
      <c r="BJ287" s="27"/>
      <c r="BK287" s="27" t="s">
        <v>76</v>
      </c>
      <c r="BL287" s="64" t="s">
        <v>794</v>
      </c>
    </row>
    <row r="288" ht="14.25" customHeight="1">
      <c r="A288" s="26" t="s">
        <v>111</v>
      </c>
      <c r="B288" s="26" t="s">
        <v>56</v>
      </c>
      <c r="C288" s="26" t="s">
        <v>57</v>
      </c>
      <c r="D288" s="26" t="s">
        <v>58</v>
      </c>
      <c r="E288" s="27" t="s">
        <v>1039</v>
      </c>
      <c r="F288" s="28" t="s">
        <v>1040</v>
      </c>
      <c r="G288" s="29" t="s">
        <v>1018</v>
      </c>
      <c r="H288" s="30">
        <v>45035.0</v>
      </c>
      <c r="I288" s="30">
        <v>45400.0</v>
      </c>
      <c r="J288" s="31">
        <v>1.000268749E9</v>
      </c>
      <c r="K288" s="26" t="s">
        <v>420</v>
      </c>
      <c r="L288" s="69">
        <v>45057.0</v>
      </c>
      <c r="M288" s="33">
        <v>372.24</v>
      </c>
      <c r="N288" s="34">
        <v>450.0</v>
      </c>
      <c r="O288" s="27" t="s">
        <v>76</v>
      </c>
      <c r="P288" s="35" t="s">
        <v>509</v>
      </c>
      <c r="Q288" s="35" t="s">
        <v>114</v>
      </c>
      <c r="R288" s="36" t="e">
        <v>#VALUE!</v>
      </c>
      <c r="S288" s="35" t="s">
        <v>66</v>
      </c>
      <c r="T288" s="35">
        <v>0.0</v>
      </c>
      <c r="U288" s="37" t="s">
        <v>115</v>
      </c>
      <c r="V288" s="38"/>
      <c r="W288" s="38"/>
      <c r="X288" s="27"/>
      <c r="Y288" s="39"/>
      <c r="Z288" s="79" t="s">
        <v>671</v>
      </c>
      <c r="AA288" s="39"/>
      <c r="AB288" s="40"/>
      <c r="AC288" s="27">
        <f t="shared" si="123"/>
        <v>0</v>
      </c>
      <c r="AD288" s="109"/>
      <c r="AE288" s="42"/>
      <c r="AF288" s="27"/>
      <c r="AG288" s="43">
        <f t="shared" si="194"/>
        <v>88.407</v>
      </c>
      <c r="AH288" s="29" t="s">
        <v>1037</v>
      </c>
      <c r="AI288" s="61" t="s">
        <v>75</v>
      </c>
      <c r="AJ288" s="40"/>
      <c r="AK288" s="98" t="s">
        <v>63</v>
      </c>
      <c r="AL288" s="27"/>
      <c r="AM288" s="121">
        <f t="shared" si="195"/>
        <v>21.63645</v>
      </c>
      <c r="AN288" s="122" t="s">
        <v>1038</v>
      </c>
      <c r="AO288" s="46"/>
      <c r="AP288" s="47"/>
      <c r="AQ288" s="43">
        <f t="shared" si="196"/>
        <v>93.06</v>
      </c>
      <c r="AR288" s="43">
        <f t="shared" si="2"/>
        <v>4.653</v>
      </c>
      <c r="AS288" s="43">
        <f t="shared" si="3"/>
        <v>16.2855</v>
      </c>
      <c r="AT288" s="48">
        <f t="shared" si="4"/>
        <v>72.1215</v>
      </c>
      <c r="AU288" s="49">
        <f t="shared" si="186"/>
        <v>72.1215</v>
      </c>
      <c r="AV288" s="48"/>
      <c r="AW288" s="34">
        <f t="shared" si="5"/>
        <v>450</v>
      </c>
      <c r="AX288" s="50"/>
      <c r="AY288" s="43"/>
      <c r="AZ288" s="43"/>
      <c r="BA288" s="48">
        <f t="shared" si="165"/>
        <v>50.48505</v>
      </c>
      <c r="BB288" s="27"/>
      <c r="BC288" s="27"/>
      <c r="BD288" s="51"/>
      <c r="BE288" s="52" t="s">
        <v>440</v>
      </c>
      <c r="BF288" s="27" t="s">
        <v>1041</v>
      </c>
      <c r="BG288" s="53">
        <v>0.0</v>
      </c>
      <c r="BH288" s="53" t="str">
        <f t="shared" si="197"/>
        <v>#REF!</v>
      </c>
      <c r="BI288" s="27"/>
      <c r="BJ288" s="27"/>
      <c r="BK288" s="27" t="s">
        <v>76</v>
      </c>
      <c r="BL288" s="64" t="s">
        <v>794</v>
      </c>
    </row>
    <row r="289" ht="14.25" customHeight="1">
      <c r="A289" s="26" t="s">
        <v>68</v>
      </c>
      <c r="B289" s="26" t="s">
        <v>56</v>
      </c>
      <c r="C289" s="26" t="s">
        <v>57</v>
      </c>
      <c r="D289" s="26" t="s">
        <v>71</v>
      </c>
      <c r="E289" s="27" t="s">
        <v>1042</v>
      </c>
      <c r="F289" s="28" t="s">
        <v>1043</v>
      </c>
      <c r="G289" s="29">
        <v>45035.0</v>
      </c>
      <c r="H289" s="30">
        <v>45035.0</v>
      </c>
      <c r="I289" s="30">
        <v>45400.0</v>
      </c>
      <c r="J289" s="31" t="s">
        <v>1044</v>
      </c>
      <c r="K289" s="26" t="s">
        <v>420</v>
      </c>
      <c r="L289" s="69">
        <v>45062.0</v>
      </c>
      <c r="M289" s="33">
        <v>67568.22</v>
      </c>
      <c r="N289" s="34">
        <v>72000.0</v>
      </c>
      <c r="O289" s="27" t="s">
        <v>76</v>
      </c>
      <c r="P289" s="35" t="s">
        <v>162</v>
      </c>
      <c r="Q289" s="35">
        <v>0.0</v>
      </c>
      <c r="R289" s="36">
        <v>45054.0</v>
      </c>
      <c r="S289" s="35" t="s">
        <v>78</v>
      </c>
      <c r="T289" s="54" t="s">
        <v>510</v>
      </c>
      <c r="U289" s="37" t="s">
        <v>68</v>
      </c>
      <c r="V289" s="38">
        <v>4000000.0</v>
      </c>
      <c r="W289" s="38"/>
      <c r="X289" s="27"/>
      <c r="Y289" s="39"/>
      <c r="Z289" s="39" t="s">
        <v>1045</v>
      </c>
      <c r="AA289" s="39"/>
      <c r="AB289" s="40"/>
      <c r="AC289" s="27">
        <f t="shared" si="123"/>
        <v>0</v>
      </c>
      <c r="AD289" s="41"/>
      <c r="AE289" s="42"/>
      <c r="AF289" s="27"/>
      <c r="AG289" s="43">
        <f>IF(O289="Paid",IF(A289="Wethaq",(M289*24%)-((M289*24%)*5%)))</f>
        <v>15405.55416</v>
      </c>
      <c r="AH289" s="29" t="s">
        <v>75</v>
      </c>
      <c r="AI289" s="29">
        <v>45266.0</v>
      </c>
      <c r="AJ289" s="97">
        <v>0.24</v>
      </c>
      <c r="AK289" s="29">
        <v>45052.0</v>
      </c>
      <c r="AL289" s="43"/>
      <c r="AM289" s="44"/>
      <c r="AN289" s="104"/>
      <c r="AO289" s="95">
        <f>M289*AJ289-((M289*AJ289)*22.5%)</f>
        <v>12567.68892</v>
      </c>
      <c r="AP289" s="47" t="s">
        <v>905</v>
      </c>
      <c r="AQ289" s="43">
        <f>M289*AJ289</f>
        <v>16216.3728</v>
      </c>
      <c r="AR289" s="43">
        <f t="shared" si="2"/>
        <v>810.81864</v>
      </c>
      <c r="AS289" s="43">
        <f t="shared" si="3"/>
        <v>2837.86524</v>
      </c>
      <c r="AT289" s="48">
        <f t="shared" si="4"/>
        <v>12567.68892</v>
      </c>
      <c r="AU289" s="49">
        <f t="shared" si="186"/>
        <v>12567.68892</v>
      </c>
      <c r="AV289" s="48"/>
      <c r="AW289" s="34">
        <f t="shared" si="5"/>
        <v>72000</v>
      </c>
      <c r="AX289" s="50">
        <f t="shared" ref="AX289:AX290" si="198">IF(O289="Paid",AG289-AS289-AM289-AO289-AD289-AE289-AV289-AL289,0)</f>
        <v>0</v>
      </c>
      <c r="AY289" s="107"/>
      <c r="AZ289" s="43">
        <f>IF(AJ289&lt;28%,M289*(28%-AJ289)-((M289*(28%-AJ289))*5%),0)</f>
        <v>2567.59236</v>
      </c>
      <c r="BA289" s="48" t="str">
        <f>IF(S289&lt;&gt;0,AU289-#REF!-AM289,(AG289-AD289-AE289-AS289))</f>
        <v>#REF!</v>
      </c>
      <c r="BB289" s="27"/>
      <c r="BC289" s="27"/>
      <c r="BD289" s="51"/>
      <c r="BE289" s="52"/>
      <c r="BF289" s="27" t="s">
        <v>1042</v>
      </c>
      <c r="BG289" s="58" t="s">
        <v>1046</v>
      </c>
      <c r="BH289" s="53" t="str">
        <f>'[1]2023'!Q539</f>
        <v>#REF!</v>
      </c>
      <c r="BI289" s="27"/>
      <c r="BJ289" s="27"/>
      <c r="BK289" s="27" t="s">
        <v>76</v>
      </c>
      <c r="BL289" s="64" t="s">
        <v>1047</v>
      </c>
    </row>
    <row r="290" ht="14.25" customHeight="1">
      <c r="A290" s="26" t="s">
        <v>55</v>
      </c>
      <c r="B290" s="26" t="s">
        <v>56</v>
      </c>
      <c r="C290" s="26" t="s">
        <v>57</v>
      </c>
      <c r="D290" s="26" t="s">
        <v>81</v>
      </c>
      <c r="E290" s="27" t="s">
        <v>1048</v>
      </c>
      <c r="F290" s="28" t="s">
        <v>1049</v>
      </c>
      <c r="G290" s="29" t="s">
        <v>1018</v>
      </c>
      <c r="H290" s="30">
        <v>45035.0</v>
      </c>
      <c r="I290" s="30">
        <v>45400.0</v>
      </c>
      <c r="J290" s="31">
        <v>0.0</v>
      </c>
      <c r="K290" s="26" t="s">
        <v>420</v>
      </c>
      <c r="L290" s="32" t="s">
        <v>75</v>
      </c>
      <c r="M290" s="33">
        <v>27358.87</v>
      </c>
      <c r="N290" s="34">
        <v>29114.04</v>
      </c>
      <c r="O290" s="27" t="s">
        <v>76</v>
      </c>
      <c r="P290" s="35" t="s">
        <v>430</v>
      </c>
      <c r="Q290" s="35" t="s">
        <v>90</v>
      </c>
      <c r="R290" s="36" t="e">
        <v>#VALUE!</v>
      </c>
      <c r="S290" s="35" t="s">
        <v>86</v>
      </c>
      <c r="T290" s="35">
        <v>0.0</v>
      </c>
      <c r="U290" s="37" t="s">
        <v>67</v>
      </c>
      <c r="V290" s="38"/>
      <c r="W290" s="38"/>
      <c r="X290" s="27"/>
      <c r="Y290" s="39"/>
      <c r="Z290" s="79" t="s">
        <v>407</v>
      </c>
      <c r="AA290" s="39"/>
      <c r="AB290" s="40"/>
      <c r="AC290" s="27">
        <f t="shared" si="123"/>
        <v>0</v>
      </c>
      <c r="AD290" s="41">
        <f>IF(AND(S290="0",O290="Paid"),M290*15%,0)</f>
        <v>4103.8305</v>
      </c>
      <c r="AE290" s="42"/>
      <c r="AF290" s="27"/>
      <c r="AG290" s="43">
        <f>IF(O290="Paid",IF(A290="Alwataniya",(M290*21%)-((M290*21%)*5%),IF((A290="GIG"),(M290*25%)-((M290*25%)*5%),IF((A290="Allianz"),(M290*27%)-((M290*27%)*5%),0))),0)</f>
        <v>7017.550155</v>
      </c>
      <c r="AH290" s="29"/>
      <c r="AI290" s="29"/>
      <c r="AJ290" s="29"/>
      <c r="AK290" s="29"/>
      <c r="AL290" s="27"/>
      <c r="AM290" s="44"/>
      <c r="AN290" s="115"/>
      <c r="AO290" s="46"/>
      <c r="AP290" s="47"/>
      <c r="AQ290" s="43">
        <f t="shared" ref="AQ290:AQ295" si="199">IF(U290="Motor Plus",(M290*27%),IF(U290="Motor One",(M290*22%),(IF(U290="Golden",(M290*25%),(IF(U290="Classic",(M290*15%),(IF(U290="Wethaq",(M290*28%),IF(U290="Alwataniya",(M290*21%))*0))))))))</f>
        <v>7386.8949</v>
      </c>
      <c r="AR290" s="43">
        <f t="shared" si="2"/>
        <v>369.344745</v>
      </c>
      <c r="AS290" s="43">
        <f t="shared" si="3"/>
        <v>1292.706608</v>
      </c>
      <c r="AT290" s="48">
        <f t="shared" si="4"/>
        <v>5724.843548</v>
      </c>
      <c r="AU290" s="49">
        <f t="shared" si="186"/>
        <v>5724.843548</v>
      </c>
      <c r="AV290" s="48"/>
      <c r="AW290" s="34">
        <f t="shared" si="5"/>
        <v>25010.2095</v>
      </c>
      <c r="AX290" s="50">
        <f t="shared" si="198"/>
        <v>1621.013048</v>
      </c>
      <c r="AY290" s="43"/>
      <c r="AZ290" s="43"/>
      <c r="BA290" s="48">
        <f t="shared" ref="BA290:BA418" si="200">IF(S290&lt;&gt;0,AU290-AO290-AM290,(AG290-AD290-AE290-AS290))</f>
        <v>5724.843548</v>
      </c>
      <c r="BB290" s="27"/>
      <c r="BC290" s="27"/>
      <c r="BD290" s="51"/>
      <c r="BE290" s="52"/>
      <c r="BF290" s="27" t="s">
        <v>1048</v>
      </c>
      <c r="BG290" s="53">
        <v>0.0</v>
      </c>
      <c r="BH290" s="53" t="str">
        <f>'[1]2023'!Q625</f>
        <v>#REF!</v>
      </c>
      <c r="BI290" s="27"/>
      <c r="BJ290" s="27"/>
      <c r="BK290" s="27" t="s">
        <v>76</v>
      </c>
      <c r="BL290" s="27"/>
    </row>
    <row r="291" ht="14.25" customHeight="1">
      <c r="A291" s="26" t="s">
        <v>111</v>
      </c>
      <c r="B291" s="26" t="s">
        <v>56</v>
      </c>
      <c r="C291" s="26" t="s">
        <v>57</v>
      </c>
      <c r="D291" s="26" t="s">
        <v>58</v>
      </c>
      <c r="E291" s="27" t="s">
        <v>1050</v>
      </c>
      <c r="F291" s="28" t="s">
        <v>1051</v>
      </c>
      <c r="G291" s="29">
        <v>45035.0</v>
      </c>
      <c r="H291" s="30">
        <v>45035.0</v>
      </c>
      <c r="I291" s="30">
        <v>45400.0</v>
      </c>
      <c r="J291" s="31" t="s">
        <v>1052</v>
      </c>
      <c r="K291" s="26" t="s">
        <v>420</v>
      </c>
      <c r="L291" s="32" t="s">
        <v>1053</v>
      </c>
      <c r="M291" s="33">
        <v>0.0</v>
      </c>
      <c r="N291" s="116">
        <v>50.0</v>
      </c>
      <c r="O291" s="27" t="s">
        <v>76</v>
      </c>
      <c r="P291" s="35" t="s">
        <v>142</v>
      </c>
      <c r="Q291" s="35" t="s">
        <v>108</v>
      </c>
      <c r="R291" s="36" t="e">
        <v>#VALUE!</v>
      </c>
      <c r="S291" s="35" t="s">
        <v>86</v>
      </c>
      <c r="T291" s="35">
        <v>0.0</v>
      </c>
      <c r="U291" s="37" t="s">
        <v>115</v>
      </c>
      <c r="V291" s="38"/>
      <c r="W291" s="38"/>
      <c r="X291" s="27"/>
      <c r="Y291" s="39"/>
      <c r="Z291" s="39"/>
      <c r="AA291" s="39"/>
      <c r="AB291" s="27"/>
      <c r="AC291" s="27">
        <f t="shared" si="123"/>
        <v>0</v>
      </c>
      <c r="AD291" s="41">
        <f>IF(AND(S291="0",O291="Paid"),(M291*15%)-AC291,0)</f>
        <v>0</v>
      </c>
      <c r="AE291" s="42"/>
      <c r="AF291" s="27" t="s">
        <v>63</v>
      </c>
      <c r="AG291" s="117" t="s">
        <v>63</v>
      </c>
      <c r="AH291" s="117" t="s">
        <v>63</v>
      </c>
      <c r="AI291" s="117" t="s">
        <v>63</v>
      </c>
      <c r="AJ291" s="29"/>
      <c r="AK291" s="29" t="s">
        <v>63</v>
      </c>
      <c r="AL291" s="27"/>
      <c r="AM291" s="44"/>
      <c r="AN291" s="68"/>
      <c r="AO291" s="46"/>
      <c r="AP291" s="47"/>
      <c r="AQ291" s="43">
        <f t="shared" si="199"/>
        <v>0</v>
      </c>
      <c r="AR291" s="43">
        <f t="shared" si="2"/>
        <v>0</v>
      </c>
      <c r="AS291" s="43">
        <f t="shared" si="3"/>
        <v>0</v>
      </c>
      <c r="AT291" s="48">
        <f t="shared" si="4"/>
        <v>0</v>
      </c>
      <c r="AU291" s="49">
        <f>AQ291-AR291-AS291-AC291-AO291</f>
        <v>0</v>
      </c>
      <c r="AV291" s="48"/>
      <c r="AW291" s="34">
        <f t="shared" si="5"/>
        <v>50</v>
      </c>
      <c r="AX291" s="50"/>
      <c r="AY291" s="43"/>
      <c r="AZ291" s="47"/>
      <c r="BA291" s="48">
        <f t="shared" si="200"/>
        <v>0</v>
      </c>
      <c r="BB291" s="27"/>
      <c r="BC291" s="27"/>
      <c r="BD291" s="51"/>
      <c r="BE291" s="52"/>
      <c r="BF291" s="27"/>
      <c r="BG291" s="53">
        <v>0.0</v>
      </c>
      <c r="BH291" s="53" t="str">
        <f>'[1]2023'!Q1315</f>
        <v>#REF!</v>
      </c>
      <c r="BI291" s="27"/>
      <c r="BJ291" s="27"/>
      <c r="BK291" s="27" t="s">
        <v>76</v>
      </c>
      <c r="BL291" s="27"/>
    </row>
    <row r="292" ht="14.25" customHeight="1">
      <c r="A292" s="26" t="s">
        <v>55</v>
      </c>
      <c r="B292" s="26" t="s">
        <v>56</v>
      </c>
      <c r="C292" s="26" t="s">
        <v>57</v>
      </c>
      <c r="D292" s="26" t="s">
        <v>81</v>
      </c>
      <c r="E292" s="27" t="s">
        <v>1054</v>
      </c>
      <c r="F292" s="26" t="s">
        <v>1055</v>
      </c>
      <c r="G292" s="29" t="s">
        <v>1056</v>
      </c>
      <c r="H292" s="30">
        <v>45036.0</v>
      </c>
      <c r="I292" s="30">
        <v>45401.0</v>
      </c>
      <c r="J292" s="31">
        <v>0.0</v>
      </c>
      <c r="K292" s="26" t="s">
        <v>420</v>
      </c>
      <c r="L292" s="32" t="s">
        <v>75</v>
      </c>
      <c r="M292" s="33">
        <v>13650.0</v>
      </c>
      <c r="N292" s="34">
        <v>14596.35</v>
      </c>
      <c r="O292" s="27" t="s">
        <v>76</v>
      </c>
      <c r="P292" s="35" t="s">
        <v>95</v>
      </c>
      <c r="Q292" s="35" t="s">
        <v>85</v>
      </c>
      <c r="R292" s="36" t="e">
        <v>#VALUE!</v>
      </c>
      <c r="S292" s="35" t="s">
        <v>86</v>
      </c>
      <c r="T292" s="35">
        <v>0.0</v>
      </c>
      <c r="U292" s="37" t="s">
        <v>67</v>
      </c>
      <c r="V292" s="38"/>
      <c r="W292" s="38"/>
      <c r="X292" s="27"/>
      <c r="Y292" s="39"/>
      <c r="Z292" s="39"/>
      <c r="AA292" s="39"/>
      <c r="AB292" s="40"/>
      <c r="AC292" s="27">
        <f t="shared" si="123"/>
        <v>0</v>
      </c>
      <c r="AD292" s="41">
        <f t="shared" ref="AD292:AD294" si="201">IF(AND(S292="0",O292="Paid"),M292*15%,0)</f>
        <v>2047.5</v>
      </c>
      <c r="AE292" s="42"/>
      <c r="AF292" s="92">
        <v>45112.0</v>
      </c>
      <c r="AG292" s="43">
        <f t="shared" ref="AG292:AG307" si="202">IF(O292="Paid",IF(A292="Alwataniya",(M292*21%)-((M292*21%)*5%),IF((A292="GIG"),(M292*25%)-((M292*25%)*5%),IF((A292="Allianz"),(M292*27%)-((M292*27%)*5%),0))),0)</f>
        <v>3501.225</v>
      </c>
      <c r="AH292" s="29"/>
      <c r="AI292" s="29"/>
      <c r="AJ292" s="29"/>
      <c r="AK292" s="29"/>
      <c r="AL292" s="27"/>
      <c r="AM292" s="44"/>
      <c r="AN292" s="68"/>
      <c r="AO292" s="46"/>
      <c r="AP292" s="47"/>
      <c r="AQ292" s="43">
        <f t="shared" si="199"/>
        <v>3685.5</v>
      </c>
      <c r="AR292" s="43">
        <f t="shared" si="2"/>
        <v>184.275</v>
      </c>
      <c r="AS292" s="43">
        <f t="shared" si="3"/>
        <v>644.9625</v>
      </c>
      <c r="AT292" s="48">
        <f t="shared" si="4"/>
        <v>2856.2625</v>
      </c>
      <c r="AU292" s="49">
        <f t="shared" ref="AU292:AU309" si="203">AQ292-AR292-AS292-AC292</f>
        <v>2856.2625</v>
      </c>
      <c r="AV292" s="48"/>
      <c r="AW292" s="34">
        <f t="shared" si="5"/>
        <v>12548.85</v>
      </c>
      <c r="AX292" s="50">
        <f t="shared" ref="AX292:AX351" si="204">IF(O292="Paid",AG292-AS292-AM292-AO292-AD292-AE292-AV292-AL292,0)</f>
        <v>808.7625</v>
      </c>
      <c r="AY292" s="43"/>
      <c r="AZ292" s="27"/>
      <c r="BA292" s="48">
        <f t="shared" si="200"/>
        <v>2856.2625</v>
      </c>
      <c r="BB292" s="27"/>
      <c r="BC292" s="27"/>
      <c r="BD292" s="51"/>
      <c r="BE292" s="52"/>
      <c r="BF292" s="27" t="s">
        <v>1054</v>
      </c>
      <c r="BG292" s="58" t="s">
        <v>348</v>
      </c>
      <c r="BH292" s="53" t="str">
        <f>'[1]2023'!Q419</f>
        <v>#REF!</v>
      </c>
      <c r="BI292" s="27"/>
      <c r="BJ292" s="27"/>
      <c r="BK292" s="27" t="s">
        <v>76</v>
      </c>
      <c r="BL292" s="27"/>
    </row>
    <row r="293" ht="14.25" customHeight="1">
      <c r="A293" s="26" t="s">
        <v>55</v>
      </c>
      <c r="B293" s="26" t="s">
        <v>56</v>
      </c>
      <c r="C293" s="26" t="s">
        <v>57</v>
      </c>
      <c r="D293" s="26" t="s">
        <v>81</v>
      </c>
      <c r="E293" s="27" t="s">
        <v>1057</v>
      </c>
      <c r="F293" s="28" t="s">
        <v>1058</v>
      </c>
      <c r="G293" s="29" t="s">
        <v>1056</v>
      </c>
      <c r="H293" s="30">
        <v>45036.0</v>
      </c>
      <c r="I293" s="30">
        <v>45401.0</v>
      </c>
      <c r="J293" s="31">
        <v>0.0</v>
      </c>
      <c r="K293" s="26" t="s">
        <v>420</v>
      </c>
      <c r="L293" s="32" t="s">
        <v>75</v>
      </c>
      <c r="M293" s="33">
        <v>22132.64</v>
      </c>
      <c r="N293" s="34">
        <v>6000.62</v>
      </c>
      <c r="O293" s="27" t="s">
        <v>76</v>
      </c>
      <c r="P293" s="35" t="s">
        <v>104</v>
      </c>
      <c r="Q293" s="35" t="s">
        <v>90</v>
      </c>
      <c r="R293" s="36" t="e">
        <v>#VALUE!</v>
      </c>
      <c r="S293" s="35" t="s">
        <v>86</v>
      </c>
      <c r="T293" s="35">
        <v>0.0</v>
      </c>
      <c r="U293" s="37" t="s">
        <v>67</v>
      </c>
      <c r="V293" s="38"/>
      <c r="W293" s="38"/>
      <c r="X293" s="27"/>
      <c r="Y293" s="39"/>
      <c r="Z293" s="39"/>
      <c r="AA293" s="39"/>
      <c r="AB293" s="40"/>
      <c r="AC293" s="27">
        <f t="shared" si="123"/>
        <v>0</v>
      </c>
      <c r="AD293" s="41">
        <f t="shared" si="201"/>
        <v>3319.896</v>
      </c>
      <c r="AE293" s="42"/>
      <c r="AF293" s="27"/>
      <c r="AG293" s="43">
        <f t="shared" si="202"/>
        <v>5677.02216</v>
      </c>
      <c r="AH293" s="29"/>
      <c r="AI293" s="29"/>
      <c r="AJ293" s="29"/>
      <c r="AK293" s="75"/>
      <c r="AL293" s="27"/>
      <c r="AM293" s="27"/>
      <c r="AN293" s="47"/>
      <c r="AO293" s="46"/>
      <c r="AP293" s="47"/>
      <c r="AQ293" s="43">
        <f t="shared" si="199"/>
        <v>5975.8128</v>
      </c>
      <c r="AR293" s="43">
        <f t="shared" si="2"/>
        <v>298.79064</v>
      </c>
      <c r="AS293" s="43">
        <f t="shared" si="3"/>
        <v>1045.76724</v>
      </c>
      <c r="AT293" s="48">
        <f t="shared" si="4"/>
        <v>4631.25492</v>
      </c>
      <c r="AU293" s="49">
        <f t="shared" si="203"/>
        <v>4631.25492</v>
      </c>
      <c r="AV293" s="48"/>
      <c r="AW293" s="34">
        <f t="shared" si="5"/>
        <v>2680.724</v>
      </c>
      <c r="AX293" s="50">
        <f t="shared" si="204"/>
        <v>1311.35892</v>
      </c>
      <c r="AY293" s="43"/>
      <c r="AZ293" s="27"/>
      <c r="BA293" s="48">
        <f t="shared" si="200"/>
        <v>4631.25492</v>
      </c>
      <c r="BB293" s="27"/>
      <c r="BC293" s="27"/>
      <c r="BD293" s="51"/>
      <c r="BE293" s="52"/>
      <c r="BF293" s="27" t="s">
        <v>1057</v>
      </c>
      <c r="BG293" s="58" t="s">
        <v>1059</v>
      </c>
      <c r="BH293" s="53" t="str">
        <f>'[1]2023'!Q441</f>
        <v>#REF!</v>
      </c>
      <c r="BI293" s="27"/>
      <c r="BJ293" s="27"/>
      <c r="BK293" s="27" t="s">
        <v>76</v>
      </c>
      <c r="BL293" s="27"/>
    </row>
    <row r="294" ht="14.25" customHeight="1">
      <c r="A294" s="26" t="s">
        <v>55</v>
      </c>
      <c r="B294" s="26" t="s">
        <v>56</v>
      </c>
      <c r="C294" s="26" t="s">
        <v>57</v>
      </c>
      <c r="D294" s="26" t="s">
        <v>81</v>
      </c>
      <c r="E294" s="27" t="s">
        <v>1060</v>
      </c>
      <c r="F294" s="28" t="s">
        <v>1061</v>
      </c>
      <c r="G294" s="29" t="s">
        <v>1056</v>
      </c>
      <c r="H294" s="30">
        <v>45036.0</v>
      </c>
      <c r="I294" s="30">
        <v>45401.0</v>
      </c>
      <c r="J294" s="31">
        <v>0.0</v>
      </c>
      <c r="K294" s="26" t="s">
        <v>420</v>
      </c>
      <c r="L294" s="32" t="s">
        <v>75</v>
      </c>
      <c r="M294" s="33">
        <v>28422.78</v>
      </c>
      <c r="N294" s="34">
        <v>30240.73</v>
      </c>
      <c r="O294" s="27" t="s">
        <v>76</v>
      </c>
      <c r="P294" s="35" t="s">
        <v>142</v>
      </c>
      <c r="Q294" s="35" t="s">
        <v>90</v>
      </c>
      <c r="R294" s="36" t="e">
        <v>#VALUE!</v>
      </c>
      <c r="S294" s="35" t="s">
        <v>86</v>
      </c>
      <c r="T294" s="35">
        <v>0.0</v>
      </c>
      <c r="U294" s="37" t="s">
        <v>67</v>
      </c>
      <c r="V294" s="38"/>
      <c r="W294" s="38"/>
      <c r="X294" s="27"/>
      <c r="Y294" s="39"/>
      <c r="Z294" s="39">
        <v>5008.0</v>
      </c>
      <c r="AA294" s="39"/>
      <c r="AB294" s="40"/>
      <c r="AC294" s="27">
        <f t="shared" si="123"/>
        <v>0</v>
      </c>
      <c r="AD294" s="41">
        <f t="shared" si="201"/>
        <v>4263.417</v>
      </c>
      <c r="AE294" s="42"/>
      <c r="AF294" s="27" t="s">
        <v>306</v>
      </c>
      <c r="AG294" s="43">
        <f t="shared" si="202"/>
        <v>7290.44307</v>
      </c>
      <c r="AH294" s="29"/>
      <c r="AI294" s="29"/>
      <c r="AJ294" s="29"/>
      <c r="AK294" s="29"/>
      <c r="AL294" s="27"/>
      <c r="AM294" s="44"/>
      <c r="AN294" s="115"/>
      <c r="AO294" s="46"/>
      <c r="AP294" s="47"/>
      <c r="AQ294" s="43">
        <f t="shared" si="199"/>
        <v>7674.1506</v>
      </c>
      <c r="AR294" s="43">
        <f t="shared" si="2"/>
        <v>383.70753</v>
      </c>
      <c r="AS294" s="43">
        <f t="shared" si="3"/>
        <v>1342.976355</v>
      </c>
      <c r="AT294" s="48">
        <f t="shared" si="4"/>
        <v>5947.466715</v>
      </c>
      <c r="AU294" s="49">
        <f t="shared" si="203"/>
        <v>5947.466715</v>
      </c>
      <c r="AV294" s="48"/>
      <c r="AW294" s="34">
        <f t="shared" si="5"/>
        <v>25977.313</v>
      </c>
      <c r="AX294" s="50">
        <f t="shared" si="204"/>
        <v>1684.049715</v>
      </c>
      <c r="AY294" s="43"/>
      <c r="AZ294" s="43"/>
      <c r="BA294" s="48">
        <f t="shared" si="200"/>
        <v>5947.466715</v>
      </c>
      <c r="BB294" s="27"/>
      <c r="BC294" s="27"/>
      <c r="BD294" s="51"/>
      <c r="BE294" s="52"/>
      <c r="BF294" s="27" t="s">
        <v>1060</v>
      </c>
      <c r="BG294" s="53">
        <v>0.0</v>
      </c>
      <c r="BH294" s="53" t="str">
        <f>'[1]2023'!Q467</f>
        <v>#REF!</v>
      </c>
      <c r="BI294" s="27"/>
      <c r="BJ294" s="27"/>
      <c r="BK294" s="27" t="s">
        <v>76</v>
      </c>
      <c r="BL294" s="27"/>
    </row>
    <row r="295" ht="14.25" customHeight="1">
      <c r="A295" s="26" t="s">
        <v>55</v>
      </c>
      <c r="B295" s="26" t="s">
        <v>56</v>
      </c>
      <c r="C295" s="26" t="s">
        <v>57</v>
      </c>
      <c r="D295" s="26" t="s">
        <v>81</v>
      </c>
      <c r="E295" s="27" t="s">
        <v>1062</v>
      </c>
      <c r="F295" s="26" t="s">
        <v>1063</v>
      </c>
      <c r="G295" s="29" t="s">
        <v>1064</v>
      </c>
      <c r="H295" s="30">
        <v>45037.0</v>
      </c>
      <c r="I295" s="30">
        <v>45402.0</v>
      </c>
      <c r="J295" s="31">
        <v>0.0</v>
      </c>
      <c r="K295" s="26" t="s">
        <v>420</v>
      </c>
      <c r="L295" s="32" t="s">
        <v>75</v>
      </c>
      <c r="M295" s="33">
        <v>6825.0</v>
      </c>
      <c r="N295" s="34">
        <v>7368.68</v>
      </c>
      <c r="O295" s="27" t="s">
        <v>76</v>
      </c>
      <c r="P295" s="35" t="s">
        <v>104</v>
      </c>
      <c r="Q295" s="35" t="s">
        <v>65</v>
      </c>
      <c r="R295" s="36" t="e">
        <v>#VALUE!</v>
      </c>
      <c r="S295" s="35" t="s">
        <v>86</v>
      </c>
      <c r="T295" s="54" t="s">
        <v>163</v>
      </c>
      <c r="U295" s="37" t="s">
        <v>67</v>
      </c>
      <c r="V295" s="38"/>
      <c r="W295" s="38"/>
      <c r="X295" s="27"/>
      <c r="Y295" s="39"/>
      <c r="Z295" s="39"/>
      <c r="AA295" s="39"/>
      <c r="AB295" s="40"/>
      <c r="AC295" s="27">
        <f t="shared" si="123"/>
        <v>0</v>
      </c>
      <c r="AD295" s="41"/>
      <c r="AE295" s="42"/>
      <c r="AF295" s="27"/>
      <c r="AG295" s="43">
        <f t="shared" si="202"/>
        <v>1750.6125</v>
      </c>
      <c r="AH295" s="29"/>
      <c r="AI295" s="29"/>
      <c r="AJ295" s="29"/>
      <c r="AK295" s="29"/>
      <c r="AL295" s="27"/>
      <c r="AM295" s="44"/>
      <c r="AN295" s="68"/>
      <c r="AO295" s="70">
        <f>M295*15%</f>
        <v>1023.75</v>
      </c>
      <c r="AP295" s="71">
        <v>45267.0</v>
      </c>
      <c r="AQ295" s="43">
        <f t="shared" si="199"/>
        <v>1842.75</v>
      </c>
      <c r="AR295" s="43">
        <f t="shared" si="2"/>
        <v>92.1375</v>
      </c>
      <c r="AS295" s="43">
        <f t="shared" si="3"/>
        <v>322.48125</v>
      </c>
      <c r="AT295" s="48">
        <f t="shared" si="4"/>
        <v>1428.13125</v>
      </c>
      <c r="AU295" s="49">
        <f t="shared" si="203"/>
        <v>1428.13125</v>
      </c>
      <c r="AV295" s="48"/>
      <c r="AW295" s="34">
        <f t="shared" si="5"/>
        <v>7368.68</v>
      </c>
      <c r="AX295" s="50">
        <f t="shared" si="204"/>
        <v>404.38125</v>
      </c>
      <c r="AY295" s="43"/>
      <c r="AZ295" s="27"/>
      <c r="BA295" s="48">
        <f t="shared" si="200"/>
        <v>404.38125</v>
      </c>
      <c r="BB295" s="27"/>
      <c r="BC295" s="27"/>
      <c r="BD295" s="51"/>
      <c r="BE295" s="52"/>
      <c r="BF295" s="27" t="s">
        <v>1062</v>
      </c>
      <c r="BG295" s="58" t="s">
        <v>562</v>
      </c>
      <c r="BH295" s="53" t="str">
        <f>'[1]2023'!Q408</f>
        <v>#REF!</v>
      </c>
      <c r="BI295" s="27"/>
      <c r="BJ295" s="27"/>
      <c r="BK295" s="27" t="s">
        <v>76</v>
      </c>
      <c r="BL295" s="27"/>
    </row>
    <row r="296" ht="14.25" customHeight="1">
      <c r="A296" s="26" t="s">
        <v>55</v>
      </c>
      <c r="B296" s="26" t="s">
        <v>56</v>
      </c>
      <c r="C296" s="26" t="s">
        <v>57</v>
      </c>
      <c r="D296" s="26" t="s">
        <v>81</v>
      </c>
      <c r="E296" s="27" t="s">
        <v>1065</v>
      </c>
      <c r="F296" s="26" t="s">
        <v>1066</v>
      </c>
      <c r="G296" s="29" t="s">
        <v>1064</v>
      </c>
      <c r="H296" s="30">
        <v>45037.0</v>
      </c>
      <c r="I296" s="30">
        <v>45402.0</v>
      </c>
      <c r="J296" s="31">
        <v>0.0</v>
      </c>
      <c r="K296" s="26" t="s">
        <v>420</v>
      </c>
      <c r="L296" s="32" t="s">
        <v>63</v>
      </c>
      <c r="M296" s="33">
        <v>0.0</v>
      </c>
      <c r="N296" s="34">
        <v>0.0</v>
      </c>
      <c r="O296" s="27" t="s">
        <v>64</v>
      </c>
      <c r="P296" s="35">
        <v>0.0</v>
      </c>
      <c r="Q296" s="35" t="s">
        <v>65</v>
      </c>
      <c r="R296" s="36" t="e">
        <v>#VALUE!</v>
      </c>
      <c r="S296" s="35" t="s">
        <v>86</v>
      </c>
      <c r="T296" s="35">
        <v>0.0</v>
      </c>
      <c r="U296" s="37" t="s">
        <v>67</v>
      </c>
      <c r="V296" s="38"/>
      <c r="W296" s="38"/>
      <c r="X296" s="27"/>
      <c r="Y296" s="39"/>
      <c r="Z296" s="39"/>
      <c r="AA296" s="39"/>
      <c r="AB296" s="40"/>
      <c r="AC296" s="27">
        <f t="shared" si="123"/>
        <v>0</v>
      </c>
      <c r="AD296" s="41">
        <f>IF(AND(S296="0",O296="Paid"),(M296*15%)-AC296,0)</f>
        <v>0</v>
      </c>
      <c r="AE296" s="42"/>
      <c r="AF296" s="27"/>
      <c r="AG296" s="43">
        <f t="shared" si="202"/>
        <v>0</v>
      </c>
      <c r="AH296" s="29"/>
      <c r="AI296" s="29"/>
      <c r="AJ296" s="29"/>
      <c r="AK296" s="29"/>
      <c r="AL296" s="27"/>
      <c r="AM296" s="44"/>
      <c r="AN296" s="68"/>
      <c r="AO296" s="46"/>
      <c r="AP296" s="47"/>
      <c r="AQ296" s="43" t="b">
        <f>IF(O296="Paid",IF(U296="Motor Plus",(M296*27%),IF(U296="Motor One",(M296*22%),(IF(U296="Golden",(M296*25%),(IF(U296="Classic",(M296*15%),(IF(U296="Wethaq",(M296*28%),IF(U296="Alwataniya",(M296*21%))*0)))))))))</f>
        <v>0</v>
      </c>
      <c r="AR296" s="43">
        <f t="shared" si="2"/>
        <v>0</v>
      </c>
      <c r="AS296" s="43">
        <f t="shared" si="3"/>
        <v>0</v>
      </c>
      <c r="AT296" s="48">
        <f t="shared" si="4"/>
        <v>0</v>
      </c>
      <c r="AU296" s="49">
        <f t="shared" si="203"/>
        <v>0</v>
      </c>
      <c r="AV296" s="48"/>
      <c r="AW296" s="34">
        <f t="shared" si="5"/>
        <v>0</v>
      </c>
      <c r="AX296" s="50">
        <f t="shared" si="204"/>
        <v>0</v>
      </c>
      <c r="AY296" s="43"/>
      <c r="AZ296" s="27"/>
      <c r="BA296" s="48">
        <f t="shared" si="200"/>
        <v>0</v>
      </c>
      <c r="BB296" s="27"/>
      <c r="BC296" s="27"/>
      <c r="BD296" s="51"/>
      <c r="BE296" s="52"/>
      <c r="BF296" s="27" t="s">
        <v>1065</v>
      </c>
      <c r="BG296" s="53">
        <v>0.0</v>
      </c>
      <c r="BH296" s="53" t="str">
        <f>'[1]2023'!Q417</f>
        <v>#REF!</v>
      </c>
      <c r="BI296" s="27"/>
      <c r="BJ296" s="27"/>
      <c r="BK296" s="27" t="s">
        <v>64</v>
      </c>
      <c r="BL296" s="27"/>
    </row>
    <row r="297" ht="14.25" customHeight="1">
      <c r="A297" s="26" t="s">
        <v>55</v>
      </c>
      <c r="B297" s="26" t="s">
        <v>56</v>
      </c>
      <c r="C297" s="26" t="s">
        <v>57</v>
      </c>
      <c r="D297" s="26" t="s">
        <v>81</v>
      </c>
      <c r="E297" s="27" t="s">
        <v>1067</v>
      </c>
      <c r="F297" s="28" t="s">
        <v>1068</v>
      </c>
      <c r="G297" s="29" t="s">
        <v>1064</v>
      </c>
      <c r="H297" s="30">
        <v>45037.0</v>
      </c>
      <c r="I297" s="30">
        <v>45402.0</v>
      </c>
      <c r="J297" s="31">
        <v>0.0</v>
      </c>
      <c r="K297" s="26" t="s">
        <v>420</v>
      </c>
      <c r="L297" s="32" t="s">
        <v>305</v>
      </c>
      <c r="M297" s="33">
        <v>14455.0</v>
      </c>
      <c r="N297" s="34">
        <v>15448.85</v>
      </c>
      <c r="O297" s="27" t="s">
        <v>76</v>
      </c>
      <c r="P297" s="35" t="s">
        <v>142</v>
      </c>
      <c r="Q297" s="35" t="s">
        <v>90</v>
      </c>
      <c r="R297" s="36" t="e">
        <v>#VALUE!</v>
      </c>
      <c r="S297" s="35" t="s">
        <v>86</v>
      </c>
      <c r="T297" s="35">
        <v>0.0</v>
      </c>
      <c r="U297" s="37" t="s">
        <v>67</v>
      </c>
      <c r="V297" s="38"/>
      <c r="W297" s="38"/>
      <c r="X297" s="27"/>
      <c r="Y297" s="39"/>
      <c r="Z297" s="79" t="s">
        <v>232</v>
      </c>
      <c r="AA297" s="39"/>
      <c r="AB297" s="40"/>
      <c r="AC297" s="27">
        <f t="shared" si="123"/>
        <v>0</v>
      </c>
      <c r="AD297" s="41">
        <f t="shared" ref="AD297:AD298" si="205">IF(AND(S297="0",O297="Paid"),M297*15%,0)</f>
        <v>2168.25</v>
      </c>
      <c r="AE297" s="42"/>
      <c r="AF297" s="27" t="s">
        <v>306</v>
      </c>
      <c r="AG297" s="43">
        <f t="shared" si="202"/>
        <v>3707.7075</v>
      </c>
      <c r="AH297" s="29"/>
      <c r="AI297" s="29"/>
      <c r="AJ297" s="29"/>
      <c r="AK297" s="29"/>
      <c r="AL297" s="27"/>
      <c r="AM297" s="44"/>
      <c r="AN297" s="115"/>
      <c r="AO297" s="46"/>
      <c r="AP297" s="47"/>
      <c r="AQ297" s="43">
        <f t="shared" ref="AQ297:AQ298" si="206">IF(U297="Motor Plus",(M297*27%),IF(U297="Motor One",(M297*22%),(IF(U297="Golden",(M297*25%),(IF(U297="Classic",(M297*15%),(IF(U297="Wethaq",(M297*28%),IF(U297="Alwataniya",(M297*21%))*0))))))))</f>
        <v>3902.85</v>
      </c>
      <c r="AR297" s="43">
        <f t="shared" si="2"/>
        <v>195.1425</v>
      </c>
      <c r="AS297" s="43">
        <f t="shared" si="3"/>
        <v>682.99875</v>
      </c>
      <c r="AT297" s="48">
        <f t="shared" si="4"/>
        <v>3024.70875</v>
      </c>
      <c r="AU297" s="49">
        <f t="shared" si="203"/>
        <v>3024.70875</v>
      </c>
      <c r="AV297" s="48"/>
      <c r="AW297" s="82">
        <f t="shared" si="5"/>
        <v>13280.6</v>
      </c>
      <c r="AX297" s="50">
        <f t="shared" si="204"/>
        <v>856.45875</v>
      </c>
      <c r="AY297" s="43"/>
      <c r="AZ297" s="43"/>
      <c r="BA297" s="48">
        <f t="shared" si="200"/>
        <v>3024.70875</v>
      </c>
      <c r="BB297" s="27"/>
      <c r="BC297" s="27"/>
      <c r="BD297" s="51"/>
      <c r="BE297" s="52"/>
      <c r="BF297" s="27" t="s">
        <v>1067</v>
      </c>
      <c r="BG297" s="53">
        <v>0.0</v>
      </c>
      <c r="BH297" s="53" t="str">
        <f>'[1]2023'!Q506</f>
        <v>#REF!</v>
      </c>
      <c r="BI297" s="27"/>
      <c r="BJ297" s="27"/>
      <c r="BK297" s="27" t="s">
        <v>76</v>
      </c>
      <c r="BL297" s="27"/>
    </row>
    <row r="298" ht="14.25" customHeight="1">
      <c r="A298" s="26" t="s">
        <v>55</v>
      </c>
      <c r="B298" s="26" t="s">
        <v>56</v>
      </c>
      <c r="C298" s="26" t="s">
        <v>57</v>
      </c>
      <c r="D298" s="26" t="s">
        <v>81</v>
      </c>
      <c r="E298" s="27" t="s">
        <v>1069</v>
      </c>
      <c r="F298" s="28" t="s">
        <v>1070</v>
      </c>
      <c r="G298" s="29" t="s">
        <v>1071</v>
      </c>
      <c r="H298" s="30">
        <v>45038.0</v>
      </c>
      <c r="I298" s="30">
        <v>45403.0</v>
      </c>
      <c r="J298" s="31">
        <v>0.0</v>
      </c>
      <c r="K298" s="26" t="s">
        <v>420</v>
      </c>
      <c r="L298" s="32" t="s">
        <v>75</v>
      </c>
      <c r="M298" s="33">
        <v>16933.0</v>
      </c>
      <c r="N298" s="34">
        <v>18073.05</v>
      </c>
      <c r="O298" s="27" t="s">
        <v>76</v>
      </c>
      <c r="P298" s="35" t="s">
        <v>122</v>
      </c>
      <c r="Q298" s="35" t="s">
        <v>90</v>
      </c>
      <c r="R298" s="36" t="e">
        <v>#VALUE!</v>
      </c>
      <c r="S298" s="35" t="s">
        <v>86</v>
      </c>
      <c r="T298" s="35">
        <v>0.0</v>
      </c>
      <c r="U298" s="37" t="s">
        <v>67</v>
      </c>
      <c r="V298" s="38"/>
      <c r="W298" s="38"/>
      <c r="X298" s="27"/>
      <c r="Y298" s="39"/>
      <c r="Z298" s="79" t="s">
        <v>232</v>
      </c>
      <c r="AA298" s="39"/>
      <c r="AB298" s="40"/>
      <c r="AC298" s="27">
        <f t="shared" si="123"/>
        <v>0</v>
      </c>
      <c r="AD298" s="41">
        <f t="shared" si="205"/>
        <v>2539.95</v>
      </c>
      <c r="AE298" s="42"/>
      <c r="AF298" s="27"/>
      <c r="AG298" s="43">
        <f t="shared" si="202"/>
        <v>4343.3145</v>
      </c>
      <c r="AH298" s="29"/>
      <c r="AI298" s="29"/>
      <c r="AJ298" s="29"/>
      <c r="AK298" s="29"/>
      <c r="AL298" s="27"/>
      <c r="AM298" s="44"/>
      <c r="AN298" s="68"/>
      <c r="AO298" s="46"/>
      <c r="AP298" s="47"/>
      <c r="AQ298" s="43">
        <f t="shared" si="206"/>
        <v>4571.91</v>
      </c>
      <c r="AR298" s="43">
        <f t="shared" si="2"/>
        <v>228.5955</v>
      </c>
      <c r="AS298" s="43">
        <f t="shared" si="3"/>
        <v>800.08425</v>
      </c>
      <c r="AT298" s="48">
        <f t="shared" si="4"/>
        <v>3543.23025</v>
      </c>
      <c r="AU298" s="49">
        <f t="shared" si="203"/>
        <v>3543.23025</v>
      </c>
      <c r="AV298" s="48"/>
      <c r="AW298" s="34">
        <f t="shared" si="5"/>
        <v>15533.1</v>
      </c>
      <c r="AX298" s="50">
        <f t="shared" si="204"/>
        <v>1003.28025</v>
      </c>
      <c r="AY298" s="43"/>
      <c r="AZ298" s="27"/>
      <c r="BA298" s="48">
        <f t="shared" si="200"/>
        <v>3543.23025</v>
      </c>
      <c r="BB298" s="27"/>
      <c r="BC298" s="27"/>
      <c r="BD298" s="51"/>
      <c r="BE298" s="52"/>
      <c r="BF298" s="27" t="s">
        <v>1069</v>
      </c>
      <c r="BG298" s="53">
        <v>0.0</v>
      </c>
      <c r="BH298" s="53" t="str">
        <f>'[1]2023'!Q421</f>
        <v>#REF!</v>
      </c>
      <c r="BI298" s="27"/>
      <c r="BJ298" s="27"/>
      <c r="BK298" s="27" t="s">
        <v>76</v>
      </c>
      <c r="BL298" s="27"/>
    </row>
    <row r="299" ht="14.25" customHeight="1">
      <c r="A299" s="26" t="s">
        <v>55</v>
      </c>
      <c r="B299" s="26" t="s">
        <v>56</v>
      </c>
      <c r="C299" s="26" t="s">
        <v>57</v>
      </c>
      <c r="D299" s="26" t="s">
        <v>81</v>
      </c>
      <c r="E299" s="27" t="s">
        <v>1072</v>
      </c>
      <c r="F299" s="26" t="s">
        <v>1073</v>
      </c>
      <c r="G299" s="29" t="s">
        <v>1071</v>
      </c>
      <c r="H299" s="30">
        <v>45038.0</v>
      </c>
      <c r="I299" s="30">
        <v>45403.0</v>
      </c>
      <c r="J299" s="31">
        <v>0.0</v>
      </c>
      <c r="K299" s="26" t="s">
        <v>420</v>
      </c>
      <c r="L299" s="32" t="s">
        <v>63</v>
      </c>
      <c r="M299" s="33">
        <v>0.0</v>
      </c>
      <c r="N299" s="34">
        <v>0.0</v>
      </c>
      <c r="O299" s="27" t="s">
        <v>64</v>
      </c>
      <c r="P299" s="35">
        <v>0.0</v>
      </c>
      <c r="Q299" s="35" t="s">
        <v>65</v>
      </c>
      <c r="R299" s="36" t="e">
        <v>#VALUE!</v>
      </c>
      <c r="S299" s="35" t="s">
        <v>86</v>
      </c>
      <c r="T299" s="35">
        <v>0.0</v>
      </c>
      <c r="U299" s="37" t="s">
        <v>67</v>
      </c>
      <c r="V299" s="38"/>
      <c r="W299" s="38"/>
      <c r="X299" s="27"/>
      <c r="Y299" s="39"/>
      <c r="Z299" s="39"/>
      <c r="AA299" s="39"/>
      <c r="AB299" s="40"/>
      <c r="AC299" s="27">
        <f t="shared" si="123"/>
        <v>0</v>
      </c>
      <c r="AD299" s="41">
        <f>IF(AND(S299="0",O299="Paid"),(M299*15%)-AC299,0)</f>
        <v>0</v>
      </c>
      <c r="AE299" s="42"/>
      <c r="AF299" s="27"/>
      <c r="AG299" s="43">
        <f t="shared" si="202"/>
        <v>0</v>
      </c>
      <c r="AH299" s="29"/>
      <c r="AI299" s="29"/>
      <c r="AJ299" s="29"/>
      <c r="AK299" s="29"/>
      <c r="AL299" s="27"/>
      <c r="AM299" s="27"/>
      <c r="AN299" s="93"/>
      <c r="AO299" s="76"/>
      <c r="AP299" s="47"/>
      <c r="AQ299" s="43" t="b">
        <f>IF(O299="Paid",IF(U299="Motor Plus",(M299*27%),IF(U299="Motor One",(M299*22%),(IF(U299="Golden",(M299*25%),(IF(U299="Classic",(M299*15%),(IF(U299="Wethaq",(M299*28%),IF(U299="Alwataniya",(M299*21%))*0)))))))))</f>
        <v>0</v>
      </c>
      <c r="AR299" s="43">
        <f t="shared" si="2"/>
        <v>0</v>
      </c>
      <c r="AS299" s="43">
        <f t="shared" si="3"/>
        <v>0</v>
      </c>
      <c r="AT299" s="48">
        <f t="shared" si="4"/>
        <v>0</v>
      </c>
      <c r="AU299" s="49">
        <f t="shared" si="203"/>
        <v>0</v>
      </c>
      <c r="AV299" s="48"/>
      <c r="AW299" s="34">
        <f t="shared" si="5"/>
        <v>0</v>
      </c>
      <c r="AX299" s="50">
        <f t="shared" si="204"/>
        <v>0</v>
      </c>
      <c r="AY299" s="43"/>
      <c r="AZ299" s="43"/>
      <c r="BA299" s="48">
        <f t="shared" si="200"/>
        <v>0</v>
      </c>
      <c r="BB299" s="27"/>
      <c r="BC299" s="27"/>
      <c r="BD299" s="51"/>
      <c r="BE299" s="52"/>
      <c r="BF299" s="27" t="s">
        <v>1072</v>
      </c>
      <c r="BG299" s="53">
        <v>0.0</v>
      </c>
      <c r="BH299" s="53" t="str">
        <f>'[1]2023'!Q468</f>
        <v>#REF!</v>
      </c>
      <c r="BI299" s="27"/>
      <c r="BJ299" s="27"/>
      <c r="BK299" s="27" t="s">
        <v>64</v>
      </c>
      <c r="BL299" s="27"/>
    </row>
    <row r="300" ht="14.25" customHeight="1">
      <c r="A300" s="26" t="s">
        <v>55</v>
      </c>
      <c r="B300" s="26" t="s">
        <v>56</v>
      </c>
      <c r="C300" s="26" t="s">
        <v>57</v>
      </c>
      <c r="D300" s="26" t="s">
        <v>81</v>
      </c>
      <c r="E300" s="27" t="s">
        <v>1074</v>
      </c>
      <c r="F300" s="28" t="s">
        <v>1075</v>
      </c>
      <c r="G300" s="29" t="s">
        <v>1071</v>
      </c>
      <c r="H300" s="30">
        <v>45038.0</v>
      </c>
      <c r="I300" s="30">
        <v>45403.0</v>
      </c>
      <c r="J300" s="31">
        <v>0.0</v>
      </c>
      <c r="K300" s="26" t="s">
        <v>420</v>
      </c>
      <c r="L300" s="32" t="s">
        <v>305</v>
      </c>
      <c r="M300" s="33">
        <v>13924.0</v>
      </c>
      <c r="N300" s="34">
        <v>14886.51</v>
      </c>
      <c r="O300" s="27" t="s">
        <v>76</v>
      </c>
      <c r="P300" s="35" t="s">
        <v>142</v>
      </c>
      <c r="Q300" s="35" t="s">
        <v>90</v>
      </c>
      <c r="R300" s="36" t="e">
        <v>#VALUE!</v>
      </c>
      <c r="S300" s="35" t="s">
        <v>86</v>
      </c>
      <c r="T300" s="35">
        <v>0.0</v>
      </c>
      <c r="U300" s="37" t="s">
        <v>67</v>
      </c>
      <c r="V300" s="38"/>
      <c r="W300" s="38"/>
      <c r="X300" s="27"/>
      <c r="Y300" s="39"/>
      <c r="Z300" s="39"/>
      <c r="AA300" s="39"/>
      <c r="AB300" s="40"/>
      <c r="AC300" s="27">
        <f t="shared" si="123"/>
        <v>0</v>
      </c>
      <c r="AD300" s="41">
        <f t="shared" ref="AD300:AD303" si="207">IF(AND(S300="0",O300="Paid"),M300*15%,0)</f>
        <v>2088.6</v>
      </c>
      <c r="AE300" s="42"/>
      <c r="AF300" s="27" t="s">
        <v>306</v>
      </c>
      <c r="AG300" s="43">
        <f t="shared" si="202"/>
        <v>3571.506</v>
      </c>
      <c r="AH300" s="29"/>
      <c r="AI300" s="29"/>
      <c r="AJ300" s="29"/>
      <c r="AK300" s="29"/>
      <c r="AL300" s="27"/>
      <c r="AM300" s="44"/>
      <c r="AN300" s="115"/>
      <c r="AO300" s="46"/>
      <c r="AP300" s="47"/>
      <c r="AQ300" s="43">
        <f t="shared" ref="AQ300:AQ306" si="208">IF(U300="Motor Plus",(M300*27%),IF(U300="Motor One",(M300*22%),(IF(U300="Golden",(M300*25%),(IF(U300="Classic",(M300*15%),(IF(U300="Wethaq",(M300*28%),IF(U300="Alwataniya",(M300*21%))*0))))))))</f>
        <v>3759.48</v>
      </c>
      <c r="AR300" s="43">
        <f t="shared" si="2"/>
        <v>187.974</v>
      </c>
      <c r="AS300" s="43">
        <f t="shared" si="3"/>
        <v>657.909</v>
      </c>
      <c r="AT300" s="48">
        <f t="shared" si="4"/>
        <v>2913.597</v>
      </c>
      <c r="AU300" s="49">
        <f t="shared" si="203"/>
        <v>2913.597</v>
      </c>
      <c r="AV300" s="48"/>
      <c r="AW300" s="82">
        <f t="shared" si="5"/>
        <v>12797.91</v>
      </c>
      <c r="AX300" s="50">
        <f t="shared" si="204"/>
        <v>824.997</v>
      </c>
      <c r="AY300" s="43"/>
      <c r="AZ300" s="43"/>
      <c r="BA300" s="48">
        <f t="shared" si="200"/>
        <v>2913.597</v>
      </c>
      <c r="BB300" s="27"/>
      <c r="BC300" s="27"/>
      <c r="BD300" s="51"/>
      <c r="BE300" s="52"/>
      <c r="BF300" s="27" t="s">
        <v>1074</v>
      </c>
      <c r="BG300" s="53">
        <v>0.0</v>
      </c>
      <c r="BH300" s="53" t="str">
        <f>'[1]2023'!Q550</f>
        <v>#REF!</v>
      </c>
      <c r="BI300" s="27"/>
      <c r="BJ300" s="27"/>
      <c r="BK300" s="27" t="s">
        <v>76</v>
      </c>
      <c r="BL300" s="27"/>
    </row>
    <row r="301" ht="14.25" customHeight="1">
      <c r="A301" s="26" t="s">
        <v>55</v>
      </c>
      <c r="B301" s="26" t="s">
        <v>56</v>
      </c>
      <c r="C301" s="26" t="s">
        <v>57</v>
      </c>
      <c r="D301" s="26" t="s">
        <v>81</v>
      </c>
      <c r="E301" s="27" t="s">
        <v>1076</v>
      </c>
      <c r="F301" s="28" t="s">
        <v>1077</v>
      </c>
      <c r="G301" s="29" t="s">
        <v>1078</v>
      </c>
      <c r="H301" s="30">
        <v>45039.0</v>
      </c>
      <c r="I301" s="30">
        <v>45404.0</v>
      </c>
      <c r="J301" s="31">
        <v>0.0</v>
      </c>
      <c r="K301" s="26" t="s">
        <v>420</v>
      </c>
      <c r="L301" s="32" t="s">
        <v>75</v>
      </c>
      <c r="M301" s="33">
        <v>15045.0</v>
      </c>
      <c r="N301" s="34">
        <v>16073.66</v>
      </c>
      <c r="O301" s="27" t="s">
        <v>76</v>
      </c>
      <c r="P301" s="35" t="s">
        <v>104</v>
      </c>
      <c r="Q301" s="35" t="s">
        <v>90</v>
      </c>
      <c r="R301" s="36" t="e">
        <v>#VALUE!</v>
      </c>
      <c r="S301" s="35" t="s">
        <v>86</v>
      </c>
      <c r="T301" s="35">
        <v>0.0</v>
      </c>
      <c r="U301" s="37" t="s">
        <v>67</v>
      </c>
      <c r="V301" s="38"/>
      <c r="W301" s="38"/>
      <c r="X301" s="27"/>
      <c r="Y301" s="39"/>
      <c r="Z301" s="79" t="s">
        <v>407</v>
      </c>
      <c r="AA301" s="39"/>
      <c r="AB301" s="40"/>
      <c r="AC301" s="27">
        <f t="shared" si="123"/>
        <v>0</v>
      </c>
      <c r="AD301" s="41">
        <f t="shared" si="207"/>
        <v>2256.75</v>
      </c>
      <c r="AE301" s="42"/>
      <c r="AF301" s="27"/>
      <c r="AG301" s="43">
        <f t="shared" si="202"/>
        <v>3859.0425</v>
      </c>
      <c r="AH301" s="29"/>
      <c r="AI301" s="29"/>
      <c r="AJ301" s="29"/>
      <c r="AK301" s="29"/>
      <c r="AL301" s="27"/>
      <c r="AM301" s="44"/>
      <c r="AN301" s="68"/>
      <c r="AO301" s="46"/>
      <c r="AP301" s="47"/>
      <c r="AQ301" s="43">
        <f t="shared" si="208"/>
        <v>4062.15</v>
      </c>
      <c r="AR301" s="43">
        <f t="shared" si="2"/>
        <v>203.1075</v>
      </c>
      <c r="AS301" s="43">
        <f t="shared" si="3"/>
        <v>710.87625</v>
      </c>
      <c r="AT301" s="48">
        <f t="shared" si="4"/>
        <v>3148.16625</v>
      </c>
      <c r="AU301" s="49">
        <f t="shared" si="203"/>
        <v>3148.16625</v>
      </c>
      <c r="AV301" s="48"/>
      <c r="AW301" s="34">
        <f t="shared" si="5"/>
        <v>13816.91</v>
      </c>
      <c r="AX301" s="50">
        <f t="shared" si="204"/>
        <v>891.41625</v>
      </c>
      <c r="AY301" s="43"/>
      <c r="AZ301" s="27"/>
      <c r="BA301" s="48">
        <f t="shared" si="200"/>
        <v>3148.16625</v>
      </c>
      <c r="BB301" s="27"/>
      <c r="BC301" s="27"/>
      <c r="BD301" s="51"/>
      <c r="BE301" s="52"/>
      <c r="BF301" s="27" t="s">
        <v>1076</v>
      </c>
      <c r="BG301" s="53">
        <v>0.0</v>
      </c>
      <c r="BH301" s="53" t="str">
        <f>'[1]2023'!Q420</f>
        <v>#REF!</v>
      </c>
      <c r="BI301" s="27"/>
      <c r="BJ301" s="27"/>
      <c r="BK301" s="27" t="s">
        <v>76</v>
      </c>
      <c r="BL301" s="27"/>
    </row>
    <row r="302" ht="14.25" customHeight="1">
      <c r="A302" s="26" t="s">
        <v>55</v>
      </c>
      <c r="B302" s="26" t="s">
        <v>56</v>
      </c>
      <c r="C302" s="26" t="s">
        <v>57</v>
      </c>
      <c r="D302" s="26" t="s">
        <v>81</v>
      </c>
      <c r="E302" s="27" t="s">
        <v>1079</v>
      </c>
      <c r="F302" s="28" t="s">
        <v>1080</v>
      </c>
      <c r="G302" s="29" t="s">
        <v>1078</v>
      </c>
      <c r="H302" s="30">
        <v>45039.0</v>
      </c>
      <c r="I302" s="30">
        <v>45404.0</v>
      </c>
      <c r="J302" s="31">
        <v>0.0</v>
      </c>
      <c r="K302" s="26" t="s">
        <v>420</v>
      </c>
      <c r="L302" s="32" t="s">
        <v>75</v>
      </c>
      <c r="M302" s="33">
        <v>22715.0</v>
      </c>
      <c r="N302" s="34">
        <v>24196.19</v>
      </c>
      <c r="O302" s="27" t="s">
        <v>76</v>
      </c>
      <c r="P302" s="35" t="s">
        <v>122</v>
      </c>
      <c r="Q302" s="35" t="s">
        <v>90</v>
      </c>
      <c r="R302" s="36" t="e">
        <v>#VALUE!</v>
      </c>
      <c r="S302" s="35" t="s">
        <v>86</v>
      </c>
      <c r="T302" s="35">
        <v>0.0</v>
      </c>
      <c r="U302" s="37" t="s">
        <v>67</v>
      </c>
      <c r="V302" s="38"/>
      <c r="W302" s="38"/>
      <c r="X302" s="27"/>
      <c r="Y302" s="39"/>
      <c r="Z302" s="79" t="s">
        <v>208</v>
      </c>
      <c r="AA302" s="39"/>
      <c r="AB302" s="40"/>
      <c r="AC302" s="27">
        <f t="shared" si="123"/>
        <v>0</v>
      </c>
      <c r="AD302" s="41">
        <f t="shared" si="207"/>
        <v>3407.25</v>
      </c>
      <c r="AE302" s="42"/>
      <c r="AF302" s="27"/>
      <c r="AG302" s="43">
        <f t="shared" si="202"/>
        <v>5826.3975</v>
      </c>
      <c r="AH302" s="29"/>
      <c r="AI302" s="29"/>
      <c r="AJ302" s="29"/>
      <c r="AK302" s="29"/>
      <c r="AL302" s="27"/>
      <c r="AM302" s="44"/>
      <c r="AN302" s="115"/>
      <c r="AO302" s="46"/>
      <c r="AP302" s="47"/>
      <c r="AQ302" s="43">
        <f t="shared" si="208"/>
        <v>6133.05</v>
      </c>
      <c r="AR302" s="43">
        <f t="shared" si="2"/>
        <v>306.6525</v>
      </c>
      <c r="AS302" s="43">
        <f t="shared" si="3"/>
        <v>1073.28375</v>
      </c>
      <c r="AT302" s="48">
        <f t="shared" si="4"/>
        <v>4753.11375</v>
      </c>
      <c r="AU302" s="49">
        <f t="shared" si="203"/>
        <v>4753.11375</v>
      </c>
      <c r="AV302" s="48"/>
      <c r="AW302" s="34">
        <f t="shared" si="5"/>
        <v>20788.94</v>
      </c>
      <c r="AX302" s="50">
        <f t="shared" si="204"/>
        <v>1345.86375</v>
      </c>
      <c r="AY302" s="43"/>
      <c r="AZ302" s="43"/>
      <c r="BA302" s="48">
        <f t="shared" si="200"/>
        <v>4753.11375</v>
      </c>
      <c r="BB302" s="27"/>
      <c r="BC302" s="27"/>
      <c r="BD302" s="51"/>
      <c r="BE302" s="52"/>
      <c r="BF302" s="27" t="s">
        <v>1079</v>
      </c>
      <c r="BG302" s="53">
        <v>0.0</v>
      </c>
      <c r="BH302" s="53" t="str">
        <f>'[1]2023'!Q472</f>
        <v>#REF!</v>
      </c>
      <c r="BI302" s="27"/>
      <c r="BJ302" s="27"/>
      <c r="BK302" s="27" t="s">
        <v>76</v>
      </c>
      <c r="BL302" s="64" t="s">
        <v>1081</v>
      </c>
    </row>
    <row r="303" ht="14.25" customHeight="1">
      <c r="A303" s="26" t="s">
        <v>55</v>
      </c>
      <c r="B303" s="26" t="s">
        <v>56</v>
      </c>
      <c r="C303" s="26" t="s">
        <v>57</v>
      </c>
      <c r="D303" s="26" t="s">
        <v>81</v>
      </c>
      <c r="E303" s="27" t="s">
        <v>1082</v>
      </c>
      <c r="F303" s="28" t="s">
        <v>1083</v>
      </c>
      <c r="G303" s="29" t="s">
        <v>1084</v>
      </c>
      <c r="H303" s="30">
        <v>45040.0</v>
      </c>
      <c r="I303" s="30">
        <v>45405.0</v>
      </c>
      <c r="J303" s="31">
        <v>0.0</v>
      </c>
      <c r="K303" s="26" t="s">
        <v>420</v>
      </c>
      <c r="L303" s="32" t="s">
        <v>75</v>
      </c>
      <c r="M303" s="33">
        <v>28800.0</v>
      </c>
      <c r="N303" s="34">
        <v>30639.2</v>
      </c>
      <c r="O303" s="27" t="s">
        <v>76</v>
      </c>
      <c r="P303" s="35" t="s">
        <v>430</v>
      </c>
      <c r="Q303" s="35" t="s">
        <v>90</v>
      </c>
      <c r="R303" s="36" t="e">
        <v>#VALUE!</v>
      </c>
      <c r="S303" s="35" t="s">
        <v>86</v>
      </c>
      <c r="T303" s="35">
        <v>0.0</v>
      </c>
      <c r="U303" s="37" t="s">
        <v>67</v>
      </c>
      <c r="V303" s="38"/>
      <c r="W303" s="38"/>
      <c r="X303" s="27"/>
      <c r="Y303" s="39"/>
      <c r="Z303" s="79" t="s">
        <v>208</v>
      </c>
      <c r="AA303" s="39"/>
      <c r="AB303" s="40"/>
      <c r="AC303" s="27">
        <f t="shared" si="123"/>
        <v>0</v>
      </c>
      <c r="AD303" s="41">
        <f t="shared" si="207"/>
        <v>4320</v>
      </c>
      <c r="AE303" s="42"/>
      <c r="AF303" s="27"/>
      <c r="AG303" s="43">
        <f t="shared" si="202"/>
        <v>7387.2</v>
      </c>
      <c r="AH303" s="29"/>
      <c r="AI303" s="29"/>
      <c r="AJ303" s="29"/>
      <c r="AK303" s="29"/>
      <c r="AL303" s="27"/>
      <c r="AM303" s="44"/>
      <c r="AN303" s="68"/>
      <c r="AO303" s="46"/>
      <c r="AP303" s="47"/>
      <c r="AQ303" s="43">
        <f t="shared" si="208"/>
        <v>7776</v>
      </c>
      <c r="AR303" s="43">
        <f t="shared" si="2"/>
        <v>388.8</v>
      </c>
      <c r="AS303" s="43">
        <f t="shared" si="3"/>
        <v>1360.8</v>
      </c>
      <c r="AT303" s="48">
        <f t="shared" si="4"/>
        <v>6026.4</v>
      </c>
      <c r="AU303" s="49">
        <f t="shared" si="203"/>
        <v>6026.4</v>
      </c>
      <c r="AV303" s="48"/>
      <c r="AW303" s="34">
        <f t="shared" si="5"/>
        <v>26319.2</v>
      </c>
      <c r="AX303" s="50">
        <f t="shared" si="204"/>
        <v>1706.4</v>
      </c>
      <c r="AY303" s="43"/>
      <c r="AZ303" s="27"/>
      <c r="BA303" s="48">
        <f t="shared" si="200"/>
        <v>6026.4</v>
      </c>
      <c r="BB303" s="27"/>
      <c r="BC303" s="27"/>
      <c r="BD303" s="51"/>
      <c r="BE303" s="52"/>
      <c r="BF303" s="27" t="s">
        <v>1082</v>
      </c>
      <c r="BG303" s="58" t="s">
        <v>562</v>
      </c>
      <c r="BH303" s="53" t="str">
        <f>'[1]2023'!Q418</f>
        <v>#REF!</v>
      </c>
      <c r="BI303" s="27"/>
      <c r="BJ303" s="27"/>
      <c r="BK303" s="27" t="s">
        <v>76</v>
      </c>
      <c r="BL303" s="27"/>
    </row>
    <row r="304" ht="14.25" customHeight="1">
      <c r="A304" s="26" t="s">
        <v>55</v>
      </c>
      <c r="B304" s="26" t="s">
        <v>56</v>
      </c>
      <c r="C304" s="26" t="s">
        <v>57</v>
      </c>
      <c r="D304" s="26" t="s">
        <v>81</v>
      </c>
      <c r="E304" s="27" t="s">
        <v>1085</v>
      </c>
      <c r="F304" s="26" t="s">
        <v>1086</v>
      </c>
      <c r="G304" s="29" t="s">
        <v>1084</v>
      </c>
      <c r="H304" s="30">
        <v>45040.0</v>
      </c>
      <c r="I304" s="30">
        <v>45405.0</v>
      </c>
      <c r="J304" s="31">
        <v>0.0</v>
      </c>
      <c r="K304" s="26" t="s">
        <v>420</v>
      </c>
      <c r="L304" s="32" t="s">
        <v>75</v>
      </c>
      <c r="M304" s="33">
        <v>22125.0</v>
      </c>
      <c r="N304" s="34">
        <v>23571.38</v>
      </c>
      <c r="O304" s="27" t="s">
        <v>76</v>
      </c>
      <c r="P304" s="35" t="s">
        <v>430</v>
      </c>
      <c r="Q304" s="35" t="s">
        <v>65</v>
      </c>
      <c r="R304" s="36" t="e">
        <v>#VALUE!</v>
      </c>
      <c r="S304" s="35" t="s">
        <v>86</v>
      </c>
      <c r="T304" s="54" t="s">
        <v>163</v>
      </c>
      <c r="U304" s="37" t="s">
        <v>67</v>
      </c>
      <c r="V304" s="38"/>
      <c r="W304" s="38"/>
      <c r="X304" s="27"/>
      <c r="Y304" s="39"/>
      <c r="Z304" s="39"/>
      <c r="AA304" s="39"/>
      <c r="AB304" s="40"/>
      <c r="AC304" s="27">
        <f t="shared" si="123"/>
        <v>0</v>
      </c>
      <c r="AD304" s="41"/>
      <c r="AE304" s="42"/>
      <c r="AF304" s="27"/>
      <c r="AG304" s="43">
        <f t="shared" si="202"/>
        <v>5675.0625</v>
      </c>
      <c r="AH304" s="29"/>
      <c r="AI304" s="29"/>
      <c r="AJ304" s="29"/>
      <c r="AK304" s="29"/>
      <c r="AL304" s="27"/>
      <c r="AM304" s="44"/>
      <c r="AN304" s="45"/>
      <c r="AO304" s="70">
        <f>M304*15%</f>
        <v>3318.75</v>
      </c>
      <c r="AP304" s="71">
        <v>45267.0</v>
      </c>
      <c r="AQ304" s="43">
        <f t="shared" si="208"/>
        <v>5973.75</v>
      </c>
      <c r="AR304" s="43">
        <f t="shared" si="2"/>
        <v>298.6875</v>
      </c>
      <c r="AS304" s="43">
        <f t="shared" si="3"/>
        <v>1045.40625</v>
      </c>
      <c r="AT304" s="48">
        <f t="shared" si="4"/>
        <v>4629.65625</v>
      </c>
      <c r="AU304" s="49">
        <f t="shared" si="203"/>
        <v>4629.65625</v>
      </c>
      <c r="AV304" s="48"/>
      <c r="AW304" s="34">
        <f t="shared" si="5"/>
        <v>23571.38</v>
      </c>
      <c r="AX304" s="50">
        <f t="shared" si="204"/>
        <v>1310.90625</v>
      </c>
      <c r="AY304" s="43"/>
      <c r="AZ304" s="43"/>
      <c r="BA304" s="48">
        <f t="shared" si="200"/>
        <v>1310.90625</v>
      </c>
      <c r="BB304" s="27"/>
      <c r="BC304" s="27"/>
      <c r="BD304" s="51"/>
      <c r="BE304" s="52"/>
      <c r="BF304" s="27" t="s">
        <v>1085</v>
      </c>
      <c r="BG304" s="53">
        <v>0.0</v>
      </c>
      <c r="BH304" s="53" t="str">
        <f>'[1]2023'!Q473</f>
        <v>#REF!</v>
      </c>
      <c r="BI304" s="27"/>
      <c r="BJ304" s="27"/>
      <c r="BK304" s="27" t="s">
        <v>76</v>
      </c>
      <c r="BL304" s="27"/>
    </row>
    <row r="305" ht="14.25" customHeight="1">
      <c r="A305" s="26" t="s">
        <v>55</v>
      </c>
      <c r="B305" s="26" t="s">
        <v>56</v>
      </c>
      <c r="C305" s="26" t="s">
        <v>57</v>
      </c>
      <c r="D305" s="26" t="s">
        <v>81</v>
      </c>
      <c r="E305" s="27" t="s">
        <v>1087</v>
      </c>
      <c r="F305" s="28" t="s">
        <v>1088</v>
      </c>
      <c r="G305" s="29" t="s">
        <v>1084</v>
      </c>
      <c r="H305" s="30">
        <v>45040.0</v>
      </c>
      <c r="I305" s="30">
        <v>45405.0</v>
      </c>
      <c r="J305" s="31">
        <v>0.0</v>
      </c>
      <c r="K305" s="26" t="s">
        <v>420</v>
      </c>
      <c r="L305" s="32" t="s">
        <v>75</v>
      </c>
      <c r="M305" s="33">
        <v>25436.02</v>
      </c>
      <c r="N305" s="34">
        <v>27077.75</v>
      </c>
      <c r="O305" s="27" t="s">
        <v>76</v>
      </c>
      <c r="P305" s="35" t="s">
        <v>430</v>
      </c>
      <c r="Q305" s="35" t="s">
        <v>108</v>
      </c>
      <c r="R305" s="36" t="e">
        <v>#VALUE!</v>
      </c>
      <c r="S305" s="35" t="s">
        <v>86</v>
      </c>
      <c r="T305" s="35">
        <v>0.0</v>
      </c>
      <c r="U305" s="37" t="s">
        <v>67</v>
      </c>
      <c r="V305" s="38"/>
      <c r="W305" s="38"/>
      <c r="X305" s="27"/>
      <c r="Y305" s="39"/>
      <c r="Z305" s="39"/>
      <c r="AA305" s="39"/>
      <c r="AB305" s="40"/>
      <c r="AC305" s="27">
        <f t="shared" si="123"/>
        <v>0</v>
      </c>
      <c r="AD305" s="41">
        <f>IF(AND(S305="0",O305="Paid"),M305*15%,0)</f>
        <v>3815.403</v>
      </c>
      <c r="AE305" s="42"/>
      <c r="AF305" s="29">
        <v>45144.0</v>
      </c>
      <c r="AG305" s="43">
        <f t="shared" si="202"/>
        <v>6524.33913</v>
      </c>
      <c r="AH305" s="29"/>
      <c r="AI305" s="29"/>
      <c r="AJ305" s="29"/>
      <c r="AK305" s="29"/>
      <c r="AL305" s="27"/>
      <c r="AM305" s="44"/>
      <c r="AN305" s="115"/>
      <c r="AO305" s="46"/>
      <c r="AP305" s="47"/>
      <c r="AQ305" s="43">
        <f t="shared" si="208"/>
        <v>6867.7254</v>
      </c>
      <c r="AR305" s="43">
        <f t="shared" si="2"/>
        <v>343.38627</v>
      </c>
      <c r="AS305" s="43">
        <f t="shared" si="3"/>
        <v>1201.851945</v>
      </c>
      <c r="AT305" s="48">
        <f t="shared" si="4"/>
        <v>5322.487185</v>
      </c>
      <c r="AU305" s="49">
        <f t="shared" si="203"/>
        <v>5322.487185</v>
      </c>
      <c r="AV305" s="48"/>
      <c r="AW305" s="34">
        <f t="shared" si="5"/>
        <v>23262.347</v>
      </c>
      <c r="AX305" s="50">
        <f t="shared" si="204"/>
        <v>1507.084185</v>
      </c>
      <c r="AY305" s="43"/>
      <c r="AZ305" s="43"/>
      <c r="BA305" s="48">
        <f t="shared" si="200"/>
        <v>5322.487185</v>
      </c>
      <c r="BB305" s="27"/>
      <c r="BC305" s="27"/>
      <c r="BD305" s="51"/>
      <c r="BE305" s="52"/>
      <c r="BF305" s="27" t="s">
        <v>1087</v>
      </c>
      <c r="BG305" s="53">
        <v>0.0</v>
      </c>
      <c r="BH305" s="53" t="str">
        <f>'[1]2023'!Q503</f>
        <v>#REF!</v>
      </c>
      <c r="BI305" s="27"/>
      <c r="BJ305" s="27"/>
      <c r="BK305" s="27" t="s">
        <v>76</v>
      </c>
      <c r="BL305" s="27"/>
    </row>
    <row r="306" ht="14.25" customHeight="1">
      <c r="A306" s="26" t="s">
        <v>55</v>
      </c>
      <c r="B306" s="26" t="s">
        <v>56</v>
      </c>
      <c r="C306" s="26" t="s">
        <v>57</v>
      </c>
      <c r="D306" s="26" t="s">
        <v>81</v>
      </c>
      <c r="E306" s="27" t="s">
        <v>1089</v>
      </c>
      <c r="F306" s="28" t="s">
        <v>1090</v>
      </c>
      <c r="G306" s="29" t="s">
        <v>1091</v>
      </c>
      <c r="H306" s="30">
        <v>45041.0</v>
      </c>
      <c r="I306" s="30">
        <v>45406.0</v>
      </c>
      <c r="J306" s="31">
        <v>0.0</v>
      </c>
      <c r="K306" s="26" t="s">
        <v>420</v>
      </c>
      <c r="L306" s="32" t="s">
        <v>393</v>
      </c>
      <c r="M306" s="33">
        <v>21682.5</v>
      </c>
      <c r="N306" s="34">
        <v>23102.78</v>
      </c>
      <c r="O306" s="27" t="s">
        <v>76</v>
      </c>
      <c r="P306" s="35" t="s">
        <v>142</v>
      </c>
      <c r="Q306" s="35" t="s">
        <v>65</v>
      </c>
      <c r="R306" s="36" t="e">
        <v>#VALUE!</v>
      </c>
      <c r="S306" s="35" t="s">
        <v>86</v>
      </c>
      <c r="T306" s="35">
        <v>0.0</v>
      </c>
      <c r="U306" s="37" t="s">
        <v>67</v>
      </c>
      <c r="V306" s="38"/>
      <c r="W306" s="38"/>
      <c r="X306" s="27"/>
      <c r="Y306" s="39"/>
      <c r="Z306" s="39"/>
      <c r="AA306" s="39"/>
      <c r="AB306" s="40"/>
      <c r="AC306" s="27">
        <f t="shared" si="123"/>
        <v>0</v>
      </c>
      <c r="AD306" s="41"/>
      <c r="AE306" s="42"/>
      <c r="AF306" s="27"/>
      <c r="AG306" s="43">
        <f t="shared" si="202"/>
        <v>5561.56125</v>
      </c>
      <c r="AH306" s="29"/>
      <c r="AI306" s="29"/>
      <c r="AJ306" s="29"/>
      <c r="AK306" s="75"/>
      <c r="AL306" s="27"/>
      <c r="AM306" s="27"/>
      <c r="AN306" s="93"/>
      <c r="AO306" s="46"/>
      <c r="AP306" s="47"/>
      <c r="AQ306" s="43">
        <f t="shared" si="208"/>
        <v>5854.275</v>
      </c>
      <c r="AR306" s="43">
        <f t="shared" si="2"/>
        <v>292.71375</v>
      </c>
      <c r="AS306" s="43">
        <f t="shared" si="3"/>
        <v>1024.498125</v>
      </c>
      <c r="AT306" s="48">
        <f t="shared" si="4"/>
        <v>4537.063125</v>
      </c>
      <c r="AU306" s="49">
        <f t="shared" si="203"/>
        <v>4537.063125</v>
      </c>
      <c r="AV306" s="48"/>
      <c r="AW306" s="34">
        <f t="shared" si="5"/>
        <v>23102.78</v>
      </c>
      <c r="AX306" s="50">
        <f t="shared" si="204"/>
        <v>4537.063125</v>
      </c>
      <c r="AY306" s="43"/>
      <c r="AZ306" s="43"/>
      <c r="BA306" s="48">
        <f t="shared" si="200"/>
        <v>4537.063125</v>
      </c>
      <c r="BB306" s="27"/>
      <c r="BC306" s="27"/>
      <c r="BD306" s="51"/>
      <c r="BE306" s="52"/>
      <c r="BF306" s="27" t="s">
        <v>1089</v>
      </c>
      <c r="BG306" s="58" t="s">
        <v>1092</v>
      </c>
      <c r="BH306" s="53" t="str">
        <f>'[1]2023'!Q479</f>
        <v>#REF!</v>
      </c>
      <c r="BI306" s="27"/>
      <c r="BJ306" s="27"/>
      <c r="BK306" s="27" t="s">
        <v>76</v>
      </c>
      <c r="BL306" s="27"/>
    </row>
    <row r="307" ht="14.25" customHeight="1">
      <c r="A307" s="26" t="s">
        <v>55</v>
      </c>
      <c r="B307" s="26" t="s">
        <v>56</v>
      </c>
      <c r="C307" s="26" t="s">
        <v>57</v>
      </c>
      <c r="D307" s="26" t="s">
        <v>81</v>
      </c>
      <c r="E307" s="27" t="s">
        <v>1093</v>
      </c>
      <c r="F307" s="28" t="s">
        <v>1094</v>
      </c>
      <c r="G307" s="29" t="s">
        <v>1091</v>
      </c>
      <c r="H307" s="30">
        <v>45041.0</v>
      </c>
      <c r="I307" s="30">
        <v>45406.0</v>
      </c>
      <c r="J307" s="31">
        <v>0.0</v>
      </c>
      <c r="K307" s="26" t="s">
        <v>420</v>
      </c>
      <c r="L307" s="32" t="s">
        <v>63</v>
      </c>
      <c r="M307" s="33">
        <v>0.0</v>
      </c>
      <c r="N307" s="34">
        <v>0.0</v>
      </c>
      <c r="O307" s="27" t="s">
        <v>64</v>
      </c>
      <c r="P307" s="35">
        <v>0.0</v>
      </c>
      <c r="Q307" s="35" t="s">
        <v>65</v>
      </c>
      <c r="R307" s="36" t="e">
        <v>#VALUE!</v>
      </c>
      <c r="S307" s="35" t="s">
        <v>86</v>
      </c>
      <c r="T307" s="35">
        <v>0.0</v>
      </c>
      <c r="U307" s="37" t="s">
        <v>67</v>
      </c>
      <c r="V307" s="38"/>
      <c r="W307" s="38"/>
      <c r="X307" s="27"/>
      <c r="Y307" s="39"/>
      <c r="Z307" s="39"/>
      <c r="AA307" s="39"/>
      <c r="AB307" s="40"/>
      <c r="AC307" s="27">
        <f t="shared" si="123"/>
        <v>0</v>
      </c>
      <c r="AD307" s="41">
        <f t="shared" ref="AD307:AD310" si="209">IF(AND(S307="0",O307="Paid"),(M307*15%)-AC307,0)</f>
        <v>0</v>
      </c>
      <c r="AE307" s="42"/>
      <c r="AF307" s="27"/>
      <c r="AG307" s="43">
        <f t="shared" si="202"/>
        <v>0</v>
      </c>
      <c r="AH307" s="29"/>
      <c r="AI307" s="29"/>
      <c r="AJ307" s="29"/>
      <c r="AK307" s="75"/>
      <c r="AL307" s="27"/>
      <c r="AM307" s="27"/>
      <c r="AN307" s="93"/>
      <c r="AO307" s="76"/>
      <c r="AP307" s="47"/>
      <c r="AQ307" s="43" t="b">
        <f t="shared" ref="AQ307:AQ310" si="210">IF(O307="Paid",IF(U307="Motor Plus",(M307*27%),IF(U307="Motor One",(M307*22%),(IF(U307="Golden",(M307*25%),(IF(U307="Classic",(M307*15%),(IF(U307="Wethaq",(M307*28%),IF(U307="Alwataniya",(M307*21%))*0)))))))))</f>
        <v>0</v>
      </c>
      <c r="AR307" s="43">
        <f t="shared" si="2"/>
        <v>0</v>
      </c>
      <c r="AS307" s="43">
        <f t="shared" si="3"/>
        <v>0</v>
      </c>
      <c r="AT307" s="48">
        <f t="shared" si="4"/>
        <v>0</v>
      </c>
      <c r="AU307" s="49">
        <f t="shared" si="203"/>
        <v>0</v>
      </c>
      <c r="AV307" s="48"/>
      <c r="AW307" s="34">
        <f t="shared" si="5"/>
        <v>0</v>
      </c>
      <c r="AX307" s="50">
        <f t="shared" si="204"/>
        <v>0</v>
      </c>
      <c r="AY307" s="43"/>
      <c r="AZ307" s="43"/>
      <c r="BA307" s="48">
        <f t="shared" si="200"/>
        <v>0</v>
      </c>
      <c r="BB307" s="27"/>
      <c r="BC307" s="27"/>
      <c r="BD307" s="51"/>
      <c r="BE307" s="52"/>
      <c r="BF307" s="27" t="s">
        <v>1093</v>
      </c>
      <c r="BG307" s="53">
        <v>0.0</v>
      </c>
      <c r="BH307" s="53" t="str">
        <f t="shared" ref="BH307:BH308" si="211">'[1]2023'!Q484</f>
        <v>#REF!</v>
      </c>
      <c r="BI307" s="27"/>
      <c r="BJ307" s="27"/>
      <c r="BK307" s="27" t="s">
        <v>64</v>
      </c>
      <c r="BL307" s="27"/>
    </row>
    <row r="308" ht="14.25" customHeight="1">
      <c r="A308" s="26" t="s">
        <v>55</v>
      </c>
      <c r="B308" s="26" t="s">
        <v>56</v>
      </c>
      <c r="C308" s="26" t="s">
        <v>57</v>
      </c>
      <c r="D308" s="26" t="s">
        <v>81</v>
      </c>
      <c r="E308" s="27" t="s">
        <v>1095</v>
      </c>
      <c r="F308" s="28" t="s">
        <v>1096</v>
      </c>
      <c r="G308" s="29" t="s">
        <v>1091</v>
      </c>
      <c r="H308" s="30">
        <v>45041.0</v>
      </c>
      <c r="I308" s="30">
        <v>45406.0</v>
      </c>
      <c r="J308" s="31">
        <v>0.0</v>
      </c>
      <c r="K308" s="26" t="s">
        <v>420</v>
      </c>
      <c r="L308" s="32" t="s">
        <v>63</v>
      </c>
      <c r="M308" s="33">
        <v>0.0</v>
      </c>
      <c r="N308" s="34">
        <v>0.0</v>
      </c>
      <c r="O308" s="27" t="s">
        <v>64</v>
      </c>
      <c r="P308" s="35">
        <v>0.0</v>
      </c>
      <c r="Q308" s="35" t="s">
        <v>108</v>
      </c>
      <c r="R308" s="36" t="e">
        <v>#VALUE!</v>
      </c>
      <c r="S308" s="35" t="s">
        <v>86</v>
      </c>
      <c r="T308" s="35">
        <v>0.0</v>
      </c>
      <c r="U308" s="37">
        <v>0.0</v>
      </c>
      <c r="V308" s="38"/>
      <c r="W308" s="38"/>
      <c r="X308" s="27"/>
      <c r="Y308" s="39"/>
      <c r="Z308" s="39"/>
      <c r="AA308" s="39"/>
      <c r="AB308" s="40"/>
      <c r="AC308" s="27">
        <f t="shared" si="123"/>
        <v>0</v>
      </c>
      <c r="AD308" s="41">
        <f t="shared" si="209"/>
        <v>0</v>
      </c>
      <c r="AE308" s="42"/>
      <c r="AF308" s="27"/>
      <c r="AG308" s="43">
        <f t="shared" ref="AG308:AG309" si="212">IF(O308="Paid",IF(A308="Alwataniya",(M308*21%)-((M308*21%)*5%),IF((A308="GIG"),(M308*25%)-((M308*25%)*5%),IF((A308="Allianz"),(M308*27%)-((M308*27%)*20%),0))),0)</f>
        <v>0</v>
      </c>
      <c r="AH308" s="29"/>
      <c r="AI308" s="29"/>
      <c r="AJ308" s="29"/>
      <c r="AK308" s="75"/>
      <c r="AL308" s="27"/>
      <c r="AM308" s="44"/>
      <c r="AN308" s="115"/>
      <c r="AO308" s="46"/>
      <c r="AP308" s="47"/>
      <c r="AQ308" s="43" t="b">
        <f t="shared" si="210"/>
        <v>0</v>
      </c>
      <c r="AR308" s="43">
        <f t="shared" si="2"/>
        <v>0</v>
      </c>
      <c r="AS308" s="43">
        <f t="shared" si="3"/>
        <v>0</v>
      </c>
      <c r="AT308" s="48">
        <f t="shared" si="4"/>
        <v>0</v>
      </c>
      <c r="AU308" s="103">
        <f t="shared" si="203"/>
        <v>0</v>
      </c>
      <c r="AV308" s="48"/>
      <c r="AW308" s="34">
        <f t="shared" si="5"/>
        <v>0</v>
      </c>
      <c r="AX308" s="50">
        <f t="shared" si="204"/>
        <v>0</v>
      </c>
      <c r="AY308" s="43"/>
      <c r="AZ308" s="43"/>
      <c r="BA308" s="48">
        <f t="shared" si="200"/>
        <v>0</v>
      </c>
      <c r="BB308" s="27"/>
      <c r="BC308" s="27"/>
      <c r="BD308" s="51"/>
      <c r="BE308" s="52"/>
      <c r="BF308" s="27" t="s">
        <v>1095</v>
      </c>
      <c r="BG308" s="53">
        <v>0.0</v>
      </c>
      <c r="BH308" s="53" t="str">
        <f t="shared" si="211"/>
        <v>#REF!</v>
      </c>
      <c r="BI308" s="27"/>
      <c r="BJ308" s="27"/>
      <c r="BK308" s="27" t="s">
        <v>64</v>
      </c>
      <c r="BL308" s="27"/>
    </row>
    <row r="309" ht="14.25" customHeight="1">
      <c r="A309" s="26" t="s">
        <v>55</v>
      </c>
      <c r="B309" s="26" t="s">
        <v>56</v>
      </c>
      <c r="C309" s="26" t="s">
        <v>57</v>
      </c>
      <c r="D309" s="26" t="s">
        <v>81</v>
      </c>
      <c r="E309" s="27" t="s">
        <v>1097</v>
      </c>
      <c r="F309" s="28" t="s">
        <v>1098</v>
      </c>
      <c r="G309" s="29" t="s">
        <v>1091</v>
      </c>
      <c r="H309" s="30">
        <v>45041.0</v>
      </c>
      <c r="I309" s="30">
        <v>45406.0</v>
      </c>
      <c r="J309" s="31">
        <v>0.0</v>
      </c>
      <c r="K309" s="26" t="s">
        <v>420</v>
      </c>
      <c r="L309" s="32" t="s">
        <v>63</v>
      </c>
      <c r="M309" s="33">
        <v>0.0</v>
      </c>
      <c r="N309" s="34">
        <v>0.0</v>
      </c>
      <c r="O309" s="27" t="s">
        <v>64</v>
      </c>
      <c r="P309" s="35">
        <v>0.0</v>
      </c>
      <c r="Q309" s="35" t="s">
        <v>108</v>
      </c>
      <c r="R309" s="36" t="e">
        <v>#VALUE!</v>
      </c>
      <c r="S309" s="35" t="s">
        <v>86</v>
      </c>
      <c r="T309" s="35">
        <v>0.0</v>
      </c>
      <c r="U309" s="37" t="s">
        <v>67</v>
      </c>
      <c r="V309" s="38"/>
      <c r="W309" s="38"/>
      <c r="X309" s="27"/>
      <c r="Y309" s="39"/>
      <c r="Z309" s="39"/>
      <c r="AA309" s="39"/>
      <c r="AB309" s="40"/>
      <c r="AC309" s="27">
        <f t="shared" si="123"/>
        <v>0</v>
      </c>
      <c r="AD309" s="41">
        <f t="shared" si="209"/>
        <v>0</v>
      </c>
      <c r="AE309" s="42"/>
      <c r="AF309" s="27" t="s">
        <v>63</v>
      </c>
      <c r="AG309" s="43">
        <f t="shared" si="212"/>
        <v>0</v>
      </c>
      <c r="AH309" s="29"/>
      <c r="AI309" s="29"/>
      <c r="AJ309" s="29"/>
      <c r="AK309" s="29"/>
      <c r="AL309" s="27"/>
      <c r="AM309" s="44"/>
      <c r="AN309" s="45"/>
      <c r="AO309" s="46"/>
      <c r="AP309" s="47"/>
      <c r="AQ309" s="43" t="b">
        <f t="shared" si="210"/>
        <v>0</v>
      </c>
      <c r="AR309" s="43">
        <f t="shared" si="2"/>
        <v>0</v>
      </c>
      <c r="AS309" s="43">
        <f t="shared" si="3"/>
        <v>0</v>
      </c>
      <c r="AT309" s="48">
        <f t="shared" si="4"/>
        <v>0</v>
      </c>
      <c r="AU309" s="49">
        <f t="shared" si="203"/>
        <v>0</v>
      </c>
      <c r="AV309" s="48"/>
      <c r="AW309" s="34">
        <f t="shared" si="5"/>
        <v>0</v>
      </c>
      <c r="AX309" s="50">
        <f t="shared" si="204"/>
        <v>0</v>
      </c>
      <c r="AY309" s="43"/>
      <c r="AZ309" s="43"/>
      <c r="BA309" s="48">
        <f t="shared" si="200"/>
        <v>0</v>
      </c>
      <c r="BB309" s="27"/>
      <c r="BC309" s="27"/>
      <c r="BD309" s="51"/>
      <c r="BE309" s="52"/>
      <c r="BF309" s="27" t="s">
        <v>1097</v>
      </c>
      <c r="BG309" s="53">
        <v>0.0</v>
      </c>
      <c r="BH309" s="53" t="str">
        <f>'[1]2023'!Q569</f>
        <v>#REF!</v>
      </c>
      <c r="BI309" s="27"/>
      <c r="BJ309" s="27"/>
      <c r="BK309" s="27" t="s">
        <v>64</v>
      </c>
      <c r="BL309" s="27"/>
    </row>
    <row r="310" ht="14.25" customHeight="1">
      <c r="A310" s="123" t="s">
        <v>55</v>
      </c>
      <c r="B310" s="26" t="s">
        <v>1099</v>
      </c>
      <c r="C310" s="123" t="s">
        <v>57</v>
      </c>
      <c r="D310" s="26" t="s">
        <v>71</v>
      </c>
      <c r="E310" s="27" t="s">
        <v>1100</v>
      </c>
      <c r="F310" s="28" t="s">
        <v>1101</v>
      </c>
      <c r="G310" s="29">
        <v>45041.0</v>
      </c>
      <c r="H310" s="30">
        <v>45041.0</v>
      </c>
      <c r="I310" s="30">
        <v>45406.0</v>
      </c>
      <c r="J310" s="31" t="s">
        <v>86</v>
      </c>
      <c r="K310" s="26" t="s">
        <v>420</v>
      </c>
      <c r="L310" s="32"/>
      <c r="M310" s="33">
        <v>19269.93</v>
      </c>
      <c r="N310" s="34">
        <v>19791.06</v>
      </c>
      <c r="O310" s="27" t="s">
        <v>1102</v>
      </c>
      <c r="P310" s="35">
        <v>0.0</v>
      </c>
      <c r="Q310" s="35">
        <v>0.0</v>
      </c>
      <c r="R310" s="36">
        <v>0.0</v>
      </c>
      <c r="S310" s="35" t="s">
        <v>1103</v>
      </c>
      <c r="T310" s="35">
        <v>0.0</v>
      </c>
      <c r="U310" s="37">
        <v>0.0</v>
      </c>
      <c r="V310" s="38"/>
      <c r="W310" s="78"/>
      <c r="X310" s="27"/>
      <c r="Y310" s="39"/>
      <c r="Z310" s="39"/>
      <c r="AA310" s="39"/>
      <c r="AB310" s="27"/>
      <c r="AC310" s="27">
        <f t="shared" si="123"/>
        <v>0</v>
      </c>
      <c r="AD310" s="41">
        <f t="shared" si="209"/>
        <v>0</v>
      </c>
      <c r="AE310" s="42"/>
      <c r="AF310" s="27"/>
      <c r="AG310" s="43">
        <f>IF(O310="Paid",IF(A310="Wethaq",(M310*28%)-((M310*28%)*5%),IF((A310="GIG"),(M310*25%)-((M310*25%)*5%),IF((A310="Allianz"),(M310*27%)-((M310*27%)*20%),0))),0)</f>
        <v>0</v>
      </c>
      <c r="AH310" s="29"/>
      <c r="AI310" s="29"/>
      <c r="AJ310" s="29"/>
      <c r="AK310" s="29"/>
      <c r="AL310" s="27"/>
      <c r="AM310" s="44"/>
      <c r="AN310" s="68"/>
      <c r="AO310" s="46"/>
      <c r="AP310" s="47"/>
      <c r="AQ310" s="43" t="b">
        <f t="shared" si="210"/>
        <v>0</v>
      </c>
      <c r="AR310" s="43">
        <f t="shared" si="2"/>
        <v>0</v>
      </c>
      <c r="AS310" s="43">
        <f t="shared" si="3"/>
        <v>0</v>
      </c>
      <c r="AT310" s="48">
        <f t="shared" si="4"/>
        <v>0</v>
      </c>
      <c r="AU310" s="49">
        <f>AQ310-AR310-AS310-AC310-AO310</f>
        <v>0</v>
      </c>
      <c r="AV310" s="48"/>
      <c r="AW310" s="34">
        <f t="shared" si="5"/>
        <v>19791.06</v>
      </c>
      <c r="AX310" s="50">
        <f t="shared" si="204"/>
        <v>0</v>
      </c>
      <c r="AY310" s="43"/>
      <c r="AZ310" s="47"/>
      <c r="BA310" s="48">
        <f t="shared" si="200"/>
        <v>0</v>
      </c>
      <c r="BB310" s="27"/>
      <c r="BC310" s="27"/>
      <c r="BD310" s="51"/>
      <c r="BE310" s="52"/>
      <c r="BF310" s="27"/>
      <c r="BG310" s="53"/>
      <c r="BH310" s="53" t="str">
        <f>'[1]2023'!Q1697</f>
        <v>#REF!</v>
      </c>
      <c r="BI310" s="27"/>
      <c r="BJ310" s="27"/>
      <c r="BK310" s="27" t="s">
        <v>1102</v>
      </c>
      <c r="BL310" s="27"/>
    </row>
    <row r="311" ht="14.25" customHeight="1">
      <c r="A311" s="26" t="s">
        <v>55</v>
      </c>
      <c r="B311" s="26" t="s">
        <v>56</v>
      </c>
      <c r="C311" s="26" t="s">
        <v>57</v>
      </c>
      <c r="D311" s="26" t="s">
        <v>81</v>
      </c>
      <c r="E311" s="27" t="s">
        <v>1104</v>
      </c>
      <c r="F311" s="28" t="s">
        <v>1105</v>
      </c>
      <c r="G311" s="29" t="s">
        <v>1106</v>
      </c>
      <c r="H311" s="30">
        <v>45042.0</v>
      </c>
      <c r="I311" s="30">
        <v>45407.0</v>
      </c>
      <c r="J311" s="31">
        <v>0.0</v>
      </c>
      <c r="K311" s="26" t="s">
        <v>420</v>
      </c>
      <c r="L311" s="32" t="s">
        <v>1107</v>
      </c>
      <c r="M311" s="33">
        <v>23747.5</v>
      </c>
      <c r="N311" s="34">
        <v>25289.62</v>
      </c>
      <c r="O311" s="27" t="s">
        <v>76</v>
      </c>
      <c r="P311" s="35" t="s">
        <v>95</v>
      </c>
      <c r="Q311" s="35" t="s">
        <v>65</v>
      </c>
      <c r="R311" s="36" t="e">
        <v>#VALUE!</v>
      </c>
      <c r="S311" s="35" t="s">
        <v>78</v>
      </c>
      <c r="T311" s="35" t="s">
        <v>416</v>
      </c>
      <c r="U311" s="37" t="s">
        <v>67</v>
      </c>
      <c r="V311" s="38"/>
      <c r="W311" s="38"/>
      <c r="X311" s="27"/>
      <c r="Y311" s="39"/>
      <c r="Z311" s="39"/>
      <c r="AA311" s="39"/>
      <c r="AB311" s="40"/>
      <c r="AC311" s="27">
        <f t="shared" si="123"/>
        <v>0</v>
      </c>
      <c r="AD311" s="41"/>
      <c r="AE311" s="42"/>
      <c r="AF311" s="27"/>
      <c r="AG311" s="43">
        <f>IF(O311="Paid",IF(A311="Alwataniya",(M311*21%)-((M311*21%)*5%),IF((A311="GIG"),(M311*25%)-((M311*25%)*5%),IF((A311="Allianz"),(M311*27%)-((M311*27%)*5%),0))),0)</f>
        <v>6091.23375</v>
      </c>
      <c r="AH311" s="29"/>
      <c r="AI311" s="29"/>
      <c r="AJ311" s="29"/>
      <c r="AK311" s="29"/>
      <c r="AL311" s="27"/>
      <c r="AM311" s="44"/>
      <c r="AN311" s="45"/>
      <c r="AO311" s="46">
        <f>(M311*15%)</f>
        <v>3562.125</v>
      </c>
      <c r="AP311" s="47" t="s">
        <v>1108</v>
      </c>
      <c r="AQ311" s="43">
        <f>IF(U311="Motor Plus",(M311*27%),IF(U311="Motor One",(M311*22%),(IF(U311="Golden",(M311*25%),(IF(U311="Classic",(M311*15%),(IF(U311="Wethaq",(M311*28%),IF(U311="Alwataniya",(M311*21%))*0))))))))</f>
        <v>6411.825</v>
      </c>
      <c r="AR311" s="43">
        <f t="shared" si="2"/>
        <v>320.59125</v>
      </c>
      <c r="AS311" s="43">
        <f t="shared" si="3"/>
        <v>1122.069375</v>
      </c>
      <c r="AT311" s="48">
        <f t="shared" si="4"/>
        <v>4969.164375</v>
      </c>
      <c r="AU311" s="49">
        <f t="shared" ref="AU311:AU318" si="213">AQ311-AR311-AS311-AC311</f>
        <v>4969.164375</v>
      </c>
      <c r="AV311" s="48"/>
      <c r="AW311" s="34">
        <f t="shared" si="5"/>
        <v>25289.62</v>
      </c>
      <c r="AX311" s="50">
        <f t="shared" si="204"/>
        <v>1407.039375</v>
      </c>
      <c r="AY311" s="43"/>
      <c r="AZ311" s="43"/>
      <c r="BA311" s="48">
        <f t="shared" si="200"/>
        <v>1407.039375</v>
      </c>
      <c r="BB311" s="27"/>
      <c r="BC311" s="27"/>
      <c r="BD311" s="51"/>
      <c r="BE311" s="52"/>
      <c r="BF311" s="27" t="s">
        <v>1104</v>
      </c>
      <c r="BG311" s="58" t="s">
        <v>1109</v>
      </c>
      <c r="BH311" s="53" t="str">
        <f>'[1]2023'!Q495</f>
        <v>#REF!</v>
      </c>
      <c r="BI311" s="27"/>
      <c r="BJ311" s="27"/>
      <c r="BK311" s="27" t="s">
        <v>76</v>
      </c>
      <c r="BL311" s="27"/>
    </row>
    <row r="312" ht="14.25" customHeight="1">
      <c r="A312" s="26" t="s">
        <v>111</v>
      </c>
      <c r="B312" s="26" t="s">
        <v>56</v>
      </c>
      <c r="C312" s="26" t="s">
        <v>57</v>
      </c>
      <c r="D312" s="26" t="s">
        <v>71</v>
      </c>
      <c r="E312" s="27" t="s">
        <v>1110</v>
      </c>
      <c r="F312" s="28" t="s">
        <v>1111</v>
      </c>
      <c r="G312" s="29" t="s">
        <v>1106</v>
      </c>
      <c r="H312" s="30">
        <v>45042.0</v>
      </c>
      <c r="I312" s="30">
        <v>45407.0</v>
      </c>
      <c r="J312" s="31">
        <v>0.0</v>
      </c>
      <c r="K312" s="26" t="s">
        <v>420</v>
      </c>
      <c r="L312" s="32" t="s">
        <v>63</v>
      </c>
      <c r="M312" s="33">
        <v>54999.24</v>
      </c>
      <c r="N312" s="34">
        <v>58500.0</v>
      </c>
      <c r="O312" s="27" t="s">
        <v>64</v>
      </c>
      <c r="P312" s="35">
        <v>0.0</v>
      </c>
      <c r="Q312" s="35" t="s">
        <v>108</v>
      </c>
      <c r="R312" s="36" t="e">
        <v>#VALUE!</v>
      </c>
      <c r="S312" s="35" t="s">
        <v>86</v>
      </c>
      <c r="T312" s="35">
        <v>0.0</v>
      </c>
      <c r="U312" s="37" t="s">
        <v>115</v>
      </c>
      <c r="V312" s="38">
        <v>2250000.0</v>
      </c>
      <c r="W312" s="38"/>
      <c r="X312" s="27"/>
      <c r="Y312" s="39"/>
      <c r="Z312" s="79" t="s">
        <v>1112</v>
      </c>
      <c r="AA312" s="39"/>
      <c r="AB312" s="40"/>
      <c r="AC312" s="27">
        <f t="shared" si="123"/>
        <v>0</v>
      </c>
      <c r="AD312" s="41">
        <f>IF(AND(S312="0",O312="Paid"),(M312*15%)-AC312,0)</f>
        <v>0</v>
      </c>
      <c r="AE312" s="42"/>
      <c r="AF312" s="29"/>
      <c r="AG312" s="43">
        <f t="shared" ref="AG312:AG313" si="214">IF(O312="Paid",IF(A312="Alwataniya",(M312*21%)-((M312*21%)*5%),IF((A312="GIG"),(M312*25%)-((M312*25%)*5%),IF((A312="Allianz"),(M312*27%)-((M312*27%)*20%),0))),0)</f>
        <v>0</v>
      </c>
      <c r="AH312" s="29"/>
      <c r="AI312" s="29"/>
      <c r="AJ312" s="29"/>
      <c r="AK312" s="29"/>
      <c r="AL312" s="27"/>
      <c r="AM312" s="44"/>
      <c r="AN312" s="115"/>
      <c r="AO312" s="46"/>
      <c r="AP312" s="47"/>
      <c r="AQ312" s="43" t="b">
        <f>IF(O312="Paid",IF(U312="Motor Plus",(M312*27%),IF(U312="Motor One",(M312*22%),(IF(U312="Golden",(M312*25%),(IF(U312="Classic",(M312*15%),(IF(U312="Wethaq",(M312*28%),IF(U312="Alwataniya",(M312*21%))*0)))))))))</f>
        <v>0</v>
      </c>
      <c r="AR312" s="43">
        <f t="shared" si="2"/>
        <v>0</v>
      </c>
      <c r="AS312" s="43">
        <f t="shared" si="3"/>
        <v>0</v>
      </c>
      <c r="AT312" s="48">
        <f t="shared" si="4"/>
        <v>0</v>
      </c>
      <c r="AU312" s="49">
        <f t="shared" si="213"/>
        <v>0</v>
      </c>
      <c r="AV312" s="48"/>
      <c r="AW312" s="34">
        <f t="shared" si="5"/>
        <v>58500</v>
      </c>
      <c r="AX312" s="50">
        <f t="shared" si="204"/>
        <v>0</v>
      </c>
      <c r="AY312" s="43"/>
      <c r="AZ312" s="43"/>
      <c r="BA312" s="48">
        <f t="shared" si="200"/>
        <v>0</v>
      </c>
      <c r="BB312" s="27"/>
      <c r="BC312" s="27"/>
      <c r="BD312" s="51"/>
      <c r="BE312" s="52"/>
      <c r="BF312" s="27" t="s">
        <v>1110</v>
      </c>
      <c r="BG312" s="58" t="s">
        <v>1113</v>
      </c>
      <c r="BH312" s="53" t="str">
        <f t="shared" ref="BH312:BH314" si="215">'[1]2023'!Q527</f>
        <v>#REF!</v>
      </c>
      <c r="BI312" s="27"/>
      <c r="BJ312" s="27"/>
      <c r="BK312" s="27" t="s">
        <v>64</v>
      </c>
      <c r="BL312" s="27"/>
    </row>
    <row r="313" ht="14.25" customHeight="1">
      <c r="A313" s="26" t="s">
        <v>111</v>
      </c>
      <c r="B313" s="26" t="s">
        <v>56</v>
      </c>
      <c r="C313" s="26" t="s">
        <v>57</v>
      </c>
      <c r="D313" s="26" t="s">
        <v>71</v>
      </c>
      <c r="E313" s="27" t="s">
        <v>1114</v>
      </c>
      <c r="F313" s="28" t="s">
        <v>1115</v>
      </c>
      <c r="G313" s="29" t="s">
        <v>1106</v>
      </c>
      <c r="H313" s="30">
        <v>45042.0</v>
      </c>
      <c r="I313" s="30">
        <v>45407.0</v>
      </c>
      <c r="J313" s="31" t="s">
        <v>1116</v>
      </c>
      <c r="K313" s="26" t="s">
        <v>420</v>
      </c>
      <c r="L313" s="32" t="s">
        <v>1030</v>
      </c>
      <c r="M313" s="33">
        <v>24309.92</v>
      </c>
      <c r="N313" s="34">
        <v>26000.0</v>
      </c>
      <c r="O313" s="27" t="s">
        <v>76</v>
      </c>
      <c r="P313" s="35" t="s">
        <v>89</v>
      </c>
      <c r="Q313" s="35" t="s">
        <v>114</v>
      </c>
      <c r="R313" s="36" t="e">
        <v>#VALUE!</v>
      </c>
      <c r="S313" s="35" t="s">
        <v>78</v>
      </c>
      <c r="T313" s="54" t="s">
        <v>1117</v>
      </c>
      <c r="U313" s="37" t="s">
        <v>115</v>
      </c>
      <c r="V313" s="38">
        <v>1000000.0</v>
      </c>
      <c r="W313" s="38"/>
      <c r="X313" s="27"/>
      <c r="Y313" s="39"/>
      <c r="Z313" s="79" t="s">
        <v>1118</v>
      </c>
      <c r="AA313" s="39"/>
      <c r="AB313" s="40"/>
      <c r="AC313" s="27">
        <f t="shared" si="123"/>
        <v>0</v>
      </c>
      <c r="AD313" s="41"/>
      <c r="AE313" s="42"/>
      <c r="AF313" s="27"/>
      <c r="AG313" s="43">
        <f t="shared" si="214"/>
        <v>5773.606</v>
      </c>
      <c r="AH313" s="29" t="s">
        <v>75</v>
      </c>
      <c r="AI313" s="61">
        <v>44990.0</v>
      </c>
      <c r="AJ313" s="40"/>
      <c r="AK313" s="62" t="s">
        <v>63</v>
      </c>
      <c r="AL313" s="27"/>
      <c r="AM313" s="44"/>
      <c r="AN313" s="45"/>
      <c r="AO313" s="46">
        <f>M313*15%</f>
        <v>3646.488</v>
      </c>
      <c r="AP313" s="57">
        <v>44931.0</v>
      </c>
      <c r="AQ313" s="43">
        <f>IF(U313="Motor Plus",(M313*27%),IF(U313="Motor One",(M313*22%),(IF(U313="Golden",(M313*25%),(IF(U313="Classic",(M313*15%),(IF(U313="Wethaq",(M313*28%),IF(U313="Alwataniya",(M313*21%))*0))))))))</f>
        <v>6077.48</v>
      </c>
      <c r="AR313" s="43">
        <f t="shared" si="2"/>
        <v>303.874</v>
      </c>
      <c r="AS313" s="43">
        <f t="shared" si="3"/>
        <v>1063.559</v>
      </c>
      <c r="AT313" s="48">
        <f t="shared" si="4"/>
        <v>4710.047</v>
      </c>
      <c r="AU313" s="49">
        <f t="shared" si="213"/>
        <v>4710.047</v>
      </c>
      <c r="AV313" s="48"/>
      <c r="AW313" s="34">
        <f t="shared" si="5"/>
        <v>26000</v>
      </c>
      <c r="AX313" s="50">
        <f t="shared" si="204"/>
        <v>1063.559</v>
      </c>
      <c r="AY313" s="43"/>
      <c r="AZ313" s="43"/>
      <c r="BA313" s="48">
        <f t="shared" si="200"/>
        <v>1063.559</v>
      </c>
      <c r="BB313" s="27"/>
      <c r="BC313" s="27"/>
      <c r="BD313" s="51"/>
      <c r="BE313" s="52"/>
      <c r="BF313" s="77" t="s">
        <v>1114</v>
      </c>
      <c r="BG313" s="58" t="s">
        <v>1119</v>
      </c>
      <c r="BH313" s="53" t="str">
        <f t="shared" si="215"/>
        <v>#REF!</v>
      </c>
      <c r="BI313" s="27"/>
      <c r="BJ313" s="27"/>
      <c r="BK313" s="27" t="s">
        <v>76</v>
      </c>
      <c r="BL313" s="27"/>
    </row>
    <row r="314" ht="14.25" customHeight="1">
      <c r="A314" s="26" t="s">
        <v>111</v>
      </c>
      <c r="B314" s="26" t="s">
        <v>56</v>
      </c>
      <c r="C314" s="26" t="s">
        <v>57</v>
      </c>
      <c r="D314" s="26" t="s">
        <v>71</v>
      </c>
      <c r="E314" s="27" t="s">
        <v>1120</v>
      </c>
      <c r="F314" s="28" t="s">
        <v>1121</v>
      </c>
      <c r="G314" s="29" t="s">
        <v>1106</v>
      </c>
      <c r="H314" s="30">
        <v>45042.0</v>
      </c>
      <c r="I314" s="30">
        <v>45407.0</v>
      </c>
      <c r="J314" s="31" t="s">
        <v>1122</v>
      </c>
      <c r="K314" s="26" t="s">
        <v>475</v>
      </c>
      <c r="L314" s="32" t="s">
        <v>63</v>
      </c>
      <c r="M314" s="33">
        <v>24347.69</v>
      </c>
      <c r="N314" s="34">
        <v>26040.0</v>
      </c>
      <c r="O314" s="27" t="s">
        <v>64</v>
      </c>
      <c r="P314" s="35">
        <v>0.0</v>
      </c>
      <c r="Q314" s="35" t="s">
        <v>114</v>
      </c>
      <c r="R314" s="36" t="e">
        <v>#VALUE!</v>
      </c>
      <c r="S314" s="35" t="s">
        <v>86</v>
      </c>
      <c r="T314" s="35">
        <v>0.0</v>
      </c>
      <c r="U314" s="37" t="s">
        <v>149</v>
      </c>
      <c r="V314" s="38">
        <v>1200000.0</v>
      </c>
      <c r="W314" s="38"/>
      <c r="X314" s="27"/>
      <c r="Y314" s="39"/>
      <c r="Z314" s="79" t="s">
        <v>1123</v>
      </c>
      <c r="AA314" s="39"/>
      <c r="AB314" s="40"/>
      <c r="AC314" s="27">
        <f t="shared" si="123"/>
        <v>0</v>
      </c>
      <c r="AD314" s="41">
        <f t="shared" ref="AD314:AD316" si="216">IF(AND(S314="0",O314="Paid"),(M314*15%)-AC314,0)</f>
        <v>0</v>
      </c>
      <c r="AE314" s="42"/>
      <c r="AF314" s="27"/>
      <c r="AG314" s="43">
        <f>IF(AND(O314="Paid",A314="GIG"),((M314*15%)-(((M314*15%)*5%))),0)</f>
        <v>0</v>
      </c>
      <c r="AH314" s="29"/>
      <c r="AI314" s="29"/>
      <c r="AJ314" s="29"/>
      <c r="AK314" s="29"/>
      <c r="AL314" s="27"/>
      <c r="AM314" s="44"/>
      <c r="AN314" s="115"/>
      <c r="AO314" s="46"/>
      <c r="AP314" s="47"/>
      <c r="AQ314" s="43" t="b">
        <f>IF(O314="Paid",IF(U314="Motor Plus",(M314*27%),IF(U314="Motor One",(M314*22%),(IF(U314="Golden",(M314*25%),(IF(U314="Classic",(M314*15%),(IF(U314="Wethaq",(M314*28%),IF(U314="Alwataniya",(M314*21%))*0)))))))))</f>
        <v>0</v>
      </c>
      <c r="AR314" s="43">
        <f t="shared" si="2"/>
        <v>0</v>
      </c>
      <c r="AS314" s="43">
        <f t="shared" si="3"/>
        <v>0</v>
      </c>
      <c r="AT314" s="48">
        <f t="shared" si="4"/>
        <v>0</v>
      </c>
      <c r="AU314" s="49">
        <f t="shared" si="213"/>
        <v>0</v>
      </c>
      <c r="AV314" s="48"/>
      <c r="AW314" s="34">
        <f t="shared" si="5"/>
        <v>26040</v>
      </c>
      <c r="AX314" s="50">
        <f t="shared" si="204"/>
        <v>0</v>
      </c>
      <c r="AY314" s="43"/>
      <c r="AZ314" s="43"/>
      <c r="BA314" s="48">
        <f t="shared" si="200"/>
        <v>0</v>
      </c>
      <c r="BB314" s="27"/>
      <c r="BC314" s="27"/>
      <c r="BD314" s="51"/>
      <c r="BE314" s="52"/>
      <c r="BF314" s="27" t="s">
        <v>1124</v>
      </c>
      <c r="BG314" s="58" t="s">
        <v>1125</v>
      </c>
      <c r="BH314" s="53" t="str">
        <f t="shared" si="215"/>
        <v>#REF!</v>
      </c>
      <c r="BI314" s="27"/>
      <c r="BJ314" s="27"/>
      <c r="BK314" s="27" t="s">
        <v>64</v>
      </c>
      <c r="BL314" s="27"/>
    </row>
    <row r="315" ht="14.25" customHeight="1">
      <c r="A315" s="26" t="s">
        <v>55</v>
      </c>
      <c r="B315" s="26" t="s">
        <v>56</v>
      </c>
      <c r="C315" s="26" t="s">
        <v>57</v>
      </c>
      <c r="D315" s="26" t="s">
        <v>58</v>
      </c>
      <c r="E315" s="27" t="s">
        <v>1126</v>
      </c>
      <c r="F315" s="28" t="s">
        <v>1127</v>
      </c>
      <c r="G315" s="29" t="s">
        <v>1106</v>
      </c>
      <c r="H315" s="30">
        <v>45042.0</v>
      </c>
      <c r="I315" s="30">
        <v>45407.0</v>
      </c>
      <c r="J315" s="31">
        <v>0.0</v>
      </c>
      <c r="K315" s="26" t="s">
        <v>420</v>
      </c>
      <c r="L315" s="32" t="s">
        <v>75</v>
      </c>
      <c r="M315" s="33">
        <v>0.0</v>
      </c>
      <c r="N315" s="34">
        <v>1816.11</v>
      </c>
      <c r="O315" s="27" t="s">
        <v>76</v>
      </c>
      <c r="P315" s="35" t="s">
        <v>95</v>
      </c>
      <c r="Q315" s="35">
        <v>0.0</v>
      </c>
      <c r="R315" s="36" t="e">
        <v>#VALUE!</v>
      </c>
      <c r="S315" s="35" t="s">
        <v>86</v>
      </c>
      <c r="T315" s="35">
        <v>0.0</v>
      </c>
      <c r="U315" s="37" t="s">
        <v>67</v>
      </c>
      <c r="V315" s="38"/>
      <c r="W315" s="38"/>
      <c r="X315" s="27"/>
      <c r="Y315" s="39"/>
      <c r="Z315" s="39"/>
      <c r="AA315" s="39"/>
      <c r="AB315" s="40"/>
      <c r="AC315" s="27">
        <f t="shared" si="123"/>
        <v>0</v>
      </c>
      <c r="AD315" s="41">
        <f t="shared" si="216"/>
        <v>0</v>
      </c>
      <c r="AE315" s="42"/>
      <c r="AF315" s="27"/>
      <c r="AG315" s="43">
        <f>IF(O315="Paid",IF(A315="Alwataniya",(M315*21%)-((M315*21%)*5%),IF((A315="GIG"),(M315*25%)-((M315*25%)*5%),IF((A315="Allianz"),(M315*27%)-((M315*27%)*5%),0))),0)</f>
        <v>0</v>
      </c>
      <c r="AH315" s="29"/>
      <c r="AI315" s="29"/>
      <c r="AJ315" s="29"/>
      <c r="AK315" s="29"/>
      <c r="AL315" s="27"/>
      <c r="AM315" s="44"/>
      <c r="AN315" s="115"/>
      <c r="AO315" s="46"/>
      <c r="AP315" s="47"/>
      <c r="AQ315" s="43">
        <f>IF(U315="Motor Plus",(M315*27%),IF(U315="Motor One",(M315*22%),(IF(U315="Golden",(M315*25%),(IF(U315="Classic",(M315*15%),(IF(U315="Wethaq",(M315*28%),IF(U315="Alwataniya",(M315*21%))*0))))))))</f>
        <v>0</v>
      </c>
      <c r="AR315" s="43">
        <f t="shared" si="2"/>
        <v>0</v>
      </c>
      <c r="AS315" s="43">
        <f t="shared" si="3"/>
        <v>0</v>
      </c>
      <c r="AT315" s="48">
        <f t="shared" si="4"/>
        <v>0</v>
      </c>
      <c r="AU315" s="49">
        <f t="shared" si="213"/>
        <v>0</v>
      </c>
      <c r="AV315" s="48"/>
      <c r="AW315" s="34">
        <f t="shared" si="5"/>
        <v>1816.11</v>
      </c>
      <c r="AX315" s="50">
        <f t="shared" si="204"/>
        <v>0</v>
      </c>
      <c r="AY315" s="43"/>
      <c r="AZ315" s="43"/>
      <c r="BA315" s="48">
        <f t="shared" si="200"/>
        <v>0</v>
      </c>
      <c r="BB315" s="27"/>
      <c r="BC315" s="27"/>
      <c r="BD315" s="51"/>
      <c r="BE315" s="52"/>
      <c r="BF315" s="27" t="s">
        <v>1128</v>
      </c>
      <c r="BG315" s="53">
        <v>0.0</v>
      </c>
      <c r="BH315" s="53" t="str">
        <f t="shared" ref="BH315:BH317" si="217">'[1]2023'!Q531</f>
        <v>#REF!</v>
      </c>
      <c r="BI315" s="27"/>
      <c r="BJ315" s="27"/>
      <c r="BK315" s="27" t="s">
        <v>76</v>
      </c>
      <c r="BL315" s="27"/>
    </row>
    <row r="316" ht="14.25" customHeight="1">
      <c r="A316" s="26" t="s">
        <v>111</v>
      </c>
      <c r="B316" s="26" t="s">
        <v>56</v>
      </c>
      <c r="C316" s="26" t="s">
        <v>57</v>
      </c>
      <c r="D316" s="26" t="s">
        <v>71</v>
      </c>
      <c r="E316" s="27" t="s">
        <v>1129</v>
      </c>
      <c r="F316" s="28" t="s">
        <v>1130</v>
      </c>
      <c r="G316" s="29" t="s">
        <v>1106</v>
      </c>
      <c r="H316" s="30">
        <v>45042.0</v>
      </c>
      <c r="I316" s="30">
        <v>45407.0</v>
      </c>
      <c r="J316" s="31" t="s">
        <v>1131</v>
      </c>
      <c r="K316" s="26" t="s">
        <v>420</v>
      </c>
      <c r="L316" s="32" t="s">
        <v>63</v>
      </c>
      <c r="M316" s="33">
        <v>9767.89</v>
      </c>
      <c r="N316" s="34">
        <v>10600.0</v>
      </c>
      <c r="O316" s="27" t="s">
        <v>64</v>
      </c>
      <c r="P316" s="35">
        <v>0.0</v>
      </c>
      <c r="Q316" s="35" t="s">
        <v>114</v>
      </c>
      <c r="R316" s="36" t="e">
        <v>#VALUE!</v>
      </c>
      <c r="S316" s="35" t="s">
        <v>86</v>
      </c>
      <c r="T316" s="35">
        <v>0.0</v>
      </c>
      <c r="U316" s="37" t="s">
        <v>149</v>
      </c>
      <c r="V316" s="38">
        <v>400000.0</v>
      </c>
      <c r="W316" s="38"/>
      <c r="X316" s="27"/>
      <c r="Y316" s="39"/>
      <c r="Z316" s="79" t="s">
        <v>1132</v>
      </c>
      <c r="AA316" s="39"/>
      <c r="AB316" s="40"/>
      <c r="AC316" s="27">
        <f t="shared" si="123"/>
        <v>0</v>
      </c>
      <c r="AD316" s="41">
        <f t="shared" si="216"/>
        <v>0</v>
      </c>
      <c r="AE316" s="42"/>
      <c r="AF316" s="27"/>
      <c r="AG316" s="43">
        <f>IF(AND(O316="Paid",A316="GIG"),((M316*15%)-(((M316*15%)*5%))),0)</f>
        <v>0</v>
      </c>
      <c r="AH316" s="29"/>
      <c r="AI316" s="29"/>
      <c r="AJ316" s="29"/>
      <c r="AK316" s="29"/>
      <c r="AL316" s="27"/>
      <c r="AM316" s="44"/>
      <c r="AN316" s="115"/>
      <c r="AO316" s="46"/>
      <c r="AP316" s="47"/>
      <c r="AQ316" s="43" t="b">
        <f>IF(O316="Paid",IF(U316="Motor Plus",(M316*27%),IF(U316="Motor One",(M316*22%),(IF(U316="Golden",(M316*25%),(IF(U316="Classic",(M316*15%),(IF(U316="Wethaq",(M316*28%),IF(U316="Alwataniya",(M316*21%))*0)))))))))</f>
        <v>0</v>
      </c>
      <c r="AR316" s="43">
        <f t="shared" si="2"/>
        <v>0</v>
      </c>
      <c r="AS316" s="43">
        <f t="shared" si="3"/>
        <v>0</v>
      </c>
      <c r="AT316" s="48">
        <f t="shared" si="4"/>
        <v>0</v>
      </c>
      <c r="AU316" s="49">
        <f t="shared" si="213"/>
        <v>0</v>
      </c>
      <c r="AV316" s="48"/>
      <c r="AW316" s="34">
        <f t="shared" si="5"/>
        <v>10600</v>
      </c>
      <c r="AX316" s="50">
        <f t="shared" si="204"/>
        <v>0</v>
      </c>
      <c r="AY316" s="43"/>
      <c r="AZ316" s="43"/>
      <c r="BA316" s="48">
        <f t="shared" si="200"/>
        <v>0</v>
      </c>
      <c r="BB316" s="27"/>
      <c r="BC316" s="27"/>
      <c r="BD316" s="51"/>
      <c r="BE316" s="52"/>
      <c r="BF316" s="27" t="s">
        <v>1133</v>
      </c>
      <c r="BG316" s="58" t="s">
        <v>1134</v>
      </c>
      <c r="BH316" s="53" t="str">
        <f t="shared" si="217"/>
        <v>#REF!</v>
      </c>
      <c r="BI316" s="27"/>
      <c r="BJ316" s="27"/>
      <c r="BK316" s="27" t="s">
        <v>64</v>
      </c>
      <c r="BL316" s="27"/>
    </row>
    <row r="317" ht="14.25" customHeight="1">
      <c r="A317" s="26" t="s">
        <v>111</v>
      </c>
      <c r="B317" s="26" t="s">
        <v>56</v>
      </c>
      <c r="C317" s="26" t="s">
        <v>57</v>
      </c>
      <c r="D317" s="26" t="s">
        <v>71</v>
      </c>
      <c r="E317" s="27" t="s">
        <v>1135</v>
      </c>
      <c r="F317" s="28" t="s">
        <v>1136</v>
      </c>
      <c r="G317" s="29" t="s">
        <v>1106</v>
      </c>
      <c r="H317" s="30">
        <v>45042.0</v>
      </c>
      <c r="I317" s="30">
        <v>45407.0</v>
      </c>
      <c r="J317" s="31" t="s">
        <v>1137</v>
      </c>
      <c r="K317" s="26" t="s">
        <v>420</v>
      </c>
      <c r="L317" s="69">
        <v>45048.0</v>
      </c>
      <c r="M317" s="33">
        <v>18172.05</v>
      </c>
      <c r="N317" s="34">
        <v>19500.0</v>
      </c>
      <c r="O317" s="27" t="s">
        <v>76</v>
      </c>
      <c r="P317" s="35" t="s">
        <v>509</v>
      </c>
      <c r="Q317" s="35" t="s">
        <v>114</v>
      </c>
      <c r="R317" s="36" t="e">
        <v>#VALUE!</v>
      </c>
      <c r="S317" s="35" t="s">
        <v>78</v>
      </c>
      <c r="T317" s="54" t="s">
        <v>604</v>
      </c>
      <c r="U317" s="37" t="s">
        <v>115</v>
      </c>
      <c r="V317" s="38">
        <v>750000.0</v>
      </c>
      <c r="W317" s="38"/>
      <c r="X317" s="27"/>
      <c r="Y317" s="39"/>
      <c r="Z317" s="79" t="s">
        <v>1138</v>
      </c>
      <c r="AA317" s="39"/>
      <c r="AB317" s="40"/>
      <c r="AC317" s="27">
        <f t="shared" si="123"/>
        <v>0</v>
      </c>
      <c r="AD317" s="41"/>
      <c r="AE317" s="42"/>
      <c r="AF317" s="27"/>
      <c r="AG317" s="43">
        <f>IF(O317="Paid",IF(A317="Alwataniya",(M317*21%)-((M317*21%)*5%),IF((A317="GIG"),(M317*25%)-((M317*25%)*5%),IF((A317="Allianz"),(M317*27%)-((M317*27%)*20%),0))),0)</f>
        <v>4315.861875</v>
      </c>
      <c r="AH317" s="29">
        <v>44962.0</v>
      </c>
      <c r="AI317" s="61" t="s">
        <v>75</v>
      </c>
      <c r="AJ317" s="40"/>
      <c r="AK317" s="62" t="s">
        <v>63</v>
      </c>
      <c r="AL317" s="27"/>
      <c r="AM317" s="44"/>
      <c r="AN317" s="45"/>
      <c r="AO317" s="46">
        <f t="shared" ref="AO317:AO318" si="218">M317*15%</f>
        <v>2725.8075</v>
      </c>
      <c r="AP317" s="57">
        <v>45174.0</v>
      </c>
      <c r="AQ317" s="43">
        <f t="shared" ref="AQ317:AQ318" si="219">IF(U317="Motor Plus",(M317*27%),IF(U317="Motor One",(M317*22%),(IF(U317="Golden",(M317*25%),(IF(U317="Classic",(M317*15%),(IF(U317="Wethaq",(M317*28%),IF(U317="Alwataniya",(M317*21%))*0))))))))</f>
        <v>4543.0125</v>
      </c>
      <c r="AR317" s="43">
        <f t="shared" si="2"/>
        <v>227.150625</v>
      </c>
      <c r="AS317" s="43">
        <f t="shared" si="3"/>
        <v>795.0271875</v>
      </c>
      <c r="AT317" s="48">
        <f t="shared" si="4"/>
        <v>3520.834688</v>
      </c>
      <c r="AU317" s="49">
        <f t="shared" si="213"/>
        <v>3520.834688</v>
      </c>
      <c r="AV317" s="48"/>
      <c r="AW317" s="34">
        <f t="shared" si="5"/>
        <v>19500</v>
      </c>
      <c r="AX317" s="50">
        <f t="shared" si="204"/>
        <v>795.0271875</v>
      </c>
      <c r="AY317" s="43"/>
      <c r="AZ317" s="43"/>
      <c r="BA317" s="48">
        <f t="shared" si="200"/>
        <v>795.0271875</v>
      </c>
      <c r="BB317" s="27"/>
      <c r="BC317" s="27"/>
      <c r="BD317" s="51"/>
      <c r="BE317" s="52"/>
      <c r="BF317" s="27" t="s">
        <v>1135</v>
      </c>
      <c r="BG317" s="58" t="s">
        <v>1139</v>
      </c>
      <c r="BH317" s="53" t="str">
        <f t="shared" si="217"/>
        <v>#REF!</v>
      </c>
      <c r="BI317" s="27"/>
      <c r="BJ317" s="27"/>
      <c r="BK317" s="27" t="s">
        <v>76</v>
      </c>
      <c r="BL317" s="27"/>
    </row>
    <row r="318" ht="14.25" customHeight="1">
      <c r="A318" s="26" t="s">
        <v>55</v>
      </c>
      <c r="B318" s="26" t="s">
        <v>56</v>
      </c>
      <c r="C318" s="26" t="s">
        <v>57</v>
      </c>
      <c r="D318" s="26" t="s">
        <v>81</v>
      </c>
      <c r="E318" s="27" t="s">
        <v>1140</v>
      </c>
      <c r="F318" s="28" t="s">
        <v>1141</v>
      </c>
      <c r="G318" s="29" t="s">
        <v>1106</v>
      </c>
      <c r="H318" s="30">
        <v>45042.0</v>
      </c>
      <c r="I318" s="30">
        <v>45407.0</v>
      </c>
      <c r="J318" s="31">
        <v>0.0</v>
      </c>
      <c r="K318" s="26" t="s">
        <v>420</v>
      </c>
      <c r="L318" s="32" t="s">
        <v>75</v>
      </c>
      <c r="M318" s="33">
        <v>19760.0</v>
      </c>
      <c r="N318" s="34">
        <v>21066.84</v>
      </c>
      <c r="O318" s="27" t="s">
        <v>76</v>
      </c>
      <c r="P318" s="35" t="s">
        <v>89</v>
      </c>
      <c r="Q318" s="35" t="s">
        <v>65</v>
      </c>
      <c r="R318" s="36" t="e">
        <v>#VALUE!</v>
      </c>
      <c r="S318" s="35" t="s">
        <v>231</v>
      </c>
      <c r="T318" s="35">
        <v>0.0</v>
      </c>
      <c r="U318" s="37" t="s">
        <v>67</v>
      </c>
      <c r="V318" s="38"/>
      <c r="W318" s="38"/>
      <c r="X318" s="27"/>
      <c r="Y318" s="39"/>
      <c r="Z318" s="39"/>
      <c r="AA318" s="39"/>
      <c r="AB318" s="40"/>
      <c r="AC318" s="27">
        <f t="shared" si="123"/>
        <v>0</v>
      </c>
      <c r="AD318" s="41"/>
      <c r="AE318" s="42"/>
      <c r="AF318" s="27"/>
      <c r="AG318" s="43">
        <f t="shared" ref="AG318:AG325" si="220">IF(O318="Paid",IF(A318="Alwataniya",(M318*21%)-((M318*21%)*5%),IF((A318="GIG"),(M318*25%)-((M318*25%)*5%),IF((A318="Allianz"),(M318*27%)-((M318*27%)*5%),0))),0)</f>
        <v>5068.44</v>
      </c>
      <c r="AH318" s="29"/>
      <c r="AI318" s="29"/>
      <c r="AJ318" s="29"/>
      <c r="AK318" s="29"/>
      <c r="AL318" s="27"/>
      <c r="AM318" s="44">
        <f>IF((BD318&lt;=2),AU318*10%,(IF((BD318&lt;=3),AU318*20%,IF((BD318&lt;=4),AU318*20%,IF((BD318&gt;=5),AU318*30%,0)))))</f>
        <v>413.478</v>
      </c>
      <c r="AN318" s="45"/>
      <c r="AO318" s="46">
        <f t="shared" si="218"/>
        <v>2964</v>
      </c>
      <c r="AP318" s="47" t="s">
        <v>1142</v>
      </c>
      <c r="AQ318" s="43">
        <f t="shared" si="219"/>
        <v>5335.2</v>
      </c>
      <c r="AR318" s="43">
        <f t="shared" si="2"/>
        <v>266.76</v>
      </c>
      <c r="AS318" s="43">
        <f t="shared" si="3"/>
        <v>933.66</v>
      </c>
      <c r="AT318" s="48">
        <f t="shared" si="4"/>
        <v>4134.78</v>
      </c>
      <c r="AU318" s="49">
        <f t="shared" si="213"/>
        <v>4134.78</v>
      </c>
      <c r="AV318" s="48"/>
      <c r="AW318" s="34">
        <f t="shared" si="5"/>
        <v>21066.84</v>
      </c>
      <c r="AX318" s="50">
        <f t="shared" si="204"/>
        <v>757.302</v>
      </c>
      <c r="AY318" s="43"/>
      <c r="AZ318" s="43"/>
      <c r="BA318" s="48">
        <f t="shared" si="200"/>
        <v>757.302</v>
      </c>
      <c r="BB318" s="27"/>
      <c r="BC318" s="27"/>
      <c r="BD318" s="51"/>
      <c r="BE318" s="52"/>
      <c r="BF318" s="27" t="s">
        <v>1140</v>
      </c>
      <c r="BG318" s="53">
        <v>0.0</v>
      </c>
      <c r="BH318" s="53" t="str">
        <f>'[1]2023'!Q541</f>
        <v>#REF!</v>
      </c>
      <c r="BI318" s="27"/>
      <c r="BJ318" s="27"/>
      <c r="BK318" s="27" t="s">
        <v>76</v>
      </c>
      <c r="BL318" s="27"/>
    </row>
    <row r="319" ht="14.25" customHeight="1">
      <c r="A319" s="26" t="s">
        <v>55</v>
      </c>
      <c r="B319" s="26" t="s">
        <v>56</v>
      </c>
      <c r="C319" s="26" t="s">
        <v>57</v>
      </c>
      <c r="D319" s="26" t="s">
        <v>81</v>
      </c>
      <c r="E319" s="27" t="s">
        <v>1143</v>
      </c>
      <c r="F319" s="28" t="s">
        <v>1144</v>
      </c>
      <c r="G319" s="29">
        <v>45042.0</v>
      </c>
      <c r="H319" s="30">
        <v>45042.0</v>
      </c>
      <c r="I319" s="30">
        <v>45407.0</v>
      </c>
      <c r="J319" s="31">
        <v>0.0</v>
      </c>
      <c r="K319" s="26" t="s">
        <v>420</v>
      </c>
      <c r="L319" s="32" t="s">
        <v>63</v>
      </c>
      <c r="M319" s="33">
        <v>0.0</v>
      </c>
      <c r="N319" s="34">
        <v>0.0</v>
      </c>
      <c r="O319" s="27" t="s">
        <v>64</v>
      </c>
      <c r="P319" s="35">
        <v>0.0</v>
      </c>
      <c r="Q319" s="35">
        <v>0.0</v>
      </c>
      <c r="R319" s="36">
        <v>45042.0</v>
      </c>
      <c r="S319" s="35" t="s">
        <v>86</v>
      </c>
      <c r="T319" s="35">
        <v>0.0</v>
      </c>
      <c r="U319" s="37">
        <v>0.0</v>
      </c>
      <c r="V319" s="38"/>
      <c r="W319" s="38"/>
      <c r="X319" s="27"/>
      <c r="Y319" s="39"/>
      <c r="Z319" s="39"/>
      <c r="AA319" s="39"/>
      <c r="AB319" s="40"/>
      <c r="AC319" s="27">
        <f t="shared" si="123"/>
        <v>0</v>
      </c>
      <c r="AD319" s="41">
        <f t="shared" ref="AD319:AD320" si="221">IF(AND(S319="0",O319="Paid"),(M319*15%)-AC319,0)</f>
        <v>0</v>
      </c>
      <c r="AE319" s="42"/>
      <c r="AF319" s="27"/>
      <c r="AG319" s="43">
        <f t="shared" si="220"/>
        <v>0</v>
      </c>
      <c r="AH319" s="29"/>
      <c r="AI319" s="29"/>
      <c r="AJ319" s="29"/>
      <c r="AK319" s="29"/>
      <c r="AL319" s="27"/>
      <c r="AM319" s="44"/>
      <c r="AN319" s="68"/>
      <c r="AO319" s="46"/>
      <c r="AP319" s="47"/>
      <c r="AQ319" s="43" t="b">
        <f t="shared" ref="AQ319:AQ320" si="222">IF(O319="Paid",IF(U319="Motor Plus",(M319*27%),IF(U319="Motor One",(M319*22%),(IF(U319="Golden",(M319*25%),(IF(U319="Classic",(M319*15%),(IF(U319="Wethaq",(M319*28%),IF(U319="Alwataniya",(M319*21%))*0)))))))))</f>
        <v>0</v>
      </c>
      <c r="AR319" s="43">
        <f t="shared" si="2"/>
        <v>0</v>
      </c>
      <c r="AS319" s="43">
        <f t="shared" si="3"/>
        <v>0</v>
      </c>
      <c r="AT319" s="48">
        <f t="shared" si="4"/>
        <v>0</v>
      </c>
      <c r="AU319" s="49">
        <f>AQ319-AR319-AS319-AC319-AO319</f>
        <v>0</v>
      </c>
      <c r="AV319" s="48"/>
      <c r="AW319" s="34">
        <f t="shared" si="5"/>
        <v>0</v>
      </c>
      <c r="AX319" s="50">
        <f t="shared" si="204"/>
        <v>0</v>
      </c>
      <c r="AY319" s="43"/>
      <c r="AZ319" s="47"/>
      <c r="BA319" s="48">
        <f t="shared" si="200"/>
        <v>0</v>
      </c>
      <c r="BB319" s="27"/>
      <c r="BC319" s="27"/>
      <c r="BD319" s="51"/>
      <c r="BE319" s="52"/>
      <c r="BF319" s="27" t="s">
        <v>1145</v>
      </c>
      <c r="BG319" s="53">
        <v>0.0</v>
      </c>
      <c r="BH319" s="53" t="str">
        <f>'[1]2023'!Q1068</f>
        <v>#REF!</v>
      </c>
      <c r="BI319" s="27"/>
      <c r="BJ319" s="27"/>
      <c r="BK319" s="27" t="s">
        <v>64</v>
      </c>
      <c r="BL319" s="27"/>
    </row>
    <row r="320" ht="14.25" customHeight="1">
      <c r="A320" s="26" t="s">
        <v>55</v>
      </c>
      <c r="B320" s="26" t="s">
        <v>56</v>
      </c>
      <c r="C320" s="26" t="s">
        <v>57</v>
      </c>
      <c r="D320" s="26" t="s">
        <v>81</v>
      </c>
      <c r="E320" s="27" t="s">
        <v>1146</v>
      </c>
      <c r="F320" s="28" t="s">
        <v>1147</v>
      </c>
      <c r="G320" s="29" t="s">
        <v>1148</v>
      </c>
      <c r="H320" s="30">
        <v>45043.0</v>
      </c>
      <c r="I320" s="30">
        <v>45408.0</v>
      </c>
      <c r="J320" s="31">
        <v>0.0</v>
      </c>
      <c r="K320" s="26" t="s">
        <v>420</v>
      </c>
      <c r="L320" s="32" t="s">
        <v>63</v>
      </c>
      <c r="M320" s="33">
        <v>0.0</v>
      </c>
      <c r="N320" s="34">
        <v>0.0</v>
      </c>
      <c r="O320" s="27" t="s">
        <v>64</v>
      </c>
      <c r="P320" s="35">
        <v>0.0</v>
      </c>
      <c r="Q320" s="35" t="s">
        <v>90</v>
      </c>
      <c r="R320" s="36" t="e">
        <v>#VALUE!</v>
      </c>
      <c r="S320" s="35" t="s">
        <v>86</v>
      </c>
      <c r="T320" s="35">
        <v>0.0</v>
      </c>
      <c r="U320" s="37" t="s">
        <v>67</v>
      </c>
      <c r="V320" s="38"/>
      <c r="W320" s="38"/>
      <c r="X320" s="27"/>
      <c r="Y320" s="39"/>
      <c r="Z320" s="79" t="s">
        <v>232</v>
      </c>
      <c r="AA320" s="39"/>
      <c r="AB320" s="40"/>
      <c r="AC320" s="27">
        <f t="shared" si="123"/>
        <v>0</v>
      </c>
      <c r="AD320" s="41">
        <f t="shared" si="221"/>
        <v>0</v>
      </c>
      <c r="AE320" s="42"/>
      <c r="AF320" s="27"/>
      <c r="AG320" s="43">
        <f t="shared" si="220"/>
        <v>0</v>
      </c>
      <c r="AH320" s="29"/>
      <c r="AI320" s="29"/>
      <c r="AJ320" s="29"/>
      <c r="AK320" s="29"/>
      <c r="AL320" s="27"/>
      <c r="AM320" s="44"/>
      <c r="AN320" s="115"/>
      <c r="AO320" s="46"/>
      <c r="AP320" s="47"/>
      <c r="AQ320" s="43" t="b">
        <f t="shared" si="222"/>
        <v>0</v>
      </c>
      <c r="AR320" s="43">
        <f t="shared" si="2"/>
        <v>0</v>
      </c>
      <c r="AS320" s="43">
        <f t="shared" si="3"/>
        <v>0</v>
      </c>
      <c r="AT320" s="48">
        <f t="shared" si="4"/>
        <v>0</v>
      </c>
      <c r="AU320" s="49">
        <f t="shared" ref="AU320:AU334" si="223">AQ320-AR320-AS320-AC320</f>
        <v>0</v>
      </c>
      <c r="AV320" s="48"/>
      <c r="AW320" s="34">
        <f t="shared" si="5"/>
        <v>0</v>
      </c>
      <c r="AX320" s="50">
        <f t="shared" si="204"/>
        <v>0</v>
      </c>
      <c r="AY320" s="43"/>
      <c r="AZ320" s="43"/>
      <c r="BA320" s="48">
        <f t="shared" si="200"/>
        <v>0</v>
      </c>
      <c r="BB320" s="27"/>
      <c r="BC320" s="27"/>
      <c r="BD320" s="51"/>
      <c r="BE320" s="52"/>
      <c r="BF320" s="27" t="s">
        <v>1146</v>
      </c>
      <c r="BG320" s="53">
        <v>0.0</v>
      </c>
      <c r="BH320" s="53" t="str">
        <f>'[1]2023'!Q477</f>
        <v>#REF!</v>
      </c>
      <c r="BI320" s="27"/>
      <c r="BJ320" s="27"/>
      <c r="BK320" s="27" t="s">
        <v>64</v>
      </c>
      <c r="BL320" s="27"/>
    </row>
    <row r="321" ht="14.25" customHeight="1">
      <c r="A321" s="26" t="s">
        <v>55</v>
      </c>
      <c r="B321" s="26" t="s">
        <v>56</v>
      </c>
      <c r="C321" s="26" t="s">
        <v>57</v>
      </c>
      <c r="D321" s="26" t="s">
        <v>81</v>
      </c>
      <c r="E321" s="27" t="s">
        <v>1149</v>
      </c>
      <c r="F321" s="28" t="s">
        <v>1150</v>
      </c>
      <c r="G321" s="29" t="s">
        <v>1148</v>
      </c>
      <c r="H321" s="30">
        <v>45043.0</v>
      </c>
      <c r="I321" s="30">
        <v>45408.0</v>
      </c>
      <c r="J321" s="31">
        <v>0.0</v>
      </c>
      <c r="K321" s="26" t="s">
        <v>420</v>
      </c>
      <c r="L321" s="32" t="s">
        <v>75</v>
      </c>
      <c r="M321" s="33">
        <v>13081.25</v>
      </c>
      <c r="N321" s="34">
        <v>13994.04</v>
      </c>
      <c r="O321" s="27" t="s">
        <v>76</v>
      </c>
      <c r="P321" s="35" t="s">
        <v>89</v>
      </c>
      <c r="Q321" s="35" t="s">
        <v>65</v>
      </c>
      <c r="R321" s="36" t="e">
        <v>#VALUE!</v>
      </c>
      <c r="S321" s="35" t="s">
        <v>86</v>
      </c>
      <c r="T321" s="35">
        <v>0.0</v>
      </c>
      <c r="U321" s="37" t="s">
        <v>67</v>
      </c>
      <c r="V321" s="38"/>
      <c r="W321" s="38"/>
      <c r="X321" s="27"/>
      <c r="Y321" s="39"/>
      <c r="Z321" s="39"/>
      <c r="AA321" s="39"/>
      <c r="AB321" s="40"/>
      <c r="AC321" s="27">
        <f t="shared" si="123"/>
        <v>0</v>
      </c>
      <c r="AD321" s="41"/>
      <c r="AE321" s="42"/>
      <c r="AF321" s="27"/>
      <c r="AG321" s="43">
        <f t="shared" si="220"/>
        <v>3355.340625</v>
      </c>
      <c r="AH321" s="29"/>
      <c r="AI321" s="29"/>
      <c r="AJ321" s="29"/>
      <c r="AK321" s="29"/>
      <c r="AL321" s="27"/>
      <c r="AM321" s="44"/>
      <c r="AN321" s="115"/>
      <c r="AO321" s="46"/>
      <c r="AP321" s="47"/>
      <c r="AQ321" s="43">
        <f t="shared" ref="AQ321:AQ325" si="224">IF(U321="Motor Plus",(M321*27%),IF(U321="Motor One",(M321*22%),(IF(U321="Golden",(M321*25%),(IF(U321="Classic",(M321*15%),(IF(U321="Wethaq",(M321*28%),IF(U321="Alwataniya",(M321*21%))*0))))))))</f>
        <v>3531.9375</v>
      </c>
      <c r="AR321" s="43">
        <f t="shared" si="2"/>
        <v>176.596875</v>
      </c>
      <c r="AS321" s="43">
        <f t="shared" si="3"/>
        <v>618.0890625</v>
      </c>
      <c r="AT321" s="48">
        <f t="shared" si="4"/>
        <v>2737.251563</v>
      </c>
      <c r="AU321" s="49">
        <f t="shared" si="223"/>
        <v>2737.251563</v>
      </c>
      <c r="AV321" s="48"/>
      <c r="AW321" s="34">
        <f t="shared" si="5"/>
        <v>13994.04</v>
      </c>
      <c r="AX321" s="50">
        <f t="shared" si="204"/>
        <v>2737.251563</v>
      </c>
      <c r="AY321" s="43"/>
      <c r="AZ321" s="43"/>
      <c r="BA321" s="48">
        <f t="shared" si="200"/>
        <v>2737.251563</v>
      </c>
      <c r="BB321" s="27"/>
      <c r="BC321" s="27"/>
      <c r="BD321" s="51"/>
      <c r="BE321" s="52"/>
      <c r="BF321" s="27" t="s">
        <v>1149</v>
      </c>
      <c r="BG321" s="53">
        <v>0.0</v>
      </c>
      <c r="BH321" s="53" t="str">
        <f>'[1]2023'!Q504</f>
        <v>#REF!</v>
      </c>
      <c r="BI321" s="27"/>
      <c r="BJ321" s="27"/>
      <c r="BK321" s="27" t="s">
        <v>76</v>
      </c>
      <c r="BL321" s="27"/>
    </row>
    <row r="322" ht="14.25" customHeight="1">
      <c r="A322" s="26" t="s">
        <v>55</v>
      </c>
      <c r="B322" s="26" t="s">
        <v>56</v>
      </c>
      <c r="C322" s="26" t="s">
        <v>57</v>
      </c>
      <c r="D322" s="26" t="s">
        <v>81</v>
      </c>
      <c r="E322" s="27" t="s">
        <v>1151</v>
      </c>
      <c r="F322" s="28" t="s">
        <v>1152</v>
      </c>
      <c r="G322" s="29" t="s">
        <v>1148</v>
      </c>
      <c r="H322" s="30">
        <v>45043.0</v>
      </c>
      <c r="I322" s="30">
        <v>45408.0</v>
      </c>
      <c r="J322" s="31">
        <v>0.0</v>
      </c>
      <c r="K322" s="26" t="s">
        <v>420</v>
      </c>
      <c r="L322" s="32" t="s">
        <v>75</v>
      </c>
      <c r="M322" s="124">
        <v>59000.0</v>
      </c>
      <c r="N322" s="27">
        <v>62625.0</v>
      </c>
      <c r="O322" s="27" t="s">
        <v>76</v>
      </c>
      <c r="P322" s="35" t="s">
        <v>122</v>
      </c>
      <c r="Q322" s="35" t="s">
        <v>108</v>
      </c>
      <c r="R322" s="36" t="e">
        <v>#VALUE!</v>
      </c>
      <c r="S322" s="35" t="s">
        <v>86</v>
      </c>
      <c r="T322" s="35">
        <v>0.0</v>
      </c>
      <c r="U322" s="37" t="s">
        <v>67</v>
      </c>
      <c r="V322" s="38"/>
      <c r="W322" s="38"/>
      <c r="X322" s="27"/>
      <c r="Y322" s="39"/>
      <c r="Z322" s="39"/>
      <c r="AA322" s="39"/>
      <c r="AB322" s="40"/>
      <c r="AC322" s="27">
        <f t="shared" si="123"/>
        <v>0</v>
      </c>
      <c r="AD322" s="41">
        <f t="shared" ref="AD322:AD323" si="225">IF(AND(S322="0",O322="Paid"),M322*15%,0)</f>
        <v>8850</v>
      </c>
      <c r="AE322" s="42"/>
      <c r="AF322" s="29">
        <v>45144.0</v>
      </c>
      <c r="AG322" s="43">
        <f t="shared" si="220"/>
        <v>15133.5</v>
      </c>
      <c r="AH322" s="29"/>
      <c r="AI322" s="29"/>
      <c r="AJ322" s="29"/>
      <c r="AK322" s="29"/>
      <c r="AL322" s="27"/>
      <c r="AM322" s="44"/>
      <c r="AN322" s="45"/>
      <c r="AO322" s="46"/>
      <c r="AP322" s="47"/>
      <c r="AQ322" s="43">
        <f t="shared" si="224"/>
        <v>15930</v>
      </c>
      <c r="AR322" s="43">
        <f t="shared" si="2"/>
        <v>796.5</v>
      </c>
      <c r="AS322" s="43">
        <f t="shared" si="3"/>
        <v>2787.75</v>
      </c>
      <c r="AT322" s="48">
        <f t="shared" si="4"/>
        <v>12345.75</v>
      </c>
      <c r="AU322" s="49">
        <f t="shared" si="223"/>
        <v>12345.75</v>
      </c>
      <c r="AV322" s="48"/>
      <c r="AW322" s="27">
        <f t="shared" si="5"/>
        <v>53775</v>
      </c>
      <c r="AX322" s="50">
        <f t="shared" si="204"/>
        <v>3495.75</v>
      </c>
      <c r="AY322" s="43"/>
      <c r="AZ322" s="43"/>
      <c r="BA322" s="48">
        <f t="shared" si="200"/>
        <v>12345.75</v>
      </c>
      <c r="BB322" s="27"/>
      <c r="BC322" s="27"/>
      <c r="BD322" s="51"/>
      <c r="BE322" s="52"/>
      <c r="BF322" s="27" t="s">
        <v>1151</v>
      </c>
      <c r="BG322" s="53">
        <v>0.0</v>
      </c>
      <c r="BH322" s="53" t="str">
        <f>'[1]2023'!Q731</f>
        <v>#REF!</v>
      </c>
      <c r="BI322" s="27"/>
      <c r="BJ322" s="27"/>
      <c r="BK322" s="27" t="s">
        <v>76</v>
      </c>
      <c r="BL322" s="27"/>
    </row>
    <row r="323" ht="14.25" customHeight="1">
      <c r="A323" s="26" t="s">
        <v>55</v>
      </c>
      <c r="B323" s="26" t="s">
        <v>56</v>
      </c>
      <c r="C323" s="26" t="s">
        <v>57</v>
      </c>
      <c r="D323" s="26" t="s">
        <v>81</v>
      </c>
      <c r="E323" s="27" t="s">
        <v>1153</v>
      </c>
      <c r="F323" s="28" t="s">
        <v>1154</v>
      </c>
      <c r="G323" s="29" t="s">
        <v>1148</v>
      </c>
      <c r="H323" s="30">
        <v>45043.0</v>
      </c>
      <c r="I323" s="30">
        <v>45408.0</v>
      </c>
      <c r="J323" s="31">
        <v>0.0</v>
      </c>
      <c r="K323" s="26" t="s">
        <v>420</v>
      </c>
      <c r="L323" s="32" t="s">
        <v>483</v>
      </c>
      <c r="M323" s="33">
        <v>15133.5</v>
      </c>
      <c r="N323" s="34">
        <v>16167.38</v>
      </c>
      <c r="O323" s="27" t="s">
        <v>76</v>
      </c>
      <c r="P323" s="35" t="s">
        <v>142</v>
      </c>
      <c r="Q323" s="35" t="s">
        <v>90</v>
      </c>
      <c r="R323" s="36" t="e">
        <v>#VALUE!</v>
      </c>
      <c r="S323" s="35" t="s">
        <v>86</v>
      </c>
      <c r="T323" s="35">
        <v>0.0</v>
      </c>
      <c r="U323" s="37" t="s">
        <v>67</v>
      </c>
      <c r="V323" s="38"/>
      <c r="W323" s="38"/>
      <c r="X323" s="27"/>
      <c r="Y323" s="39"/>
      <c r="Z323" s="79" t="s">
        <v>1155</v>
      </c>
      <c r="AA323" s="39"/>
      <c r="AB323" s="40"/>
      <c r="AC323" s="27">
        <f t="shared" si="123"/>
        <v>0</v>
      </c>
      <c r="AD323" s="41">
        <f t="shared" si="225"/>
        <v>2270.025</v>
      </c>
      <c r="AE323" s="42"/>
      <c r="AF323" s="29" t="s">
        <v>483</v>
      </c>
      <c r="AG323" s="43">
        <f t="shared" si="220"/>
        <v>3881.74275</v>
      </c>
      <c r="AH323" s="29"/>
      <c r="AI323" s="29"/>
      <c r="AJ323" s="29"/>
      <c r="AK323" s="29"/>
      <c r="AL323" s="27"/>
      <c r="AM323" s="44"/>
      <c r="AN323" s="45"/>
      <c r="AO323" s="46"/>
      <c r="AP323" s="47"/>
      <c r="AQ323" s="43">
        <f t="shared" si="224"/>
        <v>4086.045</v>
      </c>
      <c r="AR323" s="43">
        <f t="shared" si="2"/>
        <v>204.30225</v>
      </c>
      <c r="AS323" s="43">
        <f t="shared" si="3"/>
        <v>715.057875</v>
      </c>
      <c r="AT323" s="48">
        <f t="shared" si="4"/>
        <v>3166.684875</v>
      </c>
      <c r="AU323" s="49">
        <f t="shared" si="223"/>
        <v>3166.684875</v>
      </c>
      <c r="AV323" s="48"/>
      <c r="AW323" s="34">
        <f t="shared" si="5"/>
        <v>13897.355</v>
      </c>
      <c r="AX323" s="50">
        <f t="shared" si="204"/>
        <v>896.659875</v>
      </c>
      <c r="AY323" s="43"/>
      <c r="AZ323" s="43"/>
      <c r="BA323" s="48">
        <f t="shared" si="200"/>
        <v>3166.684875</v>
      </c>
      <c r="BB323" s="27"/>
      <c r="BC323" s="27"/>
      <c r="BD323" s="51"/>
      <c r="BE323" s="52"/>
      <c r="BF323" s="27" t="s">
        <v>1156</v>
      </c>
      <c r="BG323" s="53">
        <v>0.0</v>
      </c>
      <c r="BH323" s="53" t="str">
        <f>'[1]2023'!Q783</f>
        <v>#REF!</v>
      </c>
      <c r="BI323" s="27"/>
      <c r="BJ323" s="27"/>
      <c r="BK323" s="27" t="s">
        <v>76</v>
      </c>
      <c r="BL323" s="27"/>
    </row>
    <row r="324" ht="14.25" customHeight="1">
      <c r="A324" s="26" t="s">
        <v>55</v>
      </c>
      <c r="B324" s="26" t="s">
        <v>56</v>
      </c>
      <c r="C324" s="26" t="s">
        <v>57</v>
      </c>
      <c r="D324" s="26" t="s">
        <v>81</v>
      </c>
      <c r="E324" s="27" t="s">
        <v>1157</v>
      </c>
      <c r="F324" s="28" t="s">
        <v>1158</v>
      </c>
      <c r="G324" s="29" t="s">
        <v>1159</v>
      </c>
      <c r="H324" s="30">
        <v>45044.0</v>
      </c>
      <c r="I324" s="30">
        <v>45409.0</v>
      </c>
      <c r="J324" s="31">
        <v>0.0</v>
      </c>
      <c r="K324" s="26" t="s">
        <v>420</v>
      </c>
      <c r="L324" s="32" t="s">
        <v>75</v>
      </c>
      <c r="M324" s="33">
        <v>28975.0</v>
      </c>
      <c r="N324" s="34">
        <v>30825.53</v>
      </c>
      <c r="O324" s="27" t="s">
        <v>76</v>
      </c>
      <c r="P324" s="35" t="s">
        <v>89</v>
      </c>
      <c r="Q324" s="35" t="s">
        <v>65</v>
      </c>
      <c r="R324" s="36" t="e">
        <v>#VALUE!</v>
      </c>
      <c r="S324" s="35" t="s">
        <v>86</v>
      </c>
      <c r="T324" s="35">
        <v>0.0</v>
      </c>
      <c r="U324" s="37" t="s">
        <v>67</v>
      </c>
      <c r="V324" s="38"/>
      <c r="W324" s="38"/>
      <c r="X324" s="27"/>
      <c r="Y324" s="39"/>
      <c r="Z324" s="39"/>
      <c r="AA324" s="39"/>
      <c r="AB324" s="40"/>
      <c r="AC324" s="27">
        <f t="shared" si="123"/>
        <v>0</v>
      </c>
      <c r="AD324" s="41"/>
      <c r="AE324" s="42"/>
      <c r="AF324" s="27"/>
      <c r="AG324" s="43">
        <f t="shared" si="220"/>
        <v>7432.0875</v>
      </c>
      <c r="AH324" s="29"/>
      <c r="AI324" s="29"/>
      <c r="AJ324" s="29"/>
      <c r="AK324" s="29"/>
      <c r="AL324" s="27"/>
      <c r="AM324" s="44"/>
      <c r="AN324" s="115"/>
      <c r="AO324" s="46"/>
      <c r="AP324" s="47"/>
      <c r="AQ324" s="43">
        <f t="shared" si="224"/>
        <v>7823.25</v>
      </c>
      <c r="AR324" s="43">
        <f t="shared" si="2"/>
        <v>391.1625</v>
      </c>
      <c r="AS324" s="43">
        <f t="shared" si="3"/>
        <v>1369.06875</v>
      </c>
      <c r="AT324" s="48">
        <f t="shared" si="4"/>
        <v>6063.01875</v>
      </c>
      <c r="AU324" s="49">
        <f t="shared" si="223"/>
        <v>6063.01875</v>
      </c>
      <c r="AV324" s="48"/>
      <c r="AW324" s="34">
        <f t="shared" si="5"/>
        <v>30825.53</v>
      </c>
      <c r="AX324" s="50">
        <f t="shared" si="204"/>
        <v>6063.01875</v>
      </c>
      <c r="AY324" s="43"/>
      <c r="AZ324" s="43"/>
      <c r="BA324" s="48">
        <f t="shared" si="200"/>
        <v>6063.01875</v>
      </c>
      <c r="BB324" s="27"/>
      <c r="BC324" s="27"/>
      <c r="BD324" s="51"/>
      <c r="BE324" s="52"/>
      <c r="BF324" s="27" t="s">
        <v>1157</v>
      </c>
      <c r="BG324" s="58" t="s">
        <v>1081</v>
      </c>
      <c r="BH324" s="53" t="str">
        <f>'[1]2023'!Q478</f>
        <v>#REF!</v>
      </c>
      <c r="BI324" s="27"/>
      <c r="BJ324" s="27"/>
      <c r="BK324" s="27" t="s">
        <v>76</v>
      </c>
      <c r="BL324" s="27"/>
    </row>
    <row r="325" ht="14.25" customHeight="1">
      <c r="A325" s="26" t="s">
        <v>55</v>
      </c>
      <c r="B325" s="26" t="s">
        <v>56</v>
      </c>
      <c r="C325" s="26" t="s">
        <v>57</v>
      </c>
      <c r="D325" s="26" t="s">
        <v>71</v>
      </c>
      <c r="E325" s="27" t="s">
        <v>1160</v>
      </c>
      <c r="F325" s="28" t="s">
        <v>1161</v>
      </c>
      <c r="G325" s="29" t="s">
        <v>1162</v>
      </c>
      <c r="H325" s="30">
        <v>45045.0</v>
      </c>
      <c r="I325" s="30">
        <v>45410.0</v>
      </c>
      <c r="J325" s="31" t="s">
        <v>1163</v>
      </c>
      <c r="K325" s="26" t="s">
        <v>420</v>
      </c>
      <c r="L325" s="69">
        <v>45048.0</v>
      </c>
      <c r="M325" s="33">
        <v>33000.0</v>
      </c>
      <c r="N325" s="34">
        <v>35090.0</v>
      </c>
      <c r="O325" s="27" t="s">
        <v>76</v>
      </c>
      <c r="P325" s="35" t="s">
        <v>162</v>
      </c>
      <c r="Q325" s="35" t="s">
        <v>65</v>
      </c>
      <c r="R325" s="36" t="e">
        <v>#VALUE!</v>
      </c>
      <c r="S325" s="35" t="s">
        <v>66</v>
      </c>
      <c r="T325" s="35">
        <v>0.0</v>
      </c>
      <c r="U325" s="37" t="s">
        <v>67</v>
      </c>
      <c r="V325" s="38">
        <v>1600000.0</v>
      </c>
      <c r="W325" s="78"/>
      <c r="X325" s="27">
        <v>2022.0</v>
      </c>
      <c r="Y325" s="39"/>
      <c r="Z325" s="79" t="s">
        <v>1164</v>
      </c>
      <c r="AA325" s="39"/>
      <c r="AB325" s="40">
        <v>0.05</v>
      </c>
      <c r="AC325" s="27">
        <v>1500.0</v>
      </c>
      <c r="AD325" s="41"/>
      <c r="AE325" s="42"/>
      <c r="AF325" s="27"/>
      <c r="AG325" s="43">
        <f t="shared" si="220"/>
        <v>8464.5</v>
      </c>
      <c r="AH325" s="29"/>
      <c r="AI325" s="29"/>
      <c r="AJ325" s="29"/>
      <c r="AK325" s="29"/>
      <c r="AL325" s="27"/>
      <c r="AM325" s="125">
        <f>((M325*27%)-AC325-((M325*27%)*22.5%))*30%</f>
        <v>1621.575</v>
      </c>
      <c r="AN325" s="120" t="s">
        <v>1038</v>
      </c>
      <c r="AO325" s="46"/>
      <c r="AP325" s="47"/>
      <c r="AQ325" s="43">
        <f t="shared" si="224"/>
        <v>8910</v>
      </c>
      <c r="AR325" s="43">
        <f t="shared" si="2"/>
        <v>445.5</v>
      </c>
      <c r="AS325" s="43">
        <f t="shared" si="3"/>
        <v>1559.25</v>
      </c>
      <c r="AT325" s="48">
        <f t="shared" si="4"/>
        <v>6905.25</v>
      </c>
      <c r="AU325" s="49">
        <f t="shared" si="223"/>
        <v>5405.25</v>
      </c>
      <c r="AV325" s="48"/>
      <c r="AW325" s="34">
        <f t="shared" si="5"/>
        <v>33590</v>
      </c>
      <c r="AX325" s="50">
        <f t="shared" si="204"/>
        <v>5283.675</v>
      </c>
      <c r="AY325" s="43"/>
      <c r="AZ325" s="43"/>
      <c r="BA325" s="48">
        <f t="shared" si="200"/>
        <v>3783.675</v>
      </c>
      <c r="BB325" s="27"/>
      <c r="BC325" s="27"/>
      <c r="BD325" s="51"/>
      <c r="BE325" s="52" t="s">
        <v>440</v>
      </c>
      <c r="BF325" s="27" t="s">
        <v>1160</v>
      </c>
      <c r="BG325" s="53">
        <v>0.0</v>
      </c>
      <c r="BH325" s="53" t="str">
        <f>'[1]2023'!Q555</f>
        <v>#REF!</v>
      </c>
      <c r="BI325" s="27"/>
      <c r="BJ325" s="27"/>
      <c r="BK325" s="27" t="s">
        <v>76</v>
      </c>
      <c r="BL325" s="64" t="s">
        <v>1165</v>
      </c>
    </row>
    <row r="326" ht="14.25" customHeight="1">
      <c r="A326" s="26" t="s">
        <v>111</v>
      </c>
      <c r="B326" s="26" t="s">
        <v>56</v>
      </c>
      <c r="C326" s="26" t="s">
        <v>57</v>
      </c>
      <c r="D326" s="26" t="s">
        <v>71</v>
      </c>
      <c r="E326" s="27" t="s">
        <v>1166</v>
      </c>
      <c r="F326" s="28" t="s">
        <v>1167</v>
      </c>
      <c r="G326" s="29" t="s">
        <v>1168</v>
      </c>
      <c r="H326" s="30">
        <v>45046.0</v>
      </c>
      <c r="I326" s="30">
        <v>45411.0</v>
      </c>
      <c r="J326" s="31" t="s">
        <v>1169</v>
      </c>
      <c r="K326" s="26" t="s">
        <v>420</v>
      </c>
      <c r="L326" s="32" t="s">
        <v>63</v>
      </c>
      <c r="M326" s="33">
        <v>26765.06</v>
      </c>
      <c r="N326" s="34">
        <v>28600.0</v>
      </c>
      <c r="O326" s="27" t="s">
        <v>64</v>
      </c>
      <c r="P326" s="35">
        <v>0.0</v>
      </c>
      <c r="Q326" s="35" t="s">
        <v>114</v>
      </c>
      <c r="R326" s="36" t="e">
        <v>#VALUE!</v>
      </c>
      <c r="S326" s="35" t="s">
        <v>683</v>
      </c>
      <c r="T326" s="35">
        <v>0.0</v>
      </c>
      <c r="U326" s="37" t="s">
        <v>115</v>
      </c>
      <c r="V326" s="38">
        <v>1100000.0</v>
      </c>
      <c r="W326" s="38"/>
      <c r="X326" s="27"/>
      <c r="Y326" s="39"/>
      <c r="Z326" s="79" t="s">
        <v>1170</v>
      </c>
      <c r="AA326" s="39"/>
      <c r="AB326" s="40"/>
      <c r="AC326" s="27">
        <f t="shared" ref="AC326:AC341" si="226">M326*AB326</f>
        <v>0</v>
      </c>
      <c r="AD326" s="41">
        <f t="shared" ref="AD326:AD328" si="227">IF(AND(S326="0",O326="Paid"),(M326*15%)-AC326,0)</f>
        <v>0</v>
      </c>
      <c r="AE326" s="42"/>
      <c r="AF326" s="27"/>
      <c r="AG326" s="43">
        <f t="shared" ref="AG326:AG327" si="228">IF(O326="Paid",IF(A326="Alwataniya",(M326*21%)-((M326*21%)*5%),IF((A326="GIG"),(M326*25%)-((M326*25%)*5%),IF((A326="Allianz"),(M326*27%)-((M326*27%)*20%),0))),0)</f>
        <v>0</v>
      </c>
      <c r="AH326" s="29"/>
      <c r="AI326" s="29"/>
      <c r="AJ326" s="29"/>
      <c r="AK326" s="29"/>
      <c r="AL326" s="27"/>
      <c r="AM326" s="44"/>
      <c r="AN326" s="115"/>
      <c r="AO326" s="46"/>
      <c r="AP326" s="47"/>
      <c r="AQ326" s="43" t="b">
        <f t="shared" ref="AQ326:AQ328" si="229">IF(O326="Paid",IF(U326="Motor Plus",(M326*27%),IF(U326="Motor One",(M326*22%),(IF(U326="Golden",(M326*25%),(IF(U326="Classic",(M326*15%),(IF(U326="Wethaq",(M326*28%),IF(U326="Alwataniya",(M326*21%))*0)))))))))</f>
        <v>0</v>
      </c>
      <c r="AR326" s="43">
        <f t="shared" si="2"/>
        <v>0</v>
      </c>
      <c r="AS326" s="43">
        <f t="shared" si="3"/>
        <v>0</v>
      </c>
      <c r="AT326" s="48">
        <f t="shared" si="4"/>
        <v>0</v>
      </c>
      <c r="AU326" s="49">
        <f t="shared" si="223"/>
        <v>0</v>
      </c>
      <c r="AV326" s="48"/>
      <c r="AW326" s="34">
        <f t="shared" si="5"/>
        <v>28600</v>
      </c>
      <c r="AX326" s="50">
        <f t="shared" si="204"/>
        <v>0</v>
      </c>
      <c r="AY326" s="43"/>
      <c r="AZ326" s="43"/>
      <c r="BA326" s="48">
        <f t="shared" si="200"/>
        <v>0</v>
      </c>
      <c r="BB326" s="27"/>
      <c r="BC326" s="27"/>
      <c r="BD326" s="51"/>
      <c r="BE326" s="52"/>
      <c r="BF326" s="27" t="s">
        <v>1166</v>
      </c>
      <c r="BG326" s="58" t="s">
        <v>1171</v>
      </c>
      <c r="BH326" s="53" t="str">
        <f>'[1]2023'!Q534</f>
        <v>#REF!</v>
      </c>
      <c r="BI326" s="27"/>
      <c r="BJ326" s="27"/>
      <c r="BK326" s="27" t="s">
        <v>64</v>
      </c>
      <c r="BL326" s="27"/>
    </row>
    <row r="327" ht="14.25" customHeight="1">
      <c r="A327" s="26" t="s">
        <v>68</v>
      </c>
      <c r="B327" s="26" t="s">
        <v>56</v>
      </c>
      <c r="C327" s="26" t="s">
        <v>57</v>
      </c>
      <c r="D327" s="26" t="s">
        <v>71</v>
      </c>
      <c r="E327" s="27" t="s">
        <v>1172</v>
      </c>
      <c r="F327" s="28" t="s">
        <v>1173</v>
      </c>
      <c r="G327" s="29" t="s">
        <v>1168</v>
      </c>
      <c r="H327" s="30">
        <v>45046.0</v>
      </c>
      <c r="I327" s="30">
        <v>45411.0</v>
      </c>
      <c r="J327" s="31" t="s">
        <v>1174</v>
      </c>
      <c r="K327" s="26" t="s">
        <v>420</v>
      </c>
      <c r="L327" s="32" t="s">
        <v>63</v>
      </c>
      <c r="M327" s="33">
        <v>16892.06</v>
      </c>
      <c r="N327" s="34">
        <v>18000.0</v>
      </c>
      <c r="O327" s="27" t="s">
        <v>64</v>
      </c>
      <c r="P327" s="35">
        <v>0.0</v>
      </c>
      <c r="Q327" s="35">
        <v>0.0</v>
      </c>
      <c r="R327" s="36" t="e">
        <v>#VALUE!</v>
      </c>
      <c r="S327" s="35" t="s">
        <v>676</v>
      </c>
      <c r="T327" s="35">
        <v>0.0</v>
      </c>
      <c r="U327" s="37">
        <v>0.0</v>
      </c>
      <c r="V327" s="38">
        <v>800000.0</v>
      </c>
      <c r="W327" s="38"/>
      <c r="X327" s="27"/>
      <c r="Y327" s="39"/>
      <c r="Z327" s="79" t="s">
        <v>1175</v>
      </c>
      <c r="AA327" s="39"/>
      <c r="AB327" s="40"/>
      <c r="AC327" s="27">
        <f t="shared" si="226"/>
        <v>0</v>
      </c>
      <c r="AD327" s="41">
        <f t="shared" si="227"/>
        <v>0</v>
      </c>
      <c r="AE327" s="42"/>
      <c r="AF327" s="27"/>
      <c r="AG327" s="43">
        <f t="shared" si="228"/>
        <v>0</v>
      </c>
      <c r="AH327" s="29"/>
      <c r="AI327" s="29"/>
      <c r="AJ327" s="29"/>
      <c r="AK327" s="29"/>
      <c r="AL327" s="27"/>
      <c r="AM327" s="44"/>
      <c r="AN327" s="115"/>
      <c r="AO327" s="46"/>
      <c r="AP327" s="47"/>
      <c r="AQ327" s="43" t="b">
        <f t="shared" si="229"/>
        <v>0</v>
      </c>
      <c r="AR327" s="43">
        <f t="shared" si="2"/>
        <v>0</v>
      </c>
      <c r="AS327" s="43">
        <f t="shared" si="3"/>
        <v>0</v>
      </c>
      <c r="AT327" s="48">
        <f t="shared" si="4"/>
        <v>0</v>
      </c>
      <c r="AU327" s="49">
        <f t="shared" si="223"/>
        <v>0</v>
      </c>
      <c r="AV327" s="48"/>
      <c r="AW327" s="34">
        <f t="shared" si="5"/>
        <v>18000</v>
      </c>
      <c r="AX327" s="50">
        <f t="shared" si="204"/>
        <v>0</v>
      </c>
      <c r="AY327" s="43"/>
      <c r="AZ327" s="43"/>
      <c r="BA327" s="48">
        <f t="shared" si="200"/>
        <v>0</v>
      </c>
      <c r="BB327" s="27"/>
      <c r="BC327" s="27"/>
      <c r="BD327" s="51"/>
      <c r="BE327" s="52"/>
      <c r="BF327" s="27" t="s">
        <v>1172</v>
      </c>
      <c r="BG327" s="58" t="s">
        <v>1176</v>
      </c>
      <c r="BH327" s="53" t="str">
        <f>'[1]2023'!Q538</f>
        <v>#REF!</v>
      </c>
      <c r="BI327" s="27"/>
      <c r="BJ327" s="27"/>
      <c r="BK327" s="27" t="s">
        <v>64</v>
      </c>
      <c r="BL327" s="27"/>
    </row>
    <row r="328" ht="14.25" customHeight="1">
      <c r="A328" s="26" t="s">
        <v>68</v>
      </c>
      <c r="B328" s="26" t="s">
        <v>56</v>
      </c>
      <c r="C328" s="26" t="s">
        <v>57</v>
      </c>
      <c r="D328" s="26" t="s">
        <v>71</v>
      </c>
      <c r="E328" s="27" t="s">
        <v>1177</v>
      </c>
      <c r="F328" s="28" t="s">
        <v>1178</v>
      </c>
      <c r="G328" s="29" t="s">
        <v>1168</v>
      </c>
      <c r="H328" s="30">
        <v>45046.0</v>
      </c>
      <c r="I328" s="30">
        <v>45411.0</v>
      </c>
      <c r="J328" s="31" t="s">
        <v>1179</v>
      </c>
      <c r="K328" s="26" t="s">
        <v>420</v>
      </c>
      <c r="L328" s="32" t="s">
        <v>63</v>
      </c>
      <c r="M328" s="33">
        <v>12664.01</v>
      </c>
      <c r="N328" s="34">
        <v>13530.0</v>
      </c>
      <c r="O328" s="27" t="s">
        <v>64</v>
      </c>
      <c r="P328" s="35" t="s">
        <v>430</v>
      </c>
      <c r="Q328" s="35">
        <v>0.0</v>
      </c>
      <c r="R328" s="36" t="e">
        <v>#VALUE!</v>
      </c>
      <c r="S328" s="35" t="s">
        <v>848</v>
      </c>
      <c r="T328" s="35">
        <v>0.0</v>
      </c>
      <c r="U328" s="37">
        <v>0.0</v>
      </c>
      <c r="V328" s="38">
        <v>550000.0</v>
      </c>
      <c r="W328" s="38"/>
      <c r="X328" s="27"/>
      <c r="Y328" s="39"/>
      <c r="Z328" s="79" t="s">
        <v>1180</v>
      </c>
      <c r="AA328" s="39"/>
      <c r="AB328" s="40"/>
      <c r="AC328" s="27">
        <f t="shared" si="226"/>
        <v>0</v>
      </c>
      <c r="AD328" s="41">
        <f t="shared" si="227"/>
        <v>0</v>
      </c>
      <c r="AE328" s="42"/>
      <c r="AF328" s="27"/>
      <c r="AG328" s="43" t="b">
        <f>IF(O328="Paid",IF(A328="Wethaq",(M328*28%)-((M328*28%)*5%)))</f>
        <v>0</v>
      </c>
      <c r="AH328" s="29" t="s">
        <v>1181</v>
      </c>
      <c r="AI328" s="29"/>
      <c r="AJ328" s="29"/>
      <c r="AK328" s="29"/>
      <c r="AL328" s="27"/>
      <c r="AM328" s="44"/>
      <c r="AN328" s="115"/>
      <c r="AO328" s="46"/>
      <c r="AP328" s="47"/>
      <c r="AQ328" s="43" t="b">
        <f t="shared" si="229"/>
        <v>0</v>
      </c>
      <c r="AR328" s="43">
        <f t="shared" si="2"/>
        <v>0</v>
      </c>
      <c r="AS328" s="43">
        <f t="shared" si="3"/>
        <v>0</v>
      </c>
      <c r="AT328" s="48">
        <f t="shared" si="4"/>
        <v>0</v>
      </c>
      <c r="AU328" s="49">
        <f t="shared" si="223"/>
        <v>0</v>
      </c>
      <c r="AV328" s="48"/>
      <c r="AW328" s="34">
        <f t="shared" si="5"/>
        <v>13530</v>
      </c>
      <c r="AX328" s="50">
        <f t="shared" si="204"/>
        <v>0</v>
      </c>
      <c r="AY328" s="43"/>
      <c r="AZ328" s="43"/>
      <c r="BA328" s="48">
        <f t="shared" si="200"/>
        <v>0</v>
      </c>
      <c r="BB328" s="27"/>
      <c r="BC328" s="27"/>
      <c r="BD328" s="51"/>
      <c r="BE328" s="52"/>
      <c r="BF328" s="27" t="s">
        <v>1177</v>
      </c>
      <c r="BG328" s="58" t="s">
        <v>1182</v>
      </c>
      <c r="BH328" s="53" t="str">
        <f>'[1]2023'!Q551</f>
        <v>#REF!</v>
      </c>
      <c r="BI328" s="27"/>
      <c r="BJ328" s="27"/>
      <c r="BK328" s="27" t="s">
        <v>64</v>
      </c>
      <c r="BL328" s="27"/>
    </row>
    <row r="329" ht="14.25" customHeight="1">
      <c r="A329" s="26" t="s">
        <v>55</v>
      </c>
      <c r="B329" s="26" t="s">
        <v>56</v>
      </c>
      <c r="C329" s="26" t="s">
        <v>57</v>
      </c>
      <c r="D329" s="26" t="s">
        <v>81</v>
      </c>
      <c r="E329" s="27" t="s">
        <v>1183</v>
      </c>
      <c r="F329" s="28" t="s">
        <v>1184</v>
      </c>
      <c r="G329" s="29" t="s">
        <v>1168</v>
      </c>
      <c r="H329" s="30">
        <v>45046.0</v>
      </c>
      <c r="I329" s="30">
        <v>45411.0</v>
      </c>
      <c r="J329" s="31">
        <v>0.0</v>
      </c>
      <c r="K329" s="26" t="s">
        <v>420</v>
      </c>
      <c r="L329" s="32" t="s">
        <v>75</v>
      </c>
      <c r="M329" s="33">
        <v>15045.0</v>
      </c>
      <c r="N329" s="34">
        <v>16073.66</v>
      </c>
      <c r="O329" s="27" t="s">
        <v>76</v>
      </c>
      <c r="P329" s="35" t="s">
        <v>89</v>
      </c>
      <c r="Q329" s="35" t="s">
        <v>65</v>
      </c>
      <c r="R329" s="36" t="e">
        <v>#VALUE!</v>
      </c>
      <c r="S329" s="35" t="s">
        <v>86</v>
      </c>
      <c r="T329" s="54" t="s">
        <v>163</v>
      </c>
      <c r="U329" s="37" t="s">
        <v>67</v>
      </c>
      <c r="V329" s="38"/>
      <c r="W329" s="38"/>
      <c r="X329" s="27"/>
      <c r="Y329" s="39"/>
      <c r="Z329" s="39"/>
      <c r="AA329" s="39"/>
      <c r="AB329" s="40"/>
      <c r="AC329" s="27">
        <f t="shared" si="226"/>
        <v>0</v>
      </c>
      <c r="AD329" s="41"/>
      <c r="AE329" s="42"/>
      <c r="AF329" s="27"/>
      <c r="AG329" s="43">
        <f t="shared" ref="AG329:AG340" si="230">IF(O329="Paid",IF(A329="Alwataniya",(M329*21%)-((M329*21%)*5%),IF((A329="GIG"),(M329*25%)-((M329*25%)*5%),IF((A329="Allianz"),(M329*27%)-((M329*27%)*5%),0))),0)</f>
        <v>3859.0425</v>
      </c>
      <c r="AH329" s="29"/>
      <c r="AI329" s="29"/>
      <c r="AJ329" s="29"/>
      <c r="AK329" s="29"/>
      <c r="AL329" s="27"/>
      <c r="AM329" s="44"/>
      <c r="AN329" s="45"/>
      <c r="AO329" s="70">
        <f>M329*15%</f>
        <v>2256.75</v>
      </c>
      <c r="AP329" s="71">
        <v>45267.0</v>
      </c>
      <c r="AQ329" s="43">
        <f t="shared" ref="AQ329:AQ334" si="231">IF(U329="Motor Plus",(M329*27%),IF(U329="Motor One",(M329*22%),(IF(U329="Golden",(M329*25%),(IF(U329="Classic",(M329*15%),(IF(U329="Wethaq",(M329*28%),IF(U329="Alwataniya",(M329*21%))*0))))))))</f>
        <v>4062.15</v>
      </c>
      <c r="AR329" s="43">
        <f t="shared" si="2"/>
        <v>203.1075</v>
      </c>
      <c r="AS329" s="43">
        <f t="shared" si="3"/>
        <v>710.87625</v>
      </c>
      <c r="AT329" s="48">
        <f t="shared" si="4"/>
        <v>3148.16625</v>
      </c>
      <c r="AU329" s="49">
        <f t="shared" si="223"/>
        <v>3148.16625</v>
      </c>
      <c r="AV329" s="48"/>
      <c r="AW329" s="34">
        <f t="shared" si="5"/>
        <v>16073.66</v>
      </c>
      <c r="AX329" s="50">
        <f t="shared" si="204"/>
        <v>891.41625</v>
      </c>
      <c r="AY329" s="43"/>
      <c r="AZ329" s="43"/>
      <c r="BA329" s="48">
        <f t="shared" si="200"/>
        <v>891.41625</v>
      </c>
      <c r="BB329" s="27"/>
      <c r="BC329" s="27"/>
      <c r="BD329" s="51"/>
      <c r="BE329" s="52"/>
      <c r="BF329" s="27" t="s">
        <v>1183</v>
      </c>
      <c r="BG329" s="53">
        <v>0.0</v>
      </c>
      <c r="BH329" s="53" t="str">
        <f>'[1]2023'!Q553</f>
        <v>#REF!</v>
      </c>
      <c r="BI329" s="27"/>
      <c r="BJ329" s="27"/>
      <c r="BK329" s="27" t="s">
        <v>76</v>
      </c>
      <c r="BL329" s="27"/>
    </row>
    <row r="330" ht="14.25" customHeight="1">
      <c r="A330" s="26" t="s">
        <v>55</v>
      </c>
      <c r="B330" s="26" t="s">
        <v>1185</v>
      </c>
      <c r="C330" s="26" t="s">
        <v>70</v>
      </c>
      <c r="D330" s="26" t="s">
        <v>81</v>
      </c>
      <c r="E330" s="27" t="s">
        <v>1186</v>
      </c>
      <c r="F330" s="28" t="s">
        <v>1187</v>
      </c>
      <c r="G330" s="29" t="s">
        <v>1168</v>
      </c>
      <c r="H330" s="30">
        <v>45046.0</v>
      </c>
      <c r="I330" s="30">
        <v>45411.0</v>
      </c>
      <c r="J330" s="31">
        <v>0.0</v>
      </c>
      <c r="K330" s="26" t="s">
        <v>420</v>
      </c>
      <c r="L330" s="32" t="s">
        <v>75</v>
      </c>
      <c r="M330" s="33">
        <v>2025.0</v>
      </c>
      <c r="N330" s="34">
        <v>2171.48</v>
      </c>
      <c r="O330" s="27" t="s">
        <v>76</v>
      </c>
      <c r="P330" s="35" t="s">
        <v>95</v>
      </c>
      <c r="Q330" s="35">
        <v>0.0</v>
      </c>
      <c r="R330" s="36" t="e">
        <v>#VALUE!</v>
      </c>
      <c r="S330" s="35" t="s">
        <v>86</v>
      </c>
      <c r="T330" s="35">
        <v>0.0</v>
      </c>
      <c r="U330" s="37" t="s">
        <v>1185</v>
      </c>
      <c r="V330" s="38"/>
      <c r="W330" s="38"/>
      <c r="X330" s="27"/>
      <c r="Y330" s="39"/>
      <c r="Z330" s="79" t="s">
        <v>1188</v>
      </c>
      <c r="AA330" s="39"/>
      <c r="AB330" s="40"/>
      <c r="AC330" s="27">
        <f t="shared" si="226"/>
        <v>0</v>
      </c>
      <c r="AD330" s="41">
        <f>IF(AND(S330="0",O330="Paid"),M330*15%,0)</f>
        <v>303.75</v>
      </c>
      <c r="AE330" s="42"/>
      <c r="AF330" s="27"/>
      <c r="AG330" s="43">
        <f t="shared" si="230"/>
        <v>519.4125</v>
      </c>
      <c r="AH330" s="29"/>
      <c r="AI330" s="29"/>
      <c r="AJ330" s="29"/>
      <c r="AK330" s="29"/>
      <c r="AL330" s="27"/>
      <c r="AM330" s="27"/>
      <c r="AN330" s="93"/>
      <c r="AO330" s="46"/>
      <c r="AP330" s="47"/>
      <c r="AQ330" s="43">
        <f t="shared" si="231"/>
        <v>0</v>
      </c>
      <c r="AR330" s="43">
        <f t="shared" si="2"/>
        <v>0</v>
      </c>
      <c r="AS330" s="43">
        <f t="shared" si="3"/>
        <v>0</v>
      </c>
      <c r="AT330" s="48">
        <f t="shared" si="4"/>
        <v>0</v>
      </c>
      <c r="AU330" s="49">
        <f t="shared" si="223"/>
        <v>0</v>
      </c>
      <c r="AV330" s="48"/>
      <c r="AW330" s="34">
        <f t="shared" si="5"/>
        <v>1867.73</v>
      </c>
      <c r="AX330" s="50">
        <f t="shared" si="204"/>
        <v>215.6625</v>
      </c>
      <c r="AY330" s="43"/>
      <c r="AZ330" s="43"/>
      <c r="BA330" s="48">
        <f t="shared" si="200"/>
        <v>0</v>
      </c>
      <c r="BB330" s="27"/>
      <c r="BC330" s="27"/>
      <c r="BD330" s="51"/>
      <c r="BE330" s="52"/>
      <c r="BF330" s="27" t="s">
        <v>1186</v>
      </c>
      <c r="BG330" s="58" t="s">
        <v>1188</v>
      </c>
      <c r="BH330" s="53" t="str">
        <f>'[1]2023'!Q586</f>
        <v>#REF!</v>
      </c>
      <c r="BI330" s="27"/>
      <c r="BJ330" s="27"/>
      <c r="BK330" s="27" t="s">
        <v>76</v>
      </c>
      <c r="BL330" s="27"/>
    </row>
    <row r="331" ht="14.25" customHeight="1">
      <c r="A331" s="26" t="s">
        <v>55</v>
      </c>
      <c r="B331" s="26" t="s">
        <v>56</v>
      </c>
      <c r="C331" s="26" t="s">
        <v>57</v>
      </c>
      <c r="D331" s="26" t="s">
        <v>71</v>
      </c>
      <c r="E331" s="27" t="s">
        <v>1189</v>
      </c>
      <c r="F331" s="28" t="s">
        <v>1190</v>
      </c>
      <c r="G331" s="29">
        <v>45047.0</v>
      </c>
      <c r="H331" s="30">
        <v>45047.0</v>
      </c>
      <c r="I331" s="30">
        <v>45412.0</v>
      </c>
      <c r="J331" s="31" t="s">
        <v>1191</v>
      </c>
      <c r="K331" s="26" t="s">
        <v>1192</v>
      </c>
      <c r="L331" s="102">
        <v>44958.0</v>
      </c>
      <c r="M331" s="33">
        <v>27500.0</v>
      </c>
      <c r="N331" s="34">
        <v>29263.5</v>
      </c>
      <c r="O331" s="27" t="s">
        <v>76</v>
      </c>
      <c r="P331" s="35" t="s">
        <v>162</v>
      </c>
      <c r="Q331" s="35" t="s">
        <v>65</v>
      </c>
      <c r="R331" s="36">
        <v>45047.0</v>
      </c>
      <c r="S331" s="35" t="s">
        <v>66</v>
      </c>
      <c r="T331" s="35">
        <v>0.0</v>
      </c>
      <c r="U331" s="37" t="s">
        <v>67</v>
      </c>
      <c r="V331" s="38">
        <v>1000000.0</v>
      </c>
      <c r="W331" s="38">
        <v>37710.0</v>
      </c>
      <c r="X331" s="27">
        <v>2022.0</v>
      </c>
      <c r="Y331" s="39"/>
      <c r="Z331" s="79" t="s">
        <v>211</v>
      </c>
      <c r="AA331" s="39"/>
      <c r="AB331" s="55">
        <v>0.05</v>
      </c>
      <c r="AC331" s="27">
        <f t="shared" si="226"/>
        <v>1375</v>
      </c>
      <c r="AD331" s="41"/>
      <c r="AE331" s="42"/>
      <c r="AF331" s="27"/>
      <c r="AG331" s="43">
        <f t="shared" si="230"/>
        <v>7053.75</v>
      </c>
      <c r="AH331" s="29"/>
      <c r="AI331" s="29"/>
      <c r="AJ331" s="29"/>
      <c r="AK331" s="29"/>
      <c r="AL331" s="27"/>
      <c r="AM331" s="27">
        <f>IF((BD331&lt;=2),AU331*10%,(IF((BD331&lt;=3),AU331*20%,IF((BD331&lt;=4),AU331*20%,IF((BD331&gt;=5),AU331*30%,0)))))</f>
        <v>437.9375</v>
      </c>
      <c r="AN331" s="63" t="s">
        <v>75</v>
      </c>
      <c r="AO331" s="37"/>
      <c r="AP331" s="47"/>
      <c r="AQ331" s="43">
        <f t="shared" si="231"/>
        <v>7425</v>
      </c>
      <c r="AR331" s="43">
        <f t="shared" si="2"/>
        <v>371.25</v>
      </c>
      <c r="AS331" s="43">
        <f t="shared" si="3"/>
        <v>1299.375</v>
      </c>
      <c r="AT331" s="48">
        <f t="shared" si="4"/>
        <v>5754.375</v>
      </c>
      <c r="AU331" s="49">
        <f t="shared" si="223"/>
        <v>4379.375</v>
      </c>
      <c r="AV331" s="48"/>
      <c r="AW331" s="34">
        <f t="shared" si="5"/>
        <v>27888.5</v>
      </c>
      <c r="AX331" s="50">
        <f t="shared" si="204"/>
        <v>5316.4375</v>
      </c>
      <c r="AY331" s="43"/>
      <c r="AZ331" s="27"/>
      <c r="BA331" s="48">
        <f t="shared" si="200"/>
        <v>3941.4375</v>
      </c>
      <c r="BB331" s="27"/>
      <c r="BC331" s="27"/>
      <c r="BD331" s="51"/>
      <c r="BE331" s="52"/>
      <c r="BF331" s="27" t="s">
        <v>1189</v>
      </c>
      <c r="BG331" s="53">
        <v>0.0</v>
      </c>
      <c r="BH331" s="53" t="str">
        <f>'[1]2023'!Q79</f>
        <v>#REF!</v>
      </c>
      <c r="BI331" s="27"/>
      <c r="BJ331" s="27"/>
      <c r="BK331" s="27" t="s">
        <v>76</v>
      </c>
      <c r="BL331" s="27"/>
    </row>
    <row r="332" ht="14.25" customHeight="1">
      <c r="A332" s="26" t="s">
        <v>55</v>
      </c>
      <c r="B332" s="26" t="s">
        <v>56</v>
      </c>
      <c r="C332" s="26" t="s">
        <v>57</v>
      </c>
      <c r="D332" s="26" t="s">
        <v>81</v>
      </c>
      <c r="E332" s="27" t="s">
        <v>1193</v>
      </c>
      <c r="F332" s="26" t="s">
        <v>1194</v>
      </c>
      <c r="G332" s="29">
        <v>45047.0</v>
      </c>
      <c r="H332" s="30">
        <v>45047.0</v>
      </c>
      <c r="I332" s="30">
        <v>45412.0</v>
      </c>
      <c r="J332" s="31">
        <v>0.0</v>
      </c>
      <c r="K332" s="26" t="s">
        <v>1192</v>
      </c>
      <c r="L332" s="73" t="s">
        <v>75</v>
      </c>
      <c r="M332" s="33">
        <v>15487.5</v>
      </c>
      <c r="N332" s="34">
        <v>16542.28</v>
      </c>
      <c r="O332" s="27" t="s">
        <v>76</v>
      </c>
      <c r="P332" s="35" t="s">
        <v>89</v>
      </c>
      <c r="Q332" s="35" t="s">
        <v>108</v>
      </c>
      <c r="R332" s="36">
        <v>45047.0</v>
      </c>
      <c r="S332" s="35" t="s">
        <v>86</v>
      </c>
      <c r="T332" s="35">
        <v>0.0</v>
      </c>
      <c r="U332" s="37" t="s">
        <v>67</v>
      </c>
      <c r="V332" s="38"/>
      <c r="W332" s="38"/>
      <c r="X332" s="27"/>
      <c r="Y332" s="39"/>
      <c r="Z332" s="39"/>
      <c r="AA332" s="39"/>
      <c r="AB332" s="27"/>
      <c r="AC332" s="27">
        <f t="shared" si="226"/>
        <v>0</v>
      </c>
      <c r="AD332" s="41">
        <f t="shared" ref="AD332:AD334" si="232">IF(AND(S332="0",O332="Paid"),M332*15%,0)</f>
        <v>2323.125</v>
      </c>
      <c r="AE332" s="42"/>
      <c r="AF332" s="60" t="s">
        <v>109</v>
      </c>
      <c r="AG332" s="43">
        <f t="shared" si="230"/>
        <v>3972.54375</v>
      </c>
      <c r="AH332" s="29"/>
      <c r="AI332" s="29"/>
      <c r="AJ332" s="29"/>
      <c r="AK332" s="29"/>
      <c r="AL332" s="27"/>
      <c r="AM332" s="27"/>
      <c r="AN332" s="47"/>
      <c r="AO332" s="46"/>
      <c r="AP332" s="47"/>
      <c r="AQ332" s="43">
        <f t="shared" si="231"/>
        <v>4181.625</v>
      </c>
      <c r="AR332" s="43">
        <f t="shared" si="2"/>
        <v>209.08125</v>
      </c>
      <c r="AS332" s="43">
        <f t="shared" si="3"/>
        <v>731.784375</v>
      </c>
      <c r="AT332" s="48">
        <f t="shared" si="4"/>
        <v>3240.759375</v>
      </c>
      <c r="AU332" s="49">
        <f t="shared" si="223"/>
        <v>3240.759375</v>
      </c>
      <c r="AV332" s="48"/>
      <c r="AW332" s="34">
        <f t="shared" si="5"/>
        <v>14219.155</v>
      </c>
      <c r="AX332" s="50">
        <f t="shared" si="204"/>
        <v>917.634375</v>
      </c>
      <c r="AY332" s="43"/>
      <c r="AZ332" s="27"/>
      <c r="BA332" s="48">
        <f t="shared" si="200"/>
        <v>3240.759375</v>
      </c>
      <c r="BB332" s="27"/>
      <c r="BC332" s="27"/>
      <c r="BD332" s="51"/>
      <c r="BE332" s="52"/>
      <c r="BF332" s="27" t="s">
        <v>1193</v>
      </c>
      <c r="BG332" s="58" t="s">
        <v>1195</v>
      </c>
      <c r="BH332" s="53" t="str">
        <f>'[1]2023'!Q199</f>
        <v>#REF!</v>
      </c>
      <c r="BI332" s="27"/>
      <c r="BJ332" s="27"/>
      <c r="BK332" s="27" t="s">
        <v>76</v>
      </c>
      <c r="BL332" s="27"/>
    </row>
    <row r="333" ht="14.25" customHeight="1">
      <c r="A333" s="26" t="s">
        <v>55</v>
      </c>
      <c r="B333" s="26" t="s">
        <v>56</v>
      </c>
      <c r="C333" s="26" t="s">
        <v>57</v>
      </c>
      <c r="D333" s="26" t="s">
        <v>81</v>
      </c>
      <c r="E333" s="27" t="s">
        <v>1196</v>
      </c>
      <c r="F333" s="26" t="s">
        <v>1197</v>
      </c>
      <c r="G333" s="29">
        <v>45047.0</v>
      </c>
      <c r="H333" s="30">
        <v>45047.0</v>
      </c>
      <c r="I333" s="30">
        <v>45412.0</v>
      </c>
      <c r="J333" s="31">
        <v>0.0</v>
      </c>
      <c r="K333" s="26" t="s">
        <v>1192</v>
      </c>
      <c r="L333" s="73" t="s">
        <v>75</v>
      </c>
      <c r="M333" s="33">
        <v>19359.38</v>
      </c>
      <c r="N333" s="34">
        <v>20642.59</v>
      </c>
      <c r="O333" s="27" t="s">
        <v>76</v>
      </c>
      <c r="P333" s="35" t="s">
        <v>142</v>
      </c>
      <c r="Q333" s="35" t="s">
        <v>90</v>
      </c>
      <c r="R333" s="36">
        <v>45047.0</v>
      </c>
      <c r="S333" s="35" t="s">
        <v>86</v>
      </c>
      <c r="T333" s="35">
        <v>0.0</v>
      </c>
      <c r="U333" s="37" t="s">
        <v>67</v>
      </c>
      <c r="V333" s="38"/>
      <c r="W333" s="38"/>
      <c r="X333" s="29"/>
      <c r="Y333" s="39"/>
      <c r="Z333" s="39"/>
      <c r="AA333" s="39"/>
      <c r="AB333" s="27"/>
      <c r="AC333" s="27">
        <f t="shared" si="226"/>
        <v>0</v>
      </c>
      <c r="AD333" s="41">
        <f t="shared" si="232"/>
        <v>2903.907</v>
      </c>
      <c r="AE333" s="42"/>
      <c r="AF333" s="29">
        <v>45109.0</v>
      </c>
      <c r="AG333" s="43">
        <f t="shared" si="230"/>
        <v>4965.68097</v>
      </c>
      <c r="AH333" s="29"/>
      <c r="AI333" s="29"/>
      <c r="AJ333" s="29"/>
      <c r="AK333" s="29"/>
      <c r="AL333" s="27"/>
      <c r="AM333" s="27"/>
      <c r="AN333" s="47"/>
      <c r="AO333" s="46"/>
      <c r="AP333" s="47"/>
      <c r="AQ333" s="43">
        <f t="shared" si="231"/>
        <v>5227.0326</v>
      </c>
      <c r="AR333" s="43">
        <f t="shared" si="2"/>
        <v>261.35163</v>
      </c>
      <c r="AS333" s="43">
        <f t="shared" si="3"/>
        <v>914.730705</v>
      </c>
      <c r="AT333" s="48">
        <f t="shared" si="4"/>
        <v>4050.950265</v>
      </c>
      <c r="AU333" s="49">
        <f t="shared" si="223"/>
        <v>4050.950265</v>
      </c>
      <c r="AV333" s="48"/>
      <c r="AW333" s="34">
        <f t="shared" si="5"/>
        <v>17738.683</v>
      </c>
      <c r="AX333" s="50">
        <f t="shared" si="204"/>
        <v>1147.043265</v>
      </c>
      <c r="AY333" s="43"/>
      <c r="AZ333" s="27"/>
      <c r="BA333" s="48">
        <f t="shared" si="200"/>
        <v>4050.950265</v>
      </c>
      <c r="BB333" s="27"/>
      <c r="BC333" s="27"/>
      <c r="BD333" s="51"/>
      <c r="BE333" s="52"/>
      <c r="BF333" s="27" t="s">
        <v>1196</v>
      </c>
      <c r="BG333" s="53">
        <v>45109.0</v>
      </c>
      <c r="BH333" s="53" t="str">
        <f>'[1]2023'!Q220</f>
        <v>#REF!</v>
      </c>
      <c r="BI333" s="27"/>
      <c r="BJ333" s="27"/>
      <c r="BK333" s="27" t="s">
        <v>76</v>
      </c>
      <c r="BL333" s="27"/>
    </row>
    <row r="334" ht="14.25" customHeight="1">
      <c r="A334" s="26" t="s">
        <v>55</v>
      </c>
      <c r="B334" s="26" t="s">
        <v>56</v>
      </c>
      <c r="C334" s="26" t="s">
        <v>57</v>
      </c>
      <c r="D334" s="26" t="s">
        <v>81</v>
      </c>
      <c r="E334" s="27" t="s">
        <v>1198</v>
      </c>
      <c r="F334" s="26" t="s">
        <v>1199</v>
      </c>
      <c r="G334" s="29">
        <v>45047.0</v>
      </c>
      <c r="H334" s="30">
        <v>45047.0</v>
      </c>
      <c r="I334" s="30">
        <v>45412.0</v>
      </c>
      <c r="J334" s="31">
        <v>0.0</v>
      </c>
      <c r="K334" s="26" t="s">
        <v>1192</v>
      </c>
      <c r="L334" s="32" t="s">
        <v>75</v>
      </c>
      <c r="M334" s="33">
        <v>11800.0</v>
      </c>
      <c r="N334" s="34">
        <v>12637.2</v>
      </c>
      <c r="O334" s="27" t="s">
        <v>76</v>
      </c>
      <c r="P334" s="35" t="s">
        <v>89</v>
      </c>
      <c r="Q334" s="35" t="s">
        <v>90</v>
      </c>
      <c r="R334" s="36">
        <v>45047.0</v>
      </c>
      <c r="S334" s="35" t="s">
        <v>86</v>
      </c>
      <c r="T334" s="35">
        <v>0.0</v>
      </c>
      <c r="U334" s="37" t="s">
        <v>67</v>
      </c>
      <c r="V334" s="38"/>
      <c r="W334" s="38"/>
      <c r="X334" s="27"/>
      <c r="Y334" s="39"/>
      <c r="Z334" s="39"/>
      <c r="AA334" s="39"/>
      <c r="AB334" s="27"/>
      <c r="AC334" s="27">
        <f t="shared" si="226"/>
        <v>0</v>
      </c>
      <c r="AD334" s="41">
        <f t="shared" si="232"/>
        <v>1770</v>
      </c>
      <c r="AE334" s="42"/>
      <c r="AF334" s="59"/>
      <c r="AG334" s="43">
        <f t="shared" si="230"/>
        <v>3026.7</v>
      </c>
      <c r="AH334" s="29"/>
      <c r="AI334" s="29"/>
      <c r="AJ334" s="29"/>
      <c r="AK334" s="29"/>
      <c r="AL334" s="27"/>
      <c r="AM334" s="44"/>
      <c r="AN334" s="68"/>
      <c r="AO334" s="46"/>
      <c r="AP334" s="47"/>
      <c r="AQ334" s="43">
        <f t="shared" si="231"/>
        <v>3186</v>
      </c>
      <c r="AR334" s="43">
        <f t="shared" si="2"/>
        <v>159.3</v>
      </c>
      <c r="AS334" s="43">
        <f t="shared" si="3"/>
        <v>557.55</v>
      </c>
      <c r="AT334" s="48">
        <f t="shared" si="4"/>
        <v>2469.15</v>
      </c>
      <c r="AU334" s="49">
        <f t="shared" si="223"/>
        <v>2469.15</v>
      </c>
      <c r="AV334" s="48"/>
      <c r="AW334" s="34">
        <f t="shared" si="5"/>
        <v>10867.2</v>
      </c>
      <c r="AX334" s="50">
        <f t="shared" si="204"/>
        <v>699.15</v>
      </c>
      <c r="AY334" s="43"/>
      <c r="AZ334" s="27"/>
      <c r="BA334" s="48">
        <f t="shared" si="200"/>
        <v>2469.15</v>
      </c>
      <c r="BB334" s="27"/>
      <c r="BC334" s="27"/>
      <c r="BD334" s="51"/>
      <c r="BE334" s="52"/>
      <c r="BF334" s="27" t="s">
        <v>1198</v>
      </c>
      <c r="BG334" s="53" t="s">
        <v>1200</v>
      </c>
      <c r="BH334" s="53" t="str">
        <f>'[1]2023'!Q259</f>
        <v>#REF!</v>
      </c>
      <c r="BI334" s="27"/>
      <c r="BJ334" s="27"/>
      <c r="BK334" s="27" t="s">
        <v>76</v>
      </c>
      <c r="BL334" s="27"/>
    </row>
    <row r="335" ht="14.25" customHeight="1">
      <c r="A335" s="26" t="s">
        <v>55</v>
      </c>
      <c r="B335" s="26" t="s">
        <v>56</v>
      </c>
      <c r="C335" s="26" t="s">
        <v>57</v>
      </c>
      <c r="D335" s="26" t="s">
        <v>58</v>
      </c>
      <c r="E335" s="27" t="s">
        <v>1201</v>
      </c>
      <c r="F335" s="28" t="s">
        <v>1202</v>
      </c>
      <c r="G335" s="29">
        <v>45047.0</v>
      </c>
      <c r="H335" s="30">
        <v>45047.0</v>
      </c>
      <c r="I335" s="30">
        <v>45412.0</v>
      </c>
      <c r="J335" s="31">
        <v>0.0</v>
      </c>
      <c r="K335" s="26" t="s">
        <v>427</v>
      </c>
      <c r="L335" s="32" t="s">
        <v>63</v>
      </c>
      <c r="M335" s="33">
        <v>0.0</v>
      </c>
      <c r="N335" s="34">
        <v>0.0</v>
      </c>
      <c r="O335" s="27" t="s">
        <v>64</v>
      </c>
      <c r="P335" s="35">
        <v>0.0</v>
      </c>
      <c r="Q335" s="35">
        <v>0.0</v>
      </c>
      <c r="R335" s="36">
        <v>45047.0</v>
      </c>
      <c r="S335" s="35" t="s">
        <v>86</v>
      </c>
      <c r="T335" s="35">
        <v>0.0</v>
      </c>
      <c r="U335" s="37">
        <v>0.0</v>
      </c>
      <c r="V335" s="38"/>
      <c r="W335" s="38"/>
      <c r="X335" s="27"/>
      <c r="Y335" s="39"/>
      <c r="Z335" s="39"/>
      <c r="AA335" s="39"/>
      <c r="AB335" s="27"/>
      <c r="AC335" s="27">
        <f t="shared" si="226"/>
        <v>0</v>
      </c>
      <c r="AD335" s="41">
        <f>IF(AND(S335="0",O335="Paid"),(M335*15%)-AC335,0)</f>
        <v>0</v>
      </c>
      <c r="AE335" s="42"/>
      <c r="AF335" s="27"/>
      <c r="AG335" s="43">
        <f t="shared" si="230"/>
        <v>0</v>
      </c>
      <c r="AH335" s="29"/>
      <c r="AI335" s="29"/>
      <c r="AJ335" s="29"/>
      <c r="AK335" s="29"/>
      <c r="AL335" s="27"/>
      <c r="AM335" s="44"/>
      <c r="AN335" s="68"/>
      <c r="AO335" s="46"/>
      <c r="AP335" s="47"/>
      <c r="AQ335" s="43" t="b">
        <f>IF(O335="Paid",IF(U335="Motor Plus",(M335*27%),IF(U335="Motor One",(M335*22%),(IF(U335="Golden",(M335*25%),(IF(U335="Classic",(M335*15%),(IF(U335="Wethaq",(M335*28%),IF(U335="Alwataniya",(M335*21%))*0)))))))))</f>
        <v>0</v>
      </c>
      <c r="AR335" s="43">
        <f t="shared" si="2"/>
        <v>0</v>
      </c>
      <c r="AS335" s="43">
        <f t="shared" si="3"/>
        <v>0</v>
      </c>
      <c r="AT335" s="48">
        <f t="shared" si="4"/>
        <v>0</v>
      </c>
      <c r="AU335" s="49">
        <f>AQ335-AR335-AS335-AC335-AO335</f>
        <v>0</v>
      </c>
      <c r="AV335" s="48"/>
      <c r="AW335" s="34">
        <f t="shared" si="5"/>
        <v>0</v>
      </c>
      <c r="AX335" s="50">
        <f t="shared" si="204"/>
        <v>0</v>
      </c>
      <c r="AY335" s="43"/>
      <c r="AZ335" s="47"/>
      <c r="BA335" s="48">
        <f t="shared" si="200"/>
        <v>0</v>
      </c>
      <c r="BB335" s="27"/>
      <c r="BC335" s="27"/>
      <c r="BD335" s="51"/>
      <c r="BE335" s="52"/>
      <c r="BF335" s="27" t="s">
        <v>1201</v>
      </c>
      <c r="BG335" s="53">
        <v>0.0</v>
      </c>
      <c r="BH335" s="53" t="str">
        <f>'[1]2023'!Q1167</f>
        <v>#REF!</v>
      </c>
      <c r="BI335" s="27"/>
      <c r="BJ335" s="27"/>
      <c r="BK335" s="27" t="s">
        <v>64</v>
      </c>
      <c r="BL335" s="27"/>
    </row>
    <row r="336" ht="14.25" customHeight="1">
      <c r="A336" s="26" t="s">
        <v>55</v>
      </c>
      <c r="B336" s="26" t="s">
        <v>56</v>
      </c>
      <c r="C336" s="26" t="s">
        <v>57</v>
      </c>
      <c r="D336" s="26" t="s">
        <v>81</v>
      </c>
      <c r="E336" s="27" t="s">
        <v>1203</v>
      </c>
      <c r="F336" s="26" t="s">
        <v>1204</v>
      </c>
      <c r="G336" s="29">
        <v>45048.0</v>
      </c>
      <c r="H336" s="30">
        <v>45048.0</v>
      </c>
      <c r="I336" s="30">
        <v>45413.0</v>
      </c>
      <c r="J336" s="31">
        <v>0.0</v>
      </c>
      <c r="K336" s="26" t="s">
        <v>62</v>
      </c>
      <c r="L336" s="32" t="s">
        <v>75</v>
      </c>
      <c r="M336" s="33">
        <v>17700.0</v>
      </c>
      <c r="N336" s="34">
        <v>18885.3</v>
      </c>
      <c r="O336" s="27" t="s">
        <v>76</v>
      </c>
      <c r="P336" s="35" t="s">
        <v>95</v>
      </c>
      <c r="Q336" s="35" t="s">
        <v>65</v>
      </c>
      <c r="R336" s="36">
        <v>45048.0</v>
      </c>
      <c r="S336" s="35" t="s">
        <v>78</v>
      </c>
      <c r="T336" s="54" t="s">
        <v>163</v>
      </c>
      <c r="U336" s="37" t="s">
        <v>67</v>
      </c>
      <c r="V336" s="38"/>
      <c r="W336" s="38"/>
      <c r="X336" s="27"/>
      <c r="Y336" s="39"/>
      <c r="Z336" s="39"/>
      <c r="AA336" s="39"/>
      <c r="AB336" s="27"/>
      <c r="AC336" s="27">
        <f t="shared" si="226"/>
        <v>0</v>
      </c>
      <c r="AD336" s="41"/>
      <c r="AE336" s="42"/>
      <c r="AF336" s="27"/>
      <c r="AG336" s="43">
        <f t="shared" si="230"/>
        <v>4540.05</v>
      </c>
      <c r="AH336" s="29"/>
      <c r="AI336" s="29"/>
      <c r="AJ336" s="29"/>
      <c r="AK336" s="29"/>
      <c r="AL336" s="27"/>
      <c r="AM336" s="44"/>
      <c r="AN336" s="68"/>
      <c r="AO336" s="70">
        <f>M336*15%</f>
        <v>2655</v>
      </c>
      <c r="AP336" s="71">
        <v>45267.0</v>
      </c>
      <c r="AQ336" s="43">
        <f>IF(U336="Motor Plus",(M336*27%),IF(U336="Motor One",(M336*22%),(IF(U336="Golden",(M336*25%),(IF(U336="Classic",(M336*15%),(IF(U336="Wethaq",(M336*28%),IF(U336="Alwataniya",(M336*21%))*0))))))))</f>
        <v>4779</v>
      </c>
      <c r="AR336" s="43">
        <f t="shared" si="2"/>
        <v>238.95</v>
      </c>
      <c r="AS336" s="43">
        <f t="shared" si="3"/>
        <v>836.325</v>
      </c>
      <c r="AT336" s="48">
        <f t="shared" si="4"/>
        <v>3703.725</v>
      </c>
      <c r="AU336" s="49">
        <f>AQ336-AR336-AS336-AC336</f>
        <v>3703.725</v>
      </c>
      <c r="AV336" s="48"/>
      <c r="AW336" s="34">
        <f t="shared" si="5"/>
        <v>18885.3</v>
      </c>
      <c r="AX336" s="50">
        <f t="shared" si="204"/>
        <v>1048.725</v>
      </c>
      <c r="AY336" s="43"/>
      <c r="AZ336" s="27"/>
      <c r="BA336" s="48">
        <f t="shared" si="200"/>
        <v>1048.725</v>
      </c>
      <c r="BB336" s="27"/>
      <c r="BC336" s="27"/>
      <c r="BD336" s="51"/>
      <c r="BE336" s="52"/>
      <c r="BF336" s="27" t="s">
        <v>1203</v>
      </c>
      <c r="BG336" s="53" t="s">
        <v>320</v>
      </c>
      <c r="BH336" s="53" t="str">
        <f>'[1]2023'!Q216</f>
        <v>#REF!</v>
      </c>
      <c r="BI336" s="27"/>
      <c r="BJ336" s="27"/>
      <c r="BK336" s="27" t="s">
        <v>76</v>
      </c>
      <c r="BL336" s="27"/>
    </row>
    <row r="337" ht="14.25" customHeight="1">
      <c r="A337" s="26" t="s">
        <v>55</v>
      </c>
      <c r="B337" s="26" t="s">
        <v>56</v>
      </c>
      <c r="C337" s="26" t="s">
        <v>57</v>
      </c>
      <c r="D337" s="26" t="s">
        <v>58</v>
      </c>
      <c r="E337" s="27" t="s">
        <v>1205</v>
      </c>
      <c r="F337" s="28" t="s">
        <v>1206</v>
      </c>
      <c r="G337" s="29">
        <v>45048.0</v>
      </c>
      <c r="H337" s="30">
        <v>45048.0</v>
      </c>
      <c r="I337" s="30">
        <v>45413.0</v>
      </c>
      <c r="J337" s="31">
        <v>0.0</v>
      </c>
      <c r="K337" s="26" t="s">
        <v>427</v>
      </c>
      <c r="L337" s="32" t="s">
        <v>63</v>
      </c>
      <c r="M337" s="33">
        <v>0.0</v>
      </c>
      <c r="N337" s="34">
        <v>0.0</v>
      </c>
      <c r="O337" s="27" t="s">
        <v>64</v>
      </c>
      <c r="P337" s="35">
        <v>0.0</v>
      </c>
      <c r="Q337" s="35">
        <v>0.0</v>
      </c>
      <c r="R337" s="36">
        <v>45048.0</v>
      </c>
      <c r="S337" s="35" t="s">
        <v>86</v>
      </c>
      <c r="T337" s="35">
        <v>0.0</v>
      </c>
      <c r="U337" s="37">
        <v>0.0</v>
      </c>
      <c r="V337" s="38"/>
      <c r="W337" s="38"/>
      <c r="X337" s="27"/>
      <c r="Y337" s="39"/>
      <c r="Z337" s="39"/>
      <c r="AA337" s="39"/>
      <c r="AB337" s="27"/>
      <c r="AC337" s="27">
        <f t="shared" si="226"/>
        <v>0</v>
      </c>
      <c r="AD337" s="41">
        <f t="shared" ref="AD337:AD338" si="233">IF(AND(S337="0",O337="Paid"),(M337*15%)-AC337,0)</f>
        <v>0</v>
      </c>
      <c r="AE337" s="42"/>
      <c r="AF337" s="27"/>
      <c r="AG337" s="43">
        <f t="shared" si="230"/>
        <v>0</v>
      </c>
      <c r="AH337" s="29"/>
      <c r="AI337" s="29"/>
      <c r="AJ337" s="29"/>
      <c r="AK337" s="29"/>
      <c r="AL337" s="27"/>
      <c r="AM337" s="44"/>
      <c r="AN337" s="68"/>
      <c r="AO337" s="46"/>
      <c r="AP337" s="47"/>
      <c r="AQ337" s="43" t="b">
        <f t="shared" ref="AQ337:AQ338" si="234">IF(O337="Paid",IF(U337="Motor Plus",(M337*27%),IF(U337="Motor One",(M337*22%),(IF(U337="Golden",(M337*25%),(IF(U337="Classic",(M337*15%),(IF(U337="Wethaq",(M337*28%),IF(U337="Alwataniya",(M337*21%))*0)))))))))</f>
        <v>0</v>
      </c>
      <c r="AR337" s="43">
        <f t="shared" si="2"/>
        <v>0</v>
      </c>
      <c r="AS337" s="43">
        <f t="shared" si="3"/>
        <v>0</v>
      </c>
      <c r="AT337" s="48">
        <f t="shared" si="4"/>
        <v>0</v>
      </c>
      <c r="AU337" s="49">
        <f>AQ337-AR337-AS337-AC337-AO337</f>
        <v>0</v>
      </c>
      <c r="AV337" s="48"/>
      <c r="AW337" s="34">
        <f t="shared" si="5"/>
        <v>0</v>
      </c>
      <c r="AX337" s="50">
        <f t="shared" si="204"/>
        <v>0</v>
      </c>
      <c r="AY337" s="43"/>
      <c r="AZ337" s="47"/>
      <c r="BA337" s="48">
        <f t="shared" si="200"/>
        <v>0</v>
      </c>
      <c r="BB337" s="27"/>
      <c r="BC337" s="27"/>
      <c r="BD337" s="51"/>
      <c r="BE337" s="52"/>
      <c r="BF337" s="27" t="s">
        <v>1205</v>
      </c>
      <c r="BG337" s="53">
        <v>0.0</v>
      </c>
      <c r="BH337" s="53" t="str">
        <f>'[1]2023'!Q1160</f>
        <v>#REF!</v>
      </c>
      <c r="BI337" s="27"/>
      <c r="BJ337" s="27"/>
      <c r="BK337" s="27" t="s">
        <v>64</v>
      </c>
      <c r="BL337" s="27"/>
    </row>
    <row r="338" ht="14.25" customHeight="1">
      <c r="A338" s="26" t="s">
        <v>55</v>
      </c>
      <c r="B338" s="26" t="s">
        <v>56</v>
      </c>
      <c r="C338" s="26" t="s">
        <v>57</v>
      </c>
      <c r="D338" s="26" t="s">
        <v>81</v>
      </c>
      <c r="E338" s="27" t="s">
        <v>1207</v>
      </c>
      <c r="F338" s="26" t="s">
        <v>1208</v>
      </c>
      <c r="G338" s="29">
        <v>45049.0</v>
      </c>
      <c r="H338" s="30">
        <v>45049.0</v>
      </c>
      <c r="I338" s="30">
        <v>45414.0</v>
      </c>
      <c r="J338" s="31">
        <v>0.0</v>
      </c>
      <c r="K338" s="26" t="s">
        <v>352</v>
      </c>
      <c r="L338" s="32" t="s">
        <v>63</v>
      </c>
      <c r="M338" s="33">
        <v>0.0</v>
      </c>
      <c r="N338" s="34">
        <v>0.0</v>
      </c>
      <c r="O338" s="27" t="s">
        <v>64</v>
      </c>
      <c r="P338" s="35">
        <v>0.0</v>
      </c>
      <c r="Q338" s="35">
        <v>0.0</v>
      </c>
      <c r="R338" s="36">
        <v>45049.0</v>
      </c>
      <c r="S338" s="35" t="s">
        <v>86</v>
      </c>
      <c r="T338" s="35">
        <v>0.0</v>
      </c>
      <c r="U338" s="37" t="s">
        <v>67</v>
      </c>
      <c r="V338" s="38"/>
      <c r="W338" s="38"/>
      <c r="X338" s="27"/>
      <c r="Y338" s="39"/>
      <c r="Z338" s="39"/>
      <c r="AA338" s="39"/>
      <c r="AB338" s="27"/>
      <c r="AC338" s="27">
        <f t="shared" si="226"/>
        <v>0</v>
      </c>
      <c r="AD338" s="41">
        <f t="shared" si="233"/>
        <v>0</v>
      </c>
      <c r="AE338" s="42"/>
      <c r="AF338" s="27"/>
      <c r="AG338" s="43">
        <f t="shared" si="230"/>
        <v>0</v>
      </c>
      <c r="AH338" s="29"/>
      <c r="AI338" s="29"/>
      <c r="AJ338" s="29"/>
      <c r="AK338" s="29"/>
      <c r="AL338" s="27"/>
      <c r="AM338" s="44"/>
      <c r="AN338" s="68"/>
      <c r="AO338" s="46"/>
      <c r="AP338" s="47"/>
      <c r="AQ338" s="43" t="b">
        <f t="shared" si="234"/>
        <v>0</v>
      </c>
      <c r="AR338" s="43">
        <f t="shared" si="2"/>
        <v>0</v>
      </c>
      <c r="AS338" s="43">
        <f t="shared" si="3"/>
        <v>0</v>
      </c>
      <c r="AT338" s="48">
        <f t="shared" si="4"/>
        <v>0</v>
      </c>
      <c r="AU338" s="49">
        <f t="shared" ref="AU338:AU350" si="235">AQ338-AR338-AS338-AC338</f>
        <v>0</v>
      </c>
      <c r="AV338" s="48"/>
      <c r="AW338" s="34">
        <f t="shared" si="5"/>
        <v>0</v>
      </c>
      <c r="AX338" s="50">
        <f t="shared" si="204"/>
        <v>0</v>
      </c>
      <c r="AY338" s="43"/>
      <c r="AZ338" s="27"/>
      <c r="BA338" s="48">
        <f t="shared" si="200"/>
        <v>0</v>
      </c>
      <c r="BB338" s="27"/>
      <c r="BC338" s="27"/>
      <c r="BD338" s="51"/>
      <c r="BE338" s="52"/>
      <c r="BF338" s="27" t="s">
        <v>1207</v>
      </c>
      <c r="BG338" s="53">
        <v>0.0</v>
      </c>
      <c r="BH338" s="53" t="str">
        <f>'[1]2023'!Q234</f>
        <v>#REF!</v>
      </c>
      <c r="BI338" s="27"/>
      <c r="BJ338" s="27"/>
      <c r="BK338" s="27" t="s">
        <v>64</v>
      </c>
      <c r="BL338" s="27"/>
    </row>
    <row r="339" ht="14.25" customHeight="1">
      <c r="A339" s="26" t="s">
        <v>55</v>
      </c>
      <c r="B339" s="26" t="s">
        <v>56</v>
      </c>
      <c r="C339" s="26" t="s">
        <v>57</v>
      </c>
      <c r="D339" s="26" t="s">
        <v>81</v>
      </c>
      <c r="E339" s="27" t="s">
        <v>1209</v>
      </c>
      <c r="F339" s="26" t="s">
        <v>1210</v>
      </c>
      <c r="G339" s="29">
        <v>45049.0</v>
      </c>
      <c r="H339" s="30">
        <v>45049.0</v>
      </c>
      <c r="I339" s="30">
        <v>45414.0</v>
      </c>
      <c r="J339" s="31">
        <v>0.0</v>
      </c>
      <c r="K339" s="26" t="s">
        <v>352</v>
      </c>
      <c r="L339" s="69">
        <v>45174.0</v>
      </c>
      <c r="M339" s="126">
        <v>20650.0</v>
      </c>
      <c r="N339" s="127">
        <v>22009.35</v>
      </c>
      <c r="O339" s="27" t="s">
        <v>76</v>
      </c>
      <c r="P339" s="35" t="s">
        <v>142</v>
      </c>
      <c r="Q339" s="35" t="s">
        <v>90</v>
      </c>
      <c r="R339" s="36">
        <v>45049.0</v>
      </c>
      <c r="S339" s="35" t="s">
        <v>86</v>
      </c>
      <c r="T339" s="35">
        <v>0.0</v>
      </c>
      <c r="U339" s="37" t="s">
        <v>67</v>
      </c>
      <c r="V339" s="38"/>
      <c r="W339" s="38"/>
      <c r="X339" s="27"/>
      <c r="Y339" s="39"/>
      <c r="Z339" s="39"/>
      <c r="AA339" s="39"/>
      <c r="AB339" s="27"/>
      <c r="AC339" s="27">
        <f t="shared" si="226"/>
        <v>0</v>
      </c>
      <c r="AD339" s="41">
        <f>IF(AND(S339="0",O339="Paid"),M339*15%,0)</f>
        <v>3097.5</v>
      </c>
      <c r="AE339" s="42"/>
      <c r="AF339" s="29">
        <v>45020.0</v>
      </c>
      <c r="AG339" s="43">
        <f t="shared" si="230"/>
        <v>5296.725</v>
      </c>
      <c r="AH339" s="29"/>
      <c r="AI339" s="29"/>
      <c r="AJ339" s="29"/>
      <c r="AK339" s="29"/>
      <c r="AL339" s="77"/>
      <c r="AM339" s="27"/>
      <c r="AN339" s="47"/>
      <c r="AO339" s="46"/>
      <c r="AP339" s="47"/>
      <c r="AQ339" s="43">
        <f t="shared" ref="AQ339:AQ343" si="236">IF(U339="Motor Plus",(M339*27%),IF(U339="Motor One",(M339*22%),(IF(U339="Golden",(M339*25%),(IF(U339="Classic",(M339*15%),(IF(U339="Wethaq",(M339*28%),IF(U339="Alwataniya",(M339*21%))*0))))))))</f>
        <v>5575.5</v>
      </c>
      <c r="AR339" s="43">
        <f t="shared" si="2"/>
        <v>278.775</v>
      </c>
      <c r="AS339" s="43">
        <f t="shared" si="3"/>
        <v>975.7125</v>
      </c>
      <c r="AT339" s="48">
        <f t="shared" si="4"/>
        <v>4321.0125</v>
      </c>
      <c r="AU339" s="49">
        <f t="shared" si="235"/>
        <v>4321.0125</v>
      </c>
      <c r="AV339" s="48"/>
      <c r="AW339" s="85">
        <f t="shared" si="5"/>
        <v>18911.85</v>
      </c>
      <c r="AX339" s="50">
        <f t="shared" si="204"/>
        <v>1223.5125</v>
      </c>
      <c r="AY339" s="43"/>
      <c r="AZ339" s="27"/>
      <c r="BA339" s="48">
        <f t="shared" si="200"/>
        <v>4321.0125</v>
      </c>
      <c r="BB339" s="27"/>
      <c r="BC339" s="27"/>
      <c r="BD339" s="51"/>
      <c r="BE339" s="52"/>
      <c r="BF339" s="27" t="s">
        <v>1209</v>
      </c>
      <c r="BG339" s="53" t="s">
        <v>109</v>
      </c>
      <c r="BH339" s="53" t="str">
        <f>'[1]2023'!Q239</f>
        <v>#REF!</v>
      </c>
      <c r="BI339" s="27"/>
      <c r="BJ339" s="27"/>
      <c r="BK339" s="27" t="s">
        <v>76</v>
      </c>
      <c r="BL339" s="27"/>
    </row>
    <row r="340" ht="14.25" customHeight="1">
      <c r="A340" s="26" t="s">
        <v>55</v>
      </c>
      <c r="B340" s="26" t="s">
        <v>56</v>
      </c>
      <c r="C340" s="26" t="s">
        <v>57</v>
      </c>
      <c r="D340" s="26" t="s">
        <v>81</v>
      </c>
      <c r="E340" s="27" t="s">
        <v>1211</v>
      </c>
      <c r="F340" s="26" t="s">
        <v>1212</v>
      </c>
      <c r="G340" s="29">
        <v>45049.0</v>
      </c>
      <c r="H340" s="30">
        <v>45049.0</v>
      </c>
      <c r="I340" s="30">
        <v>45414.0</v>
      </c>
      <c r="J340" s="31" t="s">
        <v>1213</v>
      </c>
      <c r="K340" s="26" t="s">
        <v>352</v>
      </c>
      <c r="L340" s="73" t="s">
        <v>75</v>
      </c>
      <c r="M340" s="33">
        <v>19912.5</v>
      </c>
      <c r="N340" s="34">
        <v>21228.35</v>
      </c>
      <c r="O340" s="27" t="s">
        <v>76</v>
      </c>
      <c r="P340" s="35" t="s">
        <v>89</v>
      </c>
      <c r="Q340" s="35" t="s">
        <v>65</v>
      </c>
      <c r="R340" s="36">
        <v>45049.0</v>
      </c>
      <c r="S340" s="35" t="s">
        <v>86</v>
      </c>
      <c r="T340" s="54" t="s">
        <v>163</v>
      </c>
      <c r="U340" s="37" t="s">
        <v>67</v>
      </c>
      <c r="V340" s="128"/>
      <c r="W340" s="128"/>
      <c r="X340" s="44"/>
      <c r="Y340" s="129"/>
      <c r="Z340" s="129"/>
      <c r="AA340" s="129"/>
      <c r="AB340" s="44"/>
      <c r="AC340" s="44">
        <f t="shared" si="226"/>
        <v>0</v>
      </c>
      <c r="AD340" s="41"/>
      <c r="AE340" s="41"/>
      <c r="AF340" s="44"/>
      <c r="AG340" s="48">
        <f t="shared" si="230"/>
        <v>5107.55625</v>
      </c>
      <c r="AH340" s="75"/>
      <c r="AI340" s="75"/>
      <c r="AJ340" s="75"/>
      <c r="AK340" s="75"/>
      <c r="AL340" s="44"/>
      <c r="AM340" s="44"/>
      <c r="AN340" s="68"/>
      <c r="AO340" s="70">
        <f>M340*15%</f>
        <v>2986.875</v>
      </c>
      <c r="AP340" s="130">
        <v>45267.0</v>
      </c>
      <c r="AQ340" s="43">
        <f t="shared" si="236"/>
        <v>5376.375</v>
      </c>
      <c r="AR340" s="43">
        <f t="shared" si="2"/>
        <v>268.81875</v>
      </c>
      <c r="AS340" s="43">
        <f t="shared" si="3"/>
        <v>940.865625</v>
      </c>
      <c r="AT340" s="48">
        <f t="shared" si="4"/>
        <v>4166.690625</v>
      </c>
      <c r="AU340" s="49">
        <f t="shared" si="235"/>
        <v>4166.690625</v>
      </c>
      <c r="AV340" s="48"/>
      <c r="AW340" s="70">
        <f t="shared" si="5"/>
        <v>21228.35</v>
      </c>
      <c r="AX340" s="50">
        <f t="shared" si="204"/>
        <v>1179.815625</v>
      </c>
      <c r="AY340" s="48"/>
      <c r="AZ340" s="27"/>
      <c r="BA340" s="48">
        <f t="shared" si="200"/>
        <v>1179.815625</v>
      </c>
      <c r="BB340" s="44"/>
      <c r="BC340" s="44"/>
      <c r="BD340" s="51"/>
      <c r="BE340" s="52"/>
      <c r="BF340" s="44" t="s">
        <v>1211</v>
      </c>
      <c r="BG340" s="58" t="s">
        <v>1214</v>
      </c>
      <c r="BH340" s="53" t="str">
        <f>'[1]2023'!Q243</f>
        <v>#REF!</v>
      </c>
      <c r="BI340" s="44"/>
      <c r="BJ340" s="44"/>
      <c r="BK340" s="27" t="s">
        <v>76</v>
      </c>
      <c r="BL340" s="44"/>
    </row>
    <row r="341" ht="14.25" customHeight="1">
      <c r="A341" s="26" t="s">
        <v>111</v>
      </c>
      <c r="B341" s="26" t="s">
        <v>56</v>
      </c>
      <c r="C341" s="26" t="s">
        <v>57</v>
      </c>
      <c r="D341" s="26" t="s">
        <v>71</v>
      </c>
      <c r="E341" s="27" t="s">
        <v>1215</v>
      </c>
      <c r="F341" s="28" t="s">
        <v>1216</v>
      </c>
      <c r="G341" s="29">
        <v>45049.0</v>
      </c>
      <c r="H341" s="30">
        <v>45049.0</v>
      </c>
      <c r="I341" s="30">
        <v>45414.0</v>
      </c>
      <c r="J341" s="31">
        <v>0.0</v>
      </c>
      <c r="K341" s="26" t="s">
        <v>352</v>
      </c>
      <c r="L341" s="73" t="s">
        <v>75</v>
      </c>
      <c r="M341" s="33">
        <v>73412.84</v>
      </c>
      <c r="N341" s="34">
        <v>78000.0</v>
      </c>
      <c r="O341" s="27" t="s">
        <v>76</v>
      </c>
      <c r="P341" s="35" t="s">
        <v>142</v>
      </c>
      <c r="Q341" s="35" t="s">
        <v>108</v>
      </c>
      <c r="R341" s="36">
        <v>45058.0</v>
      </c>
      <c r="S341" s="35" t="s">
        <v>86</v>
      </c>
      <c r="T341" s="35">
        <v>0.0</v>
      </c>
      <c r="U341" s="37" t="s">
        <v>115</v>
      </c>
      <c r="V341" s="38">
        <v>3000000.0</v>
      </c>
      <c r="W341" s="38" t="s">
        <v>1217</v>
      </c>
      <c r="X341" s="27">
        <v>2021.0</v>
      </c>
      <c r="Y341" s="39" t="s">
        <v>1218</v>
      </c>
      <c r="Z341" s="79" t="s">
        <v>1219</v>
      </c>
      <c r="AA341" s="39"/>
      <c r="AB341" s="40"/>
      <c r="AC341" s="27">
        <f t="shared" si="226"/>
        <v>0</v>
      </c>
      <c r="AD341" s="41">
        <f>IF(AND(S341="0",O341="Paid"),M341*15%,0)</f>
        <v>11011.926</v>
      </c>
      <c r="AE341" s="42">
        <v>1500.0</v>
      </c>
      <c r="AF341" s="27" t="s">
        <v>75</v>
      </c>
      <c r="AG341" s="43">
        <f>IF(AND(O341="Paid",A341="GIG"),((M341*25%)-(((M341*25%)*5%))),0)</f>
        <v>17435.5495</v>
      </c>
      <c r="AH341" s="29" t="s">
        <v>75</v>
      </c>
      <c r="AI341" s="61" t="s">
        <v>513</v>
      </c>
      <c r="AJ341" s="40"/>
      <c r="AK341" s="98" t="s">
        <v>63</v>
      </c>
      <c r="AL341" s="27"/>
      <c r="AM341" s="44"/>
      <c r="AN341" s="68"/>
      <c r="AO341" s="46"/>
      <c r="AP341" s="47"/>
      <c r="AQ341" s="43">
        <f t="shared" si="236"/>
        <v>18353.21</v>
      </c>
      <c r="AR341" s="43">
        <f t="shared" si="2"/>
        <v>917.6605</v>
      </c>
      <c r="AS341" s="43">
        <f t="shared" si="3"/>
        <v>3211.81175</v>
      </c>
      <c r="AT341" s="48">
        <f t="shared" si="4"/>
        <v>14223.73775</v>
      </c>
      <c r="AU341" s="49">
        <f t="shared" si="235"/>
        <v>14223.73775</v>
      </c>
      <c r="AV341" s="48"/>
      <c r="AW341" s="34">
        <f t="shared" si="5"/>
        <v>65488.074</v>
      </c>
      <c r="AX341" s="50">
        <f t="shared" si="204"/>
        <v>1711.81175</v>
      </c>
      <c r="AY341" s="43"/>
      <c r="AZ341" s="27"/>
      <c r="BA341" s="48">
        <f t="shared" si="200"/>
        <v>14223.73775</v>
      </c>
      <c r="BB341" s="27"/>
      <c r="BC341" s="27"/>
      <c r="BD341" s="51"/>
      <c r="BE341" s="52"/>
      <c r="BF341" s="80" t="s">
        <v>1215</v>
      </c>
      <c r="BG341" s="58" t="s">
        <v>337</v>
      </c>
      <c r="BH341" s="53" t="str">
        <f>'[1]2023'!Q291</f>
        <v>#REF!</v>
      </c>
      <c r="BI341" s="27"/>
      <c r="BJ341" s="27"/>
      <c r="BK341" s="27" t="s">
        <v>76</v>
      </c>
      <c r="BL341" s="131">
        <v>3000000.0</v>
      </c>
    </row>
    <row r="342" ht="14.25" customHeight="1">
      <c r="A342" s="26" t="s">
        <v>55</v>
      </c>
      <c r="B342" s="26" t="s">
        <v>56</v>
      </c>
      <c r="C342" s="26" t="s">
        <v>57</v>
      </c>
      <c r="D342" s="26" t="s">
        <v>71</v>
      </c>
      <c r="E342" s="27" t="s">
        <v>1220</v>
      </c>
      <c r="F342" s="28" t="s">
        <v>1221</v>
      </c>
      <c r="G342" s="29">
        <v>45049.0</v>
      </c>
      <c r="H342" s="30">
        <v>45049.0</v>
      </c>
      <c r="I342" s="30">
        <v>45414.0</v>
      </c>
      <c r="J342" s="31" t="s">
        <v>1222</v>
      </c>
      <c r="K342" s="26" t="s">
        <v>352</v>
      </c>
      <c r="L342" s="69">
        <v>45174.0</v>
      </c>
      <c r="M342" s="33">
        <v>44275.0</v>
      </c>
      <c r="N342" s="34">
        <v>47030.22</v>
      </c>
      <c r="O342" s="27" t="s">
        <v>76</v>
      </c>
      <c r="P342" s="35" t="s">
        <v>89</v>
      </c>
      <c r="Q342" s="35" t="s">
        <v>65</v>
      </c>
      <c r="R342" s="36">
        <v>45049.0</v>
      </c>
      <c r="S342" s="35" t="s">
        <v>231</v>
      </c>
      <c r="T342" s="35">
        <v>0.0</v>
      </c>
      <c r="U342" s="37" t="s">
        <v>67</v>
      </c>
      <c r="V342" s="38">
        <v>2300000.0</v>
      </c>
      <c r="W342" s="78">
        <v>4010353.0</v>
      </c>
      <c r="X342" s="27">
        <v>2022.0</v>
      </c>
      <c r="Y342" s="39"/>
      <c r="Z342" s="79" t="s">
        <v>1223</v>
      </c>
      <c r="AA342" s="39"/>
      <c r="AB342" s="40"/>
      <c r="AC342" s="27">
        <v>21.0</v>
      </c>
      <c r="AD342" s="41"/>
      <c r="AE342" s="42"/>
      <c r="AF342" s="27"/>
      <c r="AG342" s="43">
        <f t="shared" ref="AG342:AG343" si="237">IF(O342="Paid",IF(A342="Alwataniya",(M342*21%)-((M342*21%)*5%),IF((A342="GIG"),(M342*25%)-((M342*25%)*5%),IF((A342="Allianz"),(M342*27%)-((M342*27%)*5%),0))),0)</f>
        <v>11356.5375</v>
      </c>
      <c r="AH342" s="29"/>
      <c r="AI342" s="29"/>
      <c r="AJ342" s="29"/>
      <c r="AK342" s="29"/>
      <c r="AL342" s="27"/>
      <c r="AM342" s="44">
        <f>IF((BD342&lt;=2),AU342*10%,(IF((BD342&lt;=3),AU342*20%,IF((BD342&lt;=4),AU342*20%,IF((BD342&gt;=5),AU342*30%,0)))))</f>
        <v>924.354375</v>
      </c>
      <c r="AN342" s="37"/>
      <c r="AO342" s="46">
        <f>M342*15%</f>
        <v>6641.25</v>
      </c>
      <c r="AP342" s="80" t="s">
        <v>1224</v>
      </c>
      <c r="AQ342" s="43">
        <f t="shared" si="236"/>
        <v>11954.25</v>
      </c>
      <c r="AR342" s="43">
        <f t="shared" si="2"/>
        <v>597.7125</v>
      </c>
      <c r="AS342" s="43">
        <f t="shared" si="3"/>
        <v>2091.99375</v>
      </c>
      <c r="AT342" s="48">
        <f t="shared" si="4"/>
        <v>9264.54375</v>
      </c>
      <c r="AU342" s="49">
        <f t="shared" si="235"/>
        <v>9243.54375</v>
      </c>
      <c r="AV342" s="48"/>
      <c r="AW342" s="34">
        <f t="shared" si="5"/>
        <v>47009.22</v>
      </c>
      <c r="AX342" s="50">
        <f t="shared" si="204"/>
        <v>1698.939375</v>
      </c>
      <c r="AY342" s="43"/>
      <c r="AZ342" s="27"/>
      <c r="BA342" s="48">
        <f t="shared" si="200"/>
        <v>1677.939375</v>
      </c>
      <c r="BB342" s="27"/>
      <c r="BC342" s="27"/>
      <c r="BD342" s="51"/>
      <c r="BE342" s="52"/>
      <c r="BF342" s="27" t="s">
        <v>1220</v>
      </c>
      <c r="BG342" s="58" t="s">
        <v>1225</v>
      </c>
      <c r="BH342" s="53" t="str">
        <f>'[1]2023'!Q296</f>
        <v>#REF!</v>
      </c>
      <c r="BI342" s="27"/>
      <c r="BJ342" s="27"/>
      <c r="BK342" s="27" t="s">
        <v>76</v>
      </c>
      <c r="BL342" s="64" t="s">
        <v>1226</v>
      </c>
    </row>
    <row r="343" ht="14.25" customHeight="1">
      <c r="A343" s="26" t="s">
        <v>55</v>
      </c>
      <c r="B343" s="26" t="s">
        <v>56</v>
      </c>
      <c r="C343" s="26" t="s">
        <v>57</v>
      </c>
      <c r="D343" s="26" t="s">
        <v>81</v>
      </c>
      <c r="E343" s="27" t="s">
        <v>1227</v>
      </c>
      <c r="F343" s="26" t="s">
        <v>1228</v>
      </c>
      <c r="G343" s="29">
        <v>45049.0</v>
      </c>
      <c r="H343" s="30">
        <v>45049.0</v>
      </c>
      <c r="I343" s="30">
        <v>45414.0</v>
      </c>
      <c r="J343" s="31">
        <v>0.0</v>
      </c>
      <c r="K343" s="26" t="s">
        <v>352</v>
      </c>
      <c r="L343" s="73" t="s">
        <v>305</v>
      </c>
      <c r="M343" s="33">
        <v>13422.5</v>
      </c>
      <c r="N343" s="34">
        <v>14355.44</v>
      </c>
      <c r="O343" s="27" t="s">
        <v>76</v>
      </c>
      <c r="P343" s="35" t="s">
        <v>142</v>
      </c>
      <c r="Q343" s="35" t="s">
        <v>90</v>
      </c>
      <c r="R343" s="36">
        <v>45049.0</v>
      </c>
      <c r="S343" s="35" t="s">
        <v>86</v>
      </c>
      <c r="T343" s="35">
        <v>0.0</v>
      </c>
      <c r="U343" s="37" t="s">
        <v>67</v>
      </c>
      <c r="V343" s="38"/>
      <c r="W343" s="38"/>
      <c r="X343" s="27"/>
      <c r="Y343" s="39"/>
      <c r="Z343" s="39"/>
      <c r="AA343" s="39"/>
      <c r="AB343" s="40"/>
      <c r="AC343" s="27">
        <f>M343*AB343</f>
        <v>0</v>
      </c>
      <c r="AD343" s="41">
        <f>IF(AND(S343="0",O343="Paid"),M343*15%,0)</f>
        <v>2013.375</v>
      </c>
      <c r="AE343" s="42"/>
      <c r="AF343" s="27" t="s">
        <v>306</v>
      </c>
      <c r="AG343" s="43">
        <f t="shared" si="237"/>
        <v>3442.87125</v>
      </c>
      <c r="AH343" s="29"/>
      <c r="AI343" s="29"/>
      <c r="AJ343" s="29"/>
      <c r="AK343" s="75"/>
      <c r="AL343" s="27"/>
      <c r="AM343" s="27"/>
      <c r="AN343" s="47"/>
      <c r="AO343" s="46"/>
      <c r="AP343" s="47"/>
      <c r="AQ343" s="43">
        <f t="shared" si="236"/>
        <v>3624.075</v>
      </c>
      <c r="AR343" s="43">
        <f t="shared" si="2"/>
        <v>181.20375</v>
      </c>
      <c r="AS343" s="43">
        <f t="shared" si="3"/>
        <v>634.213125</v>
      </c>
      <c r="AT343" s="48">
        <f t="shared" si="4"/>
        <v>2808.658125</v>
      </c>
      <c r="AU343" s="49">
        <f t="shared" si="235"/>
        <v>2808.658125</v>
      </c>
      <c r="AV343" s="48"/>
      <c r="AW343" s="82">
        <f t="shared" si="5"/>
        <v>12342.065</v>
      </c>
      <c r="AX343" s="50">
        <f t="shared" si="204"/>
        <v>795.283125</v>
      </c>
      <c r="AY343" s="43"/>
      <c r="AZ343" s="27"/>
      <c r="BA343" s="48">
        <f t="shared" si="200"/>
        <v>2808.658125</v>
      </c>
      <c r="BB343" s="27"/>
      <c r="BC343" s="27"/>
      <c r="BD343" s="51"/>
      <c r="BE343" s="52"/>
      <c r="BF343" s="27" t="s">
        <v>1227</v>
      </c>
      <c r="BG343" s="53">
        <v>0.0</v>
      </c>
      <c r="BH343" s="53" t="str">
        <f>'[1]2023'!Q313</f>
        <v>#REF!</v>
      </c>
      <c r="BI343" s="27"/>
      <c r="BJ343" s="27"/>
      <c r="BK343" s="27" t="s">
        <v>76</v>
      </c>
      <c r="BL343" s="27"/>
    </row>
    <row r="344" ht="14.25" customHeight="1">
      <c r="A344" s="26" t="s">
        <v>55</v>
      </c>
      <c r="B344" s="26" t="s">
        <v>56</v>
      </c>
      <c r="C344" s="26" t="s">
        <v>57</v>
      </c>
      <c r="D344" s="26" t="s">
        <v>71</v>
      </c>
      <c r="E344" s="27" t="s">
        <v>1229</v>
      </c>
      <c r="F344" s="26" t="s">
        <v>1230</v>
      </c>
      <c r="G344" s="29">
        <v>45049.0</v>
      </c>
      <c r="H344" s="30">
        <v>45049.0</v>
      </c>
      <c r="I344" s="30">
        <v>45414.0</v>
      </c>
      <c r="J344" s="31" t="s">
        <v>1231</v>
      </c>
      <c r="K344" s="26" t="s">
        <v>62</v>
      </c>
      <c r="L344" s="73" t="s">
        <v>63</v>
      </c>
      <c r="M344" s="33">
        <v>75200.0</v>
      </c>
      <c r="N344" s="34">
        <v>79779.8</v>
      </c>
      <c r="O344" s="27" t="s">
        <v>64</v>
      </c>
      <c r="P344" s="35">
        <v>0.0</v>
      </c>
      <c r="Q344" s="35" t="s">
        <v>65</v>
      </c>
      <c r="R344" s="36">
        <v>45049.0</v>
      </c>
      <c r="S344" s="35" t="s">
        <v>86</v>
      </c>
      <c r="T344" s="35">
        <v>0.0</v>
      </c>
      <c r="U344" s="37" t="s">
        <v>157</v>
      </c>
      <c r="V344" s="38"/>
      <c r="W344" s="38"/>
      <c r="X344" s="27"/>
      <c r="Y344" s="39"/>
      <c r="Z344" s="39"/>
      <c r="AA344" s="39"/>
      <c r="AB344" s="40">
        <v>0.05</v>
      </c>
      <c r="AC344" s="34">
        <v>3780.0</v>
      </c>
      <c r="AD344" s="41">
        <f>IF(AND(S344="0",O344="Paid"),(M344*15%)-AC344,0)</f>
        <v>0</v>
      </c>
      <c r="AE344" s="42"/>
      <c r="AF344" s="27"/>
      <c r="AG344" s="43">
        <f>IF(O344="Paid",IF(A344="Alwataniya",(M344*21%)-((M344*21%)*5%),IF((A344="GIG"),(M344*25%)-((M344*25%)*5%),IF((A344="Allianz"),(M344*27%)-((M344*27%)*20%),0))),0)</f>
        <v>0</v>
      </c>
      <c r="AH344" s="29"/>
      <c r="AI344" s="29"/>
      <c r="AJ344" s="29"/>
      <c r="AK344" s="29"/>
      <c r="AL344" s="27"/>
      <c r="AM344" s="44"/>
      <c r="AN344" s="68"/>
      <c r="AO344" s="46"/>
      <c r="AP344" s="47"/>
      <c r="AQ344" s="43" t="b">
        <f>IF(O344="Paid",IF(U344="Motor Plus",(M344*27%),IF(U344="Motor One",(M344*22%),(IF(U344="Golden",(M344*25%),(IF(U344="Classic",(M344*15%),(IF(U344="Wethaq",(M344*28%),IF(U344="Alwataniya",(M344*21%))*0)))))))))</f>
        <v>0</v>
      </c>
      <c r="AR344" s="43">
        <f t="shared" si="2"/>
        <v>0</v>
      </c>
      <c r="AS344" s="43">
        <f t="shared" si="3"/>
        <v>0</v>
      </c>
      <c r="AT344" s="48">
        <f t="shared" si="4"/>
        <v>0</v>
      </c>
      <c r="AU344" s="49">
        <f t="shared" si="235"/>
        <v>-3780</v>
      </c>
      <c r="AV344" s="48"/>
      <c r="AW344" s="34">
        <f t="shared" si="5"/>
        <v>75999.8</v>
      </c>
      <c r="AX344" s="50">
        <f t="shared" si="204"/>
        <v>0</v>
      </c>
      <c r="AY344" s="43"/>
      <c r="AZ344" s="27"/>
      <c r="BA344" s="48">
        <f t="shared" si="200"/>
        <v>-3780</v>
      </c>
      <c r="BB344" s="27"/>
      <c r="BC344" s="27"/>
      <c r="BD344" s="51"/>
      <c r="BE344" s="52"/>
      <c r="BF344" s="27" t="s">
        <v>1229</v>
      </c>
      <c r="BG344" s="58" t="s">
        <v>1232</v>
      </c>
      <c r="BH344" s="53" t="str">
        <f>'[1]2023'!Q319</f>
        <v>#REF!</v>
      </c>
      <c r="BI344" s="27"/>
      <c r="BJ344" s="27"/>
      <c r="BK344" s="27" t="s">
        <v>64</v>
      </c>
      <c r="BL344" s="27"/>
    </row>
    <row r="345" ht="14.25" customHeight="1">
      <c r="A345" s="26" t="s">
        <v>55</v>
      </c>
      <c r="B345" s="26" t="s">
        <v>56</v>
      </c>
      <c r="C345" s="26" t="s">
        <v>57</v>
      </c>
      <c r="D345" s="26" t="s">
        <v>81</v>
      </c>
      <c r="E345" s="27" t="s">
        <v>1233</v>
      </c>
      <c r="F345" s="26" t="s">
        <v>1234</v>
      </c>
      <c r="G345" s="29">
        <v>45049.0</v>
      </c>
      <c r="H345" s="30">
        <v>45049.0</v>
      </c>
      <c r="I345" s="30">
        <v>45414.0</v>
      </c>
      <c r="J345" s="31">
        <v>0.0</v>
      </c>
      <c r="K345" s="26" t="s">
        <v>352</v>
      </c>
      <c r="L345" s="32" t="s">
        <v>75</v>
      </c>
      <c r="M345" s="33">
        <v>18287.5</v>
      </c>
      <c r="N345" s="34">
        <v>19507.48</v>
      </c>
      <c r="O345" s="27" t="s">
        <v>76</v>
      </c>
      <c r="P345" s="35" t="s">
        <v>89</v>
      </c>
      <c r="Q345" s="35">
        <v>0.0</v>
      </c>
      <c r="R345" s="36">
        <v>45049.0</v>
      </c>
      <c r="S345" s="35" t="s">
        <v>86</v>
      </c>
      <c r="T345" s="35">
        <v>0.0</v>
      </c>
      <c r="U345" s="37" t="s">
        <v>67</v>
      </c>
      <c r="V345" s="38"/>
      <c r="W345" s="38"/>
      <c r="X345" s="27"/>
      <c r="Y345" s="39"/>
      <c r="Z345" s="39"/>
      <c r="AA345" s="39"/>
      <c r="AB345" s="40"/>
      <c r="AC345" s="27">
        <f t="shared" ref="AC345:AC385" si="238">M345*AB345</f>
        <v>0</v>
      </c>
      <c r="AD345" s="41">
        <f>IF(AND(S345="0",O345="Paid"),M345*15%,0)</f>
        <v>2743.125</v>
      </c>
      <c r="AE345" s="42"/>
      <c r="AF345" s="27"/>
      <c r="AG345" s="43">
        <f t="shared" ref="AG345:AG346" si="239">IF(O345="Paid",IF(A345="Alwataniya",(M345*21%)-((M345*21%)*5%),IF((A345="GIG"),(M345*25%)-((M345*25%)*5%),IF((A345="Allianz"),(M345*27%)-((M345*27%)*5%),0))),0)</f>
        <v>4690.74375</v>
      </c>
      <c r="AH345" s="29"/>
      <c r="AI345" s="29"/>
      <c r="AJ345" s="29"/>
      <c r="AK345" s="29"/>
      <c r="AL345" s="27"/>
      <c r="AM345" s="44"/>
      <c r="AN345" s="68"/>
      <c r="AO345" s="46"/>
      <c r="AP345" s="47"/>
      <c r="AQ345" s="43">
        <f t="shared" ref="AQ345:AQ350" si="240">IF(U345="Motor Plus",(M345*27%),IF(U345="Motor One",(M345*22%),(IF(U345="Golden",(M345*25%),(IF(U345="Classic",(M345*15%),(IF(U345="Wethaq",(M345*28%),IF(U345="Alwataniya",(M345*21%))*0))))))))</f>
        <v>4937.625</v>
      </c>
      <c r="AR345" s="43">
        <f t="shared" si="2"/>
        <v>246.88125</v>
      </c>
      <c r="AS345" s="43">
        <f t="shared" si="3"/>
        <v>864.084375</v>
      </c>
      <c r="AT345" s="48">
        <f t="shared" si="4"/>
        <v>3826.659375</v>
      </c>
      <c r="AU345" s="49">
        <f t="shared" si="235"/>
        <v>3826.659375</v>
      </c>
      <c r="AV345" s="48"/>
      <c r="AW345" s="34">
        <f t="shared" si="5"/>
        <v>16764.355</v>
      </c>
      <c r="AX345" s="50">
        <f t="shared" si="204"/>
        <v>1083.534375</v>
      </c>
      <c r="AY345" s="43"/>
      <c r="AZ345" s="27"/>
      <c r="BA345" s="48">
        <f t="shared" si="200"/>
        <v>3826.659375</v>
      </c>
      <c r="BB345" s="27"/>
      <c r="BC345" s="27"/>
      <c r="BD345" s="51"/>
      <c r="BE345" s="52"/>
      <c r="BF345" s="27" t="s">
        <v>1233</v>
      </c>
      <c r="BG345" s="53" t="s">
        <v>1235</v>
      </c>
      <c r="BH345" s="53" t="str">
        <f>'[1]2023'!Q362</f>
        <v>#REF!</v>
      </c>
      <c r="BI345" s="27"/>
      <c r="BJ345" s="27"/>
      <c r="BK345" s="27" t="s">
        <v>76</v>
      </c>
      <c r="BL345" s="27"/>
    </row>
    <row r="346" ht="14.25" customHeight="1">
      <c r="A346" s="26" t="s">
        <v>55</v>
      </c>
      <c r="B346" s="26" t="s">
        <v>56</v>
      </c>
      <c r="C346" s="26" t="s">
        <v>57</v>
      </c>
      <c r="D346" s="26" t="s">
        <v>81</v>
      </c>
      <c r="E346" s="27" t="s">
        <v>1236</v>
      </c>
      <c r="F346" s="28" t="s">
        <v>1237</v>
      </c>
      <c r="G346" s="29">
        <v>45049.0</v>
      </c>
      <c r="H346" s="30">
        <v>45049.0</v>
      </c>
      <c r="I346" s="30">
        <v>45414.0</v>
      </c>
      <c r="J346" s="31">
        <v>0.0</v>
      </c>
      <c r="K346" s="26" t="s">
        <v>352</v>
      </c>
      <c r="L346" s="32" t="s">
        <v>434</v>
      </c>
      <c r="M346" s="33">
        <v>29500.0</v>
      </c>
      <c r="N346" s="34">
        <v>31381.5</v>
      </c>
      <c r="O346" s="27" t="s">
        <v>76</v>
      </c>
      <c r="P346" s="35" t="s">
        <v>89</v>
      </c>
      <c r="Q346" s="35" t="s">
        <v>65</v>
      </c>
      <c r="R346" s="36">
        <v>45049.0</v>
      </c>
      <c r="S346" s="35" t="s">
        <v>86</v>
      </c>
      <c r="T346" s="35">
        <v>0.0</v>
      </c>
      <c r="U346" s="37" t="s">
        <v>67</v>
      </c>
      <c r="V346" s="38"/>
      <c r="W346" s="38"/>
      <c r="X346" s="27"/>
      <c r="Y346" s="39"/>
      <c r="Z346" s="39"/>
      <c r="AA346" s="39"/>
      <c r="AB346" s="40">
        <v>0.15</v>
      </c>
      <c r="AC346" s="27">
        <f t="shared" si="238"/>
        <v>4425</v>
      </c>
      <c r="AD346" s="41"/>
      <c r="AE346" s="42"/>
      <c r="AF346" s="27"/>
      <c r="AG346" s="43">
        <f t="shared" si="239"/>
        <v>7566.75</v>
      </c>
      <c r="AH346" s="29"/>
      <c r="AI346" s="29"/>
      <c r="AJ346" s="29"/>
      <c r="AK346" s="29"/>
      <c r="AL346" s="27"/>
      <c r="AM346" s="44"/>
      <c r="AN346" s="115"/>
      <c r="AO346" s="46"/>
      <c r="AP346" s="47"/>
      <c r="AQ346" s="43">
        <f t="shared" si="240"/>
        <v>7965</v>
      </c>
      <c r="AR346" s="43">
        <f t="shared" si="2"/>
        <v>398.25</v>
      </c>
      <c r="AS346" s="43">
        <f t="shared" si="3"/>
        <v>1393.875</v>
      </c>
      <c r="AT346" s="48">
        <f t="shared" si="4"/>
        <v>6172.875</v>
      </c>
      <c r="AU346" s="49">
        <f t="shared" si="235"/>
        <v>1747.875</v>
      </c>
      <c r="AV346" s="48"/>
      <c r="AW346" s="34">
        <f t="shared" si="5"/>
        <v>26956.5</v>
      </c>
      <c r="AX346" s="50">
        <f t="shared" si="204"/>
        <v>6172.875</v>
      </c>
      <c r="AY346" s="43"/>
      <c r="AZ346" s="43"/>
      <c r="BA346" s="48">
        <f t="shared" si="200"/>
        <v>1747.875</v>
      </c>
      <c r="BB346" s="27"/>
      <c r="BC346" s="27"/>
      <c r="BD346" s="51"/>
      <c r="BE346" s="52"/>
      <c r="BF346" s="27" t="s">
        <v>1236</v>
      </c>
      <c r="BG346" s="58" t="s">
        <v>1238</v>
      </c>
      <c r="BH346" s="53" t="str">
        <f>'[1]2023'!Q500</f>
        <v>#REF!</v>
      </c>
      <c r="BI346" s="27"/>
      <c r="BJ346" s="27"/>
      <c r="BK346" s="27" t="s">
        <v>76</v>
      </c>
      <c r="BL346" s="27"/>
    </row>
    <row r="347" ht="14.25" customHeight="1">
      <c r="A347" s="26" t="s">
        <v>111</v>
      </c>
      <c r="B347" s="26" t="s">
        <v>56</v>
      </c>
      <c r="C347" s="26" t="s">
        <v>57</v>
      </c>
      <c r="D347" s="26" t="s">
        <v>71</v>
      </c>
      <c r="E347" s="27" t="s">
        <v>1239</v>
      </c>
      <c r="F347" s="28" t="s">
        <v>1240</v>
      </c>
      <c r="G347" s="29">
        <v>45050.0</v>
      </c>
      <c r="H347" s="30">
        <v>45050.0</v>
      </c>
      <c r="I347" s="30">
        <v>45415.0</v>
      </c>
      <c r="J347" s="31" t="s">
        <v>1241</v>
      </c>
      <c r="K347" s="26" t="s">
        <v>420</v>
      </c>
      <c r="L347" s="69">
        <v>45264.0</v>
      </c>
      <c r="M347" s="33">
        <v>15839.66</v>
      </c>
      <c r="N347" s="34">
        <v>17030.0</v>
      </c>
      <c r="O347" s="27" t="s">
        <v>76</v>
      </c>
      <c r="P347" s="35" t="s">
        <v>142</v>
      </c>
      <c r="Q347" s="35" t="s">
        <v>108</v>
      </c>
      <c r="R347" s="36">
        <v>45059.0</v>
      </c>
      <c r="S347" s="35" t="s">
        <v>86</v>
      </c>
      <c r="T347" s="35">
        <v>0.0</v>
      </c>
      <c r="U347" s="37" t="s">
        <v>115</v>
      </c>
      <c r="V347" s="38">
        <v>655000.0</v>
      </c>
      <c r="W347" s="38"/>
      <c r="X347" s="27"/>
      <c r="Y347" s="39"/>
      <c r="Z347" s="79" t="s">
        <v>1242</v>
      </c>
      <c r="AA347" s="39"/>
      <c r="AB347" s="40"/>
      <c r="AC347" s="27">
        <f t="shared" si="238"/>
        <v>0</v>
      </c>
      <c r="AD347" s="41">
        <f>IF(AND(S347="0",O347="Paid"),M347*15%,0)</f>
        <v>2375.949</v>
      </c>
      <c r="AE347" s="42">
        <v>250.0</v>
      </c>
      <c r="AF347" s="27" t="s">
        <v>75</v>
      </c>
      <c r="AG347" s="43">
        <f>IF(O347="Paid",IF(A347="Alwataniya",(M347*21%)-((M347*21%)*5%),IF((A347="GIG"),(M347*25%)-((M347*25%)*5%),IF((A347="Allianz"),(M347*27%)-((M347*27%)*20%),0))),0)</f>
        <v>3761.91925</v>
      </c>
      <c r="AH347" s="29" t="s">
        <v>75</v>
      </c>
      <c r="AI347" s="61" t="s">
        <v>75</v>
      </c>
      <c r="AJ347" s="40"/>
      <c r="AK347" s="62" t="s">
        <v>63</v>
      </c>
      <c r="AL347" s="27"/>
      <c r="AM347" s="44"/>
      <c r="AN347" s="68"/>
      <c r="AO347" s="46"/>
      <c r="AP347" s="47"/>
      <c r="AQ347" s="43">
        <f t="shared" si="240"/>
        <v>3959.915</v>
      </c>
      <c r="AR347" s="43">
        <f t="shared" si="2"/>
        <v>197.99575</v>
      </c>
      <c r="AS347" s="43">
        <f t="shared" si="3"/>
        <v>692.985125</v>
      </c>
      <c r="AT347" s="48">
        <f t="shared" si="4"/>
        <v>3068.934125</v>
      </c>
      <c r="AU347" s="49">
        <f t="shared" si="235"/>
        <v>3068.934125</v>
      </c>
      <c r="AV347" s="48"/>
      <c r="AW347" s="34">
        <f t="shared" si="5"/>
        <v>14404.051</v>
      </c>
      <c r="AX347" s="50">
        <f t="shared" si="204"/>
        <v>442.985125</v>
      </c>
      <c r="AY347" s="43"/>
      <c r="AZ347" s="27"/>
      <c r="BA347" s="48">
        <f t="shared" si="200"/>
        <v>3068.934125</v>
      </c>
      <c r="BB347" s="27"/>
      <c r="BC347" s="27"/>
      <c r="BD347" s="51"/>
      <c r="BE347" s="52"/>
      <c r="BF347" s="77" t="s">
        <v>1239</v>
      </c>
      <c r="BG347" s="58" t="s">
        <v>562</v>
      </c>
      <c r="BH347" s="53" t="str">
        <f>'[1]2023'!Q437</f>
        <v>#REF!</v>
      </c>
      <c r="BI347" s="27"/>
      <c r="BJ347" s="27"/>
      <c r="BK347" s="27" t="s">
        <v>76</v>
      </c>
      <c r="BL347" s="27"/>
    </row>
    <row r="348" ht="14.25" customHeight="1">
      <c r="A348" s="26" t="s">
        <v>55</v>
      </c>
      <c r="B348" s="26" t="s">
        <v>56</v>
      </c>
      <c r="C348" s="26" t="s">
        <v>57</v>
      </c>
      <c r="D348" s="26" t="s">
        <v>81</v>
      </c>
      <c r="E348" s="27" t="s">
        <v>1243</v>
      </c>
      <c r="F348" s="26" t="s">
        <v>1244</v>
      </c>
      <c r="G348" s="29">
        <v>45050.0</v>
      </c>
      <c r="H348" s="30">
        <v>45050.0</v>
      </c>
      <c r="I348" s="30">
        <v>45415.0</v>
      </c>
      <c r="J348" s="31">
        <v>0.0</v>
      </c>
      <c r="K348" s="26" t="s">
        <v>420</v>
      </c>
      <c r="L348" s="73" t="s">
        <v>75</v>
      </c>
      <c r="M348" s="33">
        <v>24062.5</v>
      </c>
      <c r="N348" s="34">
        <v>25623.2</v>
      </c>
      <c r="O348" s="27" t="s">
        <v>76</v>
      </c>
      <c r="P348" s="35" t="s">
        <v>122</v>
      </c>
      <c r="Q348" s="35" t="s">
        <v>65</v>
      </c>
      <c r="R348" s="36">
        <v>45050.0</v>
      </c>
      <c r="S348" s="35" t="s">
        <v>86</v>
      </c>
      <c r="T348" s="35">
        <v>0.0</v>
      </c>
      <c r="U348" s="37" t="s">
        <v>67</v>
      </c>
      <c r="V348" s="38"/>
      <c r="W348" s="38"/>
      <c r="X348" s="27"/>
      <c r="Y348" s="39"/>
      <c r="Z348" s="39"/>
      <c r="AA348" s="39"/>
      <c r="AB348" s="40"/>
      <c r="AC348" s="27">
        <f t="shared" si="238"/>
        <v>0</v>
      </c>
      <c r="AD348" s="41"/>
      <c r="AE348" s="42"/>
      <c r="AF348" s="27"/>
      <c r="AG348" s="43">
        <f t="shared" ref="AG348:AG351" si="241">IF(O348="Paid",IF(A348="Alwataniya",(M348*21%)-((M348*21%)*5%),IF((A348="GIG"),(M348*25%)-((M348*25%)*5%),IF((A348="Allianz"),(M348*27%)-((M348*27%)*5%),0))),0)</f>
        <v>6172.03125</v>
      </c>
      <c r="AH348" s="29"/>
      <c r="AI348" s="29"/>
      <c r="AJ348" s="29"/>
      <c r="AK348" s="29"/>
      <c r="AL348" s="27"/>
      <c r="AM348" s="44"/>
      <c r="AN348" s="68"/>
      <c r="AO348" s="46"/>
      <c r="AP348" s="47"/>
      <c r="AQ348" s="43">
        <f t="shared" si="240"/>
        <v>6496.875</v>
      </c>
      <c r="AR348" s="43">
        <f t="shared" si="2"/>
        <v>324.84375</v>
      </c>
      <c r="AS348" s="43">
        <f t="shared" si="3"/>
        <v>1136.953125</v>
      </c>
      <c r="AT348" s="48">
        <f t="shared" si="4"/>
        <v>5035.078125</v>
      </c>
      <c r="AU348" s="103">
        <f t="shared" si="235"/>
        <v>5035.078125</v>
      </c>
      <c r="AV348" s="48"/>
      <c r="AW348" s="34">
        <f t="shared" si="5"/>
        <v>25623.2</v>
      </c>
      <c r="AX348" s="50">
        <f t="shared" si="204"/>
        <v>5035.078125</v>
      </c>
      <c r="AY348" s="43"/>
      <c r="AZ348" s="27"/>
      <c r="BA348" s="48">
        <f t="shared" si="200"/>
        <v>5035.078125</v>
      </c>
      <c r="BB348" s="27"/>
      <c r="BC348" s="27"/>
      <c r="BD348" s="51"/>
      <c r="BE348" s="52"/>
      <c r="BF348" s="27" t="s">
        <v>1243</v>
      </c>
      <c r="BG348" s="53">
        <v>0.0</v>
      </c>
      <c r="BH348" s="53" t="str">
        <f>'[1]2023'!Q452</f>
        <v>#REF!</v>
      </c>
      <c r="BI348" s="27"/>
      <c r="BJ348" s="27"/>
      <c r="BK348" s="27" t="s">
        <v>76</v>
      </c>
      <c r="BL348" s="27"/>
    </row>
    <row r="349" ht="14.25" customHeight="1">
      <c r="A349" s="26" t="s">
        <v>55</v>
      </c>
      <c r="B349" s="26" t="s">
        <v>56</v>
      </c>
      <c r="C349" s="26" t="s">
        <v>57</v>
      </c>
      <c r="D349" s="26" t="s">
        <v>81</v>
      </c>
      <c r="E349" s="27" t="s">
        <v>1245</v>
      </c>
      <c r="F349" s="28" t="s">
        <v>1246</v>
      </c>
      <c r="G349" s="29">
        <v>45050.0</v>
      </c>
      <c r="H349" s="30">
        <v>45050.0</v>
      </c>
      <c r="I349" s="30">
        <v>45415.0</v>
      </c>
      <c r="J349" s="31">
        <v>0.0</v>
      </c>
      <c r="K349" s="26" t="s">
        <v>420</v>
      </c>
      <c r="L349" s="32" t="s">
        <v>75</v>
      </c>
      <c r="M349" s="33">
        <v>26000.0</v>
      </c>
      <c r="N349" s="34">
        <v>27675.0</v>
      </c>
      <c r="O349" s="27" t="s">
        <v>76</v>
      </c>
      <c r="P349" s="35" t="s">
        <v>89</v>
      </c>
      <c r="Q349" s="35" t="s">
        <v>90</v>
      </c>
      <c r="R349" s="36">
        <v>45050.0</v>
      </c>
      <c r="S349" s="35" t="s">
        <v>86</v>
      </c>
      <c r="T349" s="35">
        <v>0.0</v>
      </c>
      <c r="U349" s="37" t="s">
        <v>67</v>
      </c>
      <c r="V349" s="38"/>
      <c r="W349" s="38"/>
      <c r="X349" s="27"/>
      <c r="Y349" s="39"/>
      <c r="Z349" s="79" t="s">
        <v>764</v>
      </c>
      <c r="AA349" s="39"/>
      <c r="AB349" s="40"/>
      <c r="AC349" s="27">
        <f t="shared" si="238"/>
        <v>0</v>
      </c>
      <c r="AD349" s="41">
        <f>IF(AND(S349="0",O349="Paid"),M349*15%,0)</f>
        <v>3900</v>
      </c>
      <c r="AE349" s="42"/>
      <c r="AF349" s="27"/>
      <c r="AG349" s="43">
        <f t="shared" si="241"/>
        <v>6669</v>
      </c>
      <c r="AH349" s="29"/>
      <c r="AI349" s="29"/>
      <c r="AJ349" s="29"/>
      <c r="AK349" s="29"/>
      <c r="AL349" s="27"/>
      <c r="AM349" s="44"/>
      <c r="AN349" s="115"/>
      <c r="AO349" s="46"/>
      <c r="AP349" s="47"/>
      <c r="AQ349" s="43">
        <f t="shared" si="240"/>
        <v>7020</v>
      </c>
      <c r="AR349" s="43">
        <f t="shared" si="2"/>
        <v>351</v>
      </c>
      <c r="AS349" s="43">
        <f t="shared" si="3"/>
        <v>1228.5</v>
      </c>
      <c r="AT349" s="48">
        <f t="shared" si="4"/>
        <v>5440.5</v>
      </c>
      <c r="AU349" s="49">
        <f t="shared" si="235"/>
        <v>5440.5</v>
      </c>
      <c r="AV349" s="48"/>
      <c r="AW349" s="34">
        <f t="shared" si="5"/>
        <v>23775</v>
      </c>
      <c r="AX349" s="50">
        <f t="shared" si="204"/>
        <v>1540.5</v>
      </c>
      <c r="AY349" s="43"/>
      <c r="AZ349" s="43"/>
      <c r="BA349" s="48">
        <f t="shared" si="200"/>
        <v>5440.5</v>
      </c>
      <c r="BB349" s="27"/>
      <c r="BC349" s="27"/>
      <c r="BD349" s="51"/>
      <c r="BE349" s="52"/>
      <c r="BF349" s="27" t="s">
        <v>1245</v>
      </c>
      <c r="BG349" s="53">
        <v>0.0</v>
      </c>
      <c r="BH349" s="53" t="str">
        <f>'[1]2023'!Q475</f>
        <v>#REF!</v>
      </c>
      <c r="BI349" s="27"/>
      <c r="BJ349" s="27"/>
      <c r="BK349" s="27" t="s">
        <v>76</v>
      </c>
      <c r="BL349" s="27"/>
    </row>
    <row r="350" ht="14.25" customHeight="1">
      <c r="A350" s="26" t="s">
        <v>55</v>
      </c>
      <c r="B350" s="26" t="s">
        <v>56</v>
      </c>
      <c r="C350" s="26" t="s">
        <v>57</v>
      </c>
      <c r="D350" s="26" t="s">
        <v>81</v>
      </c>
      <c r="E350" s="27" t="s">
        <v>1247</v>
      </c>
      <c r="F350" s="28" t="s">
        <v>1248</v>
      </c>
      <c r="G350" s="29">
        <v>45050.0</v>
      </c>
      <c r="H350" s="30">
        <v>45050.0</v>
      </c>
      <c r="I350" s="30">
        <v>45415.0</v>
      </c>
      <c r="J350" s="31">
        <v>0.0</v>
      </c>
      <c r="K350" s="26" t="s">
        <v>420</v>
      </c>
      <c r="L350" s="32" t="s">
        <v>75</v>
      </c>
      <c r="M350" s="33">
        <v>21030.63</v>
      </c>
      <c r="N350" s="34">
        <v>22412.43</v>
      </c>
      <c r="O350" s="27" t="s">
        <v>76</v>
      </c>
      <c r="P350" s="35" t="s">
        <v>77</v>
      </c>
      <c r="Q350" s="35" t="s">
        <v>65</v>
      </c>
      <c r="R350" s="36">
        <v>45050.0</v>
      </c>
      <c r="S350" s="35" t="s">
        <v>86</v>
      </c>
      <c r="T350" s="35">
        <v>0.0</v>
      </c>
      <c r="U350" s="37" t="s">
        <v>67</v>
      </c>
      <c r="V350" s="38"/>
      <c r="W350" s="38"/>
      <c r="X350" s="27"/>
      <c r="Y350" s="39"/>
      <c r="Z350" s="39"/>
      <c r="AA350" s="39"/>
      <c r="AB350" s="40"/>
      <c r="AC350" s="27">
        <f t="shared" si="238"/>
        <v>0</v>
      </c>
      <c r="AD350" s="41"/>
      <c r="AE350" s="42"/>
      <c r="AF350" s="27"/>
      <c r="AG350" s="43">
        <f t="shared" si="241"/>
        <v>5394.356595</v>
      </c>
      <c r="AH350" s="29"/>
      <c r="AI350" s="29"/>
      <c r="AJ350" s="29"/>
      <c r="AK350" s="29"/>
      <c r="AL350" s="27"/>
      <c r="AM350" s="44"/>
      <c r="AN350" s="115"/>
      <c r="AO350" s="46"/>
      <c r="AP350" s="47"/>
      <c r="AQ350" s="43">
        <f t="shared" si="240"/>
        <v>5678.2701</v>
      </c>
      <c r="AR350" s="43">
        <f t="shared" si="2"/>
        <v>283.913505</v>
      </c>
      <c r="AS350" s="43">
        <f t="shared" si="3"/>
        <v>993.6972675</v>
      </c>
      <c r="AT350" s="48">
        <f t="shared" si="4"/>
        <v>4400.659328</v>
      </c>
      <c r="AU350" s="49">
        <f t="shared" si="235"/>
        <v>4400.659328</v>
      </c>
      <c r="AV350" s="48"/>
      <c r="AW350" s="34">
        <f t="shared" si="5"/>
        <v>22412.43</v>
      </c>
      <c r="AX350" s="50">
        <f t="shared" si="204"/>
        <v>4400.659328</v>
      </c>
      <c r="AY350" s="43"/>
      <c r="AZ350" s="43"/>
      <c r="BA350" s="48">
        <f t="shared" si="200"/>
        <v>4400.659328</v>
      </c>
      <c r="BB350" s="27"/>
      <c r="BC350" s="27"/>
      <c r="BD350" s="51"/>
      <c r="BE350" s="52"/>
      <c r="BF350" s="27" t="s">
        <v>1247</v>
      </c>
      <c r="BG350" s="53">
        <v>0.0</v>
      </c>
      <c r="BH350" s="53" t="str">
        <f>'[1]2023'!Q518</f>
        <v>#REF!</v>
      </c>
      <c r="BI350" s="27"/>
      <c r="BJ350" s="27"/>
      <c r="BK350" s="27" t="s">
        <v>76</v>
      </c>
      <c r="BL350" s="27"/>
    </row>
    <row r="351" ht="14.25" customHeight="1">
      <c r="A351" s="26" t="s">
        <v>55</v>
      </c>
      <c r="B351" s="26" t="s">
        <v>56</v>
      </c>
      <c r="C351" s="26" t="s">
        <v>57</v>
      </c>
      <c r="D351" s="26" t="s">
        <v>58</v>
      </c>
      <c r="E351" s="27" t="s">
        <v>1249</v>
      </c>
      <c r="F351" s="28" t="s">
        <v>1250</v>
      </c>
      <c r="G351" s="29">
        <v>45050.0</v>
      </c>
      <c r="H351" s="30">
        <v>45050.0</v>
      </c>
      <c r="I351" s="30">
        <v>45415.0</v>
      </c>
      <c r="J351" s="31">
        <v>0.0</v>
      </c>
      <c r="K351" s="26" t="s">
        <v>64</v>
      </c>
      <c r="L351" s="32" t="s">
        <v>63</v>
      </c>
      <c r="M351" s="33">
        <v>0.0</v>
      </c>
      <c r="N351" s="34">
        <v>0.0</v>
      </c>
      <c r="O351" s="27" t="s">
        <v>64</v>
      </c>
      <c r="P351" s="35">
        <v>0.0</v>
      </c>
      <c r="Q351" s="35">
        <v>0.0</v>
      </c>
      <c r="R351" s="36">
        <v>45050.0</v>
      </c>
      <c r="S351" s="35" t="s">
        <v>86</v>
      </c>
      <c r="T351" s="35">
        <v>0.0</v>
      </c>
      <c r="U351" s="37">
        <v>0.0</v>
      </c>
      <c r="V351" s="38"/>
      <c r="W351" s="38"/>
      <c r="X351" s="27"/>
      <c r="Y351" s="39"/>
      <c r="Z351" s="39"/>
      <c r="AA351" s="39"/>
      <c r="AB351" s="27"/>
      <c r="AC351" s="27">
        <f t="shared" si="238"/>
        <v>0</v>
      </c>
      <c r="AD351" s="41">
        <f t="shared" ref="AD351:AD352" si="242">IF(AND(S351="0",O351="Paid"),(M351*15%)-AC351,0)</f>
        <v>0</v>
      </c>
      <c r="AE351" s="42"/>
      <c r="AF351" s="27"/>
      <c r="AG351" s="43">
        <f t="shared" si="241"/>
        <v>0</v>
      </c>
      <c r="AH351" s="29"/>
      <c r="AI351" s="29"/>
      <c r="AJ351" s="29"/>
      <c r="AK351" s="29"/>
      <c r="AL351" s="27"/>
      <c r="AM351" s="44"/>
      <c r="AN351" s="68"/>
      <c r="AO351" s="46"/>
      <c r="AP351" s="47"/>
      <c r="AQ351" s="43" t="b">
        <f>IF(O351="Paid",IF(U351="Motor Plus",(M351*27%),IF(U351="Motor One",(M351*22%),(IF(U351="Golden",(M351*25%),(IF(U351="Classic",(M351*15%),(IF(U351="Wethaq",(M351*28%),IF(U351="Alwataniya",(M351*21%))*0)))))))))</f>
        <v>0</v>
      </c>
      <c r="AR351" s="43">
        <f t="shared" si="2"/>
        <v>0</v>
      </c>
      <c r="AS351" s="43">
        <f t="shared" si="3"/>
        <v>0</v>
      </c>
      <c r="AT351" s="48">
        <f t="shared" si="4"/>
        <v>0</v>
      </c>
      <c r="AU351" s="49">
        <f t="shared" ref="AU351:AU352" si="243">AQ351-AR351-AS351-AC351-AO351</f>
        <v>0</v>
      </c>
      <c r="AV351" s="48"/>
      <c r="AW351" s="34">
        <f t="shared" si="5"/>
        <v>0</v>
      </c>
      <c r="AX351" s="50">
        <f t="shared" si="204"/>
        <v>0</v>
      </c>
      <c r="AY351" s="43"/>
      <c r="AZ351" s="47"/>
      <c r="BA351" s="48">
        <f t="shared" si="200"/>
        <v>0</v>
      </c>
      <c r="BB351" s="27"/>
      <c r="BC351" s="27"/>
      <c r="BD351" s="51"/>
      <c r="BE351" s="52"/>
      <c r="BF351" s="27" t="s">
        <v>1249</v>
      </c>
      <c r="BG351" s="53">
        <v>0.0</v>
      </c>
      <c r="BH351" s="53" t="str">
        <f>'[1]2023'!Q1140</f>
        <v>#REF!</v>
      </c>
      <c r="BI351" s="27"/>
      <c r="BJ351" s="27"/>
      <c r="BK351" s="27" t="s">
        <v>64</v>
      </c>
      <c r="BL351" s="27"/>
    </row>
    <row r="352" ht="14.25" customHeight="1">
      <c r="A352" s="26" t="s">
        <v>111</v>
      </c>
      <c r="B352" s="26" t="s">
        <v>56</v>
      </c>
      <c r="C352" s="26" t="s">
        <v>57</v>
      </c>
      <c r="D352" s="26" t="s">
        <v>58</v>
      </c>
      <c r="E352" s="27" t="s">
        <v>1251</v>
      </c>
      <c r="F352" s="28" t="s">
        <v>1252</v>
      </c>
      <c r="G352" s="29">
        <v>45050.0</v>
      </c>
      <c r="H352" s="30">
        <v>45050.0</v>
      </c>
      <c r="I352" s="30">
        <v>45415.0</v>
      </c>
      <c r="J352" s="31">
        <v>0.0</v>
      </c>
      <c r="K352" s="26" t="s">
        <v>420</v>
      </c>
      <c r="L352" s="32" t="s">
        <v>1053</v>
      </c>
      <c r="M352" s="33">
        <v>0.0</v>
      </c>
      <c r="N352" s="116">
        <v>50.0</v>
      </c>
      <c r="O352" s="27" t="s">
        <v>76</v>
      </c>
      <c r="P352" s="35" t="s">
        <v>142</v>
      </c>
      <c r="Q352" s="35" t="s">
        <v>108</v>
      </c>
      <c r="R352" s="36">
        <v>45059.0</v>
      </c>
      <c r="S352" s="35" t="s">
        <v>86</v>
      </c>
      <c r="T352" s="35">
        <v>0.0</v>
      </c>
      <c r="U352" s="37" t="s">
        <v>115</v>
      </c>
      <c r="V352" s="38"/>
      <c r="W352" s="38"/>
      <c r="X352" s="27"/>
      <c r="Y352" s="39"/>
      <c r="Z352" s="39"/>
      <c r="AA352" s="39"/>
      <c r="AB352" s="27"/>
      <c r="AC352" s="27">
        <f t="shared" si="238"/>
        <v>0</v>
      </c>
      <c r="AD352" s="41">
        <f t="shared" si="242"/>
        <v>0</v>
      </c>
      <c r="AE352" s="42"/>
      <c r="AF352" s="27" t="s">
        <v>63</v>
      </c>
      <c r="AG352" s="117" t="s">
        <v>63</v>
      </c>
      <c r="AH352" s="117" t="s">
        <v>63</v>
      </c>
      <c r="AI352" s="117" t="s">
        <v>63</v>
      </c>
      <c r="AJ352" s="29"/>
      <c r="AK352" s="29" t="s">
        <v>63</v>
      </c>
      <c r="AL352" s="27"/>
      <c r="AM352" s="44"/>
      <c r="AN352" s="68"/>
      <c r="AO352" s="46"/>
      <c r="AP352" s="47"/>
      <c r="AQ352" s="43">
        <f t="shared" ref="AQ352:AQ355" si="244">IF(U352="Motor Plus",(M352*27%),IF(U352="Motor One",(M352*22%),(IF(U352="Golden",(M352*25%),(IF(U352="Classic",(M352*15%),(IF(U352="Wethaq",(M352*28%),IF(U352="Alwataniya",(M352*21%))*0))))))))</f>
        <v>0</v>
      </c>
      <c r="AR352" s="43">
        <f t="shared" si="2"/>
        <v>0</v>
      </c>
      <c r="AS352" s="43">
        <f t="shared" si="3"/>
        <v>0</v>
      </c>
      <c r="AT352" s="48">
        <f t="shared" si="4"/>
        <v>0</v>
      </c>
      <c r="AU352" s="49">
        <f t="shared" si="243"/>
        <v>0</v>
      </c>
      <c r="AV352" s="48"/>
      <c r="AW352" s="34">
        <f t="shared" si="5"/>
        <v>50</v>
      </c>
      <c r="AX352" s="50"/>
      <c r="AY352" s="43"/>
      <c r="AZ352" s="47"/>
      <c r="BA352" s="48">
        <f t="shared" si="200"/>
        <v>0</v>
      </c>
      <c r="BB352" s="27"/>
      <c r="BC352" s="27"/>
      <c r="BD352" s="51"/>
      <c r="BE352" s="52"/>
      <c r="BF352" s="27"/>
      <c r="BG352" s="53">
        <v>0.0</v>
      </c>
      <c r="BH352" s="53" t="str">
        <f>'[1]2023'!Q1314</f>
        <v>#REF!</v>
      </c>
      <c r="BI352" s="27"/>
      <c r="BJ352" s="27"/>
      <c r="BK352" s="27" t="s">
        <v>76</v>
      </c>
      <c r="BL352" s="27"/>
    </row>
    <row r="353" ht="14.25" customHeight="1">
      <c r="A353" s="26" t="s">
        <v>55</v>
      </c>
      <c r="B353" s="26" t="s">
        <v>56</v>
      </c>
      <c r="C353" s="26" t="s">
        <v>57</v>
      </c>
      <c r="D353" s="26" t="s">
        <v>81</v>
      </c>
      <c r="E353" s="27" t="s">
        <v>1253</v>
      </c>
      <c r="F353" s="28" t="s">
        <v>1254</v>
      </c>
      <c r="G353" s="29">
        <v>45051.0</v>
      </c>
      <c r="H353" s="30">
        <v>45051.0</v>
      </c>
      <c r="I353" s="30">
        <v>45416.0</v>
      </c>
      <c r="J353" s="31">
        <v>0.0</v>
      </c>
      <c r="K353" s="26" t="s">
        <v>427</v>
      </c>
      <c r="L353" s="32" t="s">
        <v>75</v>
      </c>
      <c r="M353" s="33">
        <v>23747.5</v>
      </c>
      <c r="N353" s="34">
        <v>25289.62</v>
      </c>
      <c r="O353" s="27" t="s">
        <v>76</v>
      </c>
      <c r="P353" s="35" t="s">
        <v>430</v>
      </c>
      <c r="Q353" s="35" t="s">
        <v>90</v>
      </c>
      <c r="R353" s="36">
        <v>45051.0</v>
      </c>
      <c r="S353" s="35" t="s">
        <v>86</v>
      </c>
      <c r="T353" s="35">
        <v>0.0</v>
      </c>
      <c r="U353" s="37" t="s">
        <v>67</v>
      </c>
      <c r="V353" s="38"/>
      <c r="W353" s="38"/>
      <c r="X353" s="27"/>
      <c r="Y353" s="39"/>
      <c r="Z353" s="79" t="s">
        <v>476</v>
      </c>
      <c r="AA353" s="39"/>
      <c r="AB353" s="40"/>
      <c r="AC353" s="27">
        <f t="shared" si="238"/>
        <v>0</v>
      </c>
      <c r="AD353" s="41">
        <f t="shared" ref="AD353:AD354" si="245">IF(AND(S353="0",O353="Paid"),M353*15%,0)</f>
        <v>3562.125</v>
      </c>
      <c r="AE353" s="42"/>
      <c r="AF353" s="27"/>
      <c r="AG353" s="43">
        <f t="shared" ref="AG353:AG354" si="246">IF(O353="Paid",IF(A353="Alwataniya",(M353*21%)-((M353*21%)*5%),IF((A353="GIG"),(M353*25%)-((M353*25%)*5%),IF((A353="Allianz"),(M353*27%)-((M353*27%)*5%),0))),0)</f>
        <v>6091.23375</v>
      </c>
      <c r="AH353" s="29"/>
      <c r="AI353" s="29"/>
      <c r="AJ353" s="29"/>
      <c r="AK353" s="29"/>
      <c r="AL353" s="27"/>
      <c r="AM353" s="44"/>
      <c r="AN353" s="115"/>
      <c r="AO353" s="46"/>
      <c r="AP353" s="47"/>
      <c r="AQ353" s="43">
        <f t="shared" si="244"/>
        <v>6411.825</v>
      </c>
      <c r="AR353" s="43">
        <f t="shared" si="2"/>
        <v>320.59125</v>
      </c>
      <c r="AS353" s="43">
        <f t="shared" si="3"/>
        <v>1122.069375</v>
      </c>
      <c r="AT353" s="48">
        <f t="shared" si="4"/>
        <v>4969.164375</v>
      </c>
      <c r="AU353" s="49">
        <f t="shared" ref="AU353:AU355" si="247">AQ353-AR353-AS353-AC353</f>
        <v>4969.164375</v>
      </c>
      <c r="AV353" s="48"/>
      <c r="AW353" s="34">
        <f t="shared" si="5"/>
        <v>21727.495</v>
      </c>
      <c r="AX353" s="50">
        <f t="shared" ref="AX353:AX546" si="248">IF(O353="Paid",AG353-AS353-AM353-AO353-AD353-AE353-AV353-AL353,0)</f>
        <v>1407.039375</v>
      </c>
      <c r="AY353" s="43"/>
      <c r="AZ353" s="43"/>
      <c r="BA353" s="48">
        <f t="shared" si="200"/>
        <v>4969.164375</v>
      </c>
      <c r="BB353" s="27"/>
      <c r="BC353" s="27"/>
      <c r="BD353" s="51"/>
      <c r="BE353" s="52"/>
      <c r="BF353" s="27" t="s">
        <v>1253</v>
      </c>
      <c r="BG353" s="53">
        <v>0.0</v>
      </c>
      <c r="BH353" s="53" t="str">
        <f t="shared" ref="BH353:BH354" si="249">'[1]2023'!Q536</f>
        <v>#REF!</v>
      </c>
      <c r="BI353" s="27"/>
      <c r="BJ353" s="27"/>
      <c r="BK353" s="27" t="s">
        <v>76</v>
      </c>
      <c r="BL353" s="27"/>
    </row>
    <row r="354" ht="14.25" customHeight="1">
      <c r="A354" s="26" t="s">
        <v>55</v>
      </c>
      <c r="B354" s="26" t="s">
        <v>56</v>
      </c>
      <c r="C354" s="26" t="s">
        <v>57</v>
      </c>
      <c r="D354" s="26" t="s">
        <v>81</v>
      </c>
      <c r="E354" s="27" t="s">
        <v>1255</v>
      </c>
      <c r="F354" s="28" t="s">
        <v>1256</v>
      </c>
      <c r="G354" s="29">
        <v>45051.0</v>
      </c>
      <c r="H354" s="30">
        <v>45051.0</v>
      </c>
      <c r="I354" s="30">
        <v>45416.0</v>
      </c>
      <c r="J354" s="31">
        <v>0.0</v>
      </c>
      <c r="K354" s="26" t="s">
        <v>427</v>
      </c>
      <c r="L354" s="32" t="s">
        <v>305</v>
      </c>
      <c r="M354" s="33">
        <v>22715.0</v>
      </c>
      <c r="N354" s="34">
        <v>24196.19</v>
      </c>
      <c r="O354" s="27" t="s">
        <v>76</v>
      </c>
      <c r="P354" s="35" t="s">
        <v>142</v>
      </c>
      <c r="Q354" s="35" t="s">
        <v>90</v>
      </c>
      <c r="R354" s="36">
        <v>45051.0</v>
      </c>
      <c r="S354" s="35" t="s">
        <v>86</v>
      </c>
      <c r="T354" s="35">
        <v>0.0</v>
      </c>
      <c r="U354" s="37" t="s">
        <v>67</v>
      </c>
      <c r="V354" s="38"/>
      <c r="W354" s="38"/>
      <c r="X354" s="27"/>
      <c r="Y354" s="39"/>
      <c r="Z354" s="79" t="s">
        <v>208</v>
      </c>
      <c r="AA354" s="39"/>
      <c r="AB354" s="40"/>
      <c r="AC354" s="27">
        <f t="shared" si="238"/>
        <v>0</v>
      </c>
      <c r="AD354" s="41">
        <f t="shared" si="245"/>
        <v>3407.25</v>
      </c>
      <c r="AE354" s="42"/>
      <c r="AF354" s="27" t="s">
        <v>306</v>
      </c>
      <c r="AG354" s="43">
        <f t="shared" si="246"/>
        <v>5826.3975</v>
      </c>
      <c r="AH354" s="29"/>
      <c r="AI354" s="29"/>
      <c r="AJ354" s="29"/>
      <c r="AK354" s="29"/>
      <c r="AL354" s="27"/>
      <c r="AM354" s="44"/>
      <c r="AN354" s="115"/>
      <c r="AO354" s="46"/>
      <c r="AP354" s="47"/>
      <c r="AQ354" s="43">
        <f t="shared" si="244"/>
        <v>6133.05</v>
      </c>
      <c r="AR354" s="43">
        <f t="shared" si="2"/>
        <v>306.6525</v>
      </c>
      <c r="AS354" s="43">
        <f t="shared" si="3"/>
        <v>1073.28375</v>
      </c>
      <c r="AT354" s="48">
        <f t="shared" si="4"/>
        <v>4753.11375</v>
      </c>
      <c r="AU354" s="49">
        <f t="shared" si="247"/>
        <v>4753.11375</v>
      </c>
      <c r="AV354" s="48"/>
      <c r="AW354" s="82">
        <f t="shared" si="5"/>
        <v>20788.94</v>
      </c>
      <c r="AX354" s="50">
        <f t="shared" si="248"/>
        <v>1345.86375</v>
      </c>
      <c r="AY354" s="43"/>
      <c r="AZ354" s="43"/>
      <c r="BA354" s="48">
        <f t="shared" si="200"/>
        <v>4753.11375</v>
      </c>
      <c r="BB354" s="27"/>
      <c r="BC354" s="27"/>
      <c r="BD354" s="51"/>
      <c r="BE354" s="52"/>
      <c r="BF354" s="80" t="s">
        <v>1255</v>
      </c>
      <c r="BG354" s="53">
        <v>0.0</v>
      </c>
      <c r="BH354" s="53" t="str">
        <f t="shared" si="249"/>
        <v>#REF!</v>
      </c>
      <c r="BI354" s="27"/>
      <c r="BJ354" s="27"/>
      <c r="BK354" s="27" t="s">
        <v>76</v>
      </c>
      <c r="BL354" s="27"/>
    </row>
    <row r="355" ht="14.25" customHeight="1">
      <c r="A355" s="26" t="s">
        <v>111</v>
      </c>
      <c r="B355" s="26" t="s">
        <v>56</v>
      </c>
      <c r="C355" s="26" t="s">
        <v>57</v>
      </c>
      <c r="D355" s="26" t="s">
        <v>71</v>
      </c>
      <c r="E355" s="27" t="s">
        <v>1257</v>
      </c>
      <c r="F355" s="28" t="s">
        <v>1258</v>
      </c>
      <c r="G355" s="29">
        <v>45051.0</v>
      </c>
      <c r="H355" s="30">
        <v>45051.0</v>
      </c>
      <c r="I355" s="30">
        <v>45416.0</v>
      </c>
      <c r="J355" s="31" t="s">
        <v>1259</v>
      </c>
      <c r="K355" s="26" t="s">
        <v>427</v>
      </c>
      <c r="L355" s="32" t="s">
        <v>75</v>
      </c>
      <c r="M355" s="33">
        <v>29220.21</v>
      </c>
      <c r="N355" s="34">
        <v>31200.0</v>
      </c>
      <c r="O355" s="27" t="s">
        <v>76</v>
      </c>
      <c r="P355" s="35" t="s">
        <v>430</v>
      </c>
      <c r="Q355" s="35" t="s">
        <v>114</v>
      </c>
      <c r="R355" s="36">
        <v>45060.0</v>
      </c>
      <c r="S355" s="35" t="s">
        <v>78</v>
      </c>
      <c r="T355" s="54" t="s">
        <v>604</v>
      </c>
      <c r="U355" s="37" t="s">
        <v>115</v>
      </c>
      <c r="V355" s="38">
        <v>1200000.0</v>
      </c>
      <c r="W355" s="38"/>
      <c r="X355" s="27"/>
      <c r="Y355" s="39"/>
      <c r="Z355" s="79" t="s">
        <v>1260</v>
      </c>
      <c r="AA355" s="39"/>
      <c r="AB355" s="40"/>
      <c r="AC355" s="27">
        <f t="shared" si="238"/>
        <v>0</v>
      </c>
      <c r="AD355" s="41"/>
      <c r="AE355" s="42"/>
      <c r="AF355" s="27"/>
      <c r="AG355" s="43">
        <f t="shared" ref="AG355:AG358" si="250">IF(O355="Paid",IF(A355="Alwataniya",(M355*21%)-((M355*21%)*5%),IF((A355="GIG"),(M355*25%)-((M355*25%)*5%),IF((A355="Allianz"),(M355*27%)-((M355*27%)*20%),0))),0)</f>
        <v>6939.799875</v>
      </c>
      <c r="AH355" s="29" t="s">
        <v>951</v>
      </c>
      <c r="AI355" s="61" t="s">
        <v>434</v>
      </c>
      <c r="AJ355" s="40"/>
      <c r="AK355" s="62" t="s">
        <v>63</v>
      </c>
      <c r="AL355" s="27"/>
      <c r="AM355" s="44"/>
      <c r="AN355" s="45"/>
      <c r="AO355" s="46">
        <f>M355*15%</f>
        <v>4383.0315</v>
      </c>
      <c r="AP355" s="47" t="s">
        <v>996</v>
      </c>
      <c r="AQ355" s="43">
        <f t="shared" si="244"/>
        <v>7305.0525</v>
      </c>
      <c r="AR355" s="43">
        <f t="shared" si="2"/>
        <v>365.252625</v>
      </c>
      <c r="AS355" s="43">
        <f t="shared" si="3"/>
        <v>1278.384188</v>
      </c>
      <c r="AT355" s="48">
        <f t="shared" si="4"/>
        <v>5661.415688</v>
      </c>
      <c r="AU355" s="49">
        <f t="shared" si="247"/>
        <v>5661.415688</v>
      </c>
      <c r="AV355" s="48"/>
      <c r="AW355" s="34">
        <f t="shared" si="5"/>
        <v>31200</v>
      </c>
      <c r="AX355" s="50">
        <f t="shared" si="248"/>
        <v>1278.384188</v>
      </c>
      <c r="AY355" s="43"/>
      <c r="AZ355" s="43"/>
      <c r="BA355" s="48">
        <f t="shared" si="200"/>
        <v>1278.384188</v>
      </c>
      <c r="BB355" s="27"/>
      <c r="BC355" s="27"/>
      <c r="BD355" s="51"/>
      <c r="BE355" s="52"/>
      <c r="BF355" s="27" t="s">
        <v>1257</v>
      </c>
      <c r="BG355" s="58" t="s">
        <v>1261</v>
      </c>
      <c r="BH355" s="53" t="str">
        <f>'[1]2023'!Q583</f>
        <v>#REF!</v>
      </c>
      <c r="BI355" s="27"/>
      <c r="BJ355" s="27"/>
      <c r="BK355" s="27" t="s">
        <v>76</v>
      </c>
      <c r="BL355" s="27"/>
    </row>
    <row r="356" ht="14.25" customHeight="1">
      <c r="A356" s="26" t="s">
        <v>181</v>
      </c>
      <c r="B356" s="26" t="s">
        <v>56</v>
      </c>
      <c r="C356" s="26" t="s">
        <v>57</v>
      </c>
      <c r="D356" s="26" t="s">
        <v>71</v>
      </c>
      <c r="E356" s="27" t="s">
        <v>1262</v>
      </c>
      <c r="F356" s="28" t="s">
        <v>1263</v>
      </c>
      <c r="G356" s="29">
        <v>45051.0</v>
      </c>
      <c r="H356" s="30">
        <v>45051.0</v>
      </c>
      <c r="I356" s="30">
        <v>45416.0</v>
      </c>
      <c r="J356" s="31" t="s">
        <v>1264</v>
      </c>
      <c r="K356" s="26" t="s">
        <v>427</v>
      </c>
      <c r="L356" s="32" t="s">
        <v>75</v>
      </c>
      <c r="M356" s="33">
        <v>14370.25</v>
      </c>
      <c r="N356" s="34">
        <v>15400.0</v>
      </c>
      <c r="O356" s="27" t="s">
        <v>76</v>
      </c>
      <c r="P356" s="35" t="s">
        <v>430</v>
      </c>
      <c r="Q356" s="35">
        <v>0.0</v>
      </c>
      <c r="R356" s="36">
        <v>45051.0</v>
      </c>
      <c r="S356" s="35" t="s">
        <v>676</v>
      </c>
      <c r="T356" s="35" t="s">
        <v>86</v>
      </c>
      <c r="U356" s="37" t="s">
        <v>181</v>
      </c>
      <c r="V356" s="38">
        <v>800000.0</v>
      </c>
      <c r="W356" s="38"/>
      <c r="X356" s="27"/>
      <c r="Y356" s="39"/>
      <c r="Z356" s="39" t="s">
        <v>1265</v>
      </c>
      <c r="AA356" s="39"/>
      <c r="AB356" s="40"/>
      <c r="AC356" s="27">
        <f t="shared" si="238"/>
        <v>0</v>
      </c>
      <c r="AD356" s="41">
        <f>IF(AND(S356="0",O356="Paid"),(M356*15%)-AC356,0)</f>
        <v>0</v>
      </c>
      <c r="AE356" s="42"/>
      <c r="AF356" s="27"/>
      <c r="AG356" s="43">
        <f t="shared" si="250"/>
        <v>2866.864875</v>
      </c>
      <c r="AH356" s="29">
        <v>45083.0</v>
      </c>
      <c r="AI356" s="29" t="s">
        <v>1266</v>
      </c>
      <c r="AJ356" s="29"/>
      <c r="AK356" s="29" t="s">
        <v>63</v>
      </c>
      <c r="AL356" s="27"/>
      <c r="AM356" s="49">
        <f>((M356*21%)-((M356*21%)*22.5%))*10%</f>
        <v>233.8758188</v>
      </c>
      <c r="AN356" s="132">
        <v>45083.0</v>
      </c>
      <c r="AO356" s="46">
        <v>0.0</v>
      </c>
      <c r="AP356" s="47"/>
      <c r="AQ356" s="43">
        <f>M356*21%</f>
        <v>3017.7525</v>
      </c>
      <c r="AR356" s="43">
        <f t="shared" si="2"/>
        <v>150.887625</v>
      </c>
      <c r="AS356" s="43">
        <f t="shared" si="3"/>
        <v>528.1066875</v>
      </c>
      <c r="AT356" s="48">
        <f t="shared" si="4"/>
        <v>2338.758188</v>
      </c>
      <c r="AU356" s="48">
        <f>AQ356-AR356-AS356</f>
        <v>2338.758188</v>
      </c>
      <c r="AV356" s="133">
        <f>BA356*10%</f>
        <v>210.4882369</v>
      </c>
      <c r="AW356" s="34">
        <f t="shared" si="5"/>
        <v>15400</v>
      </c>
      <c r="AX356" s="50">
        <f t="shared" si="248"/>
        <v>1894.394132</v>
      </c>
      <c r="AY356" s="43"/>
      <c r="AZ356" s="43"/>
      <c r="BA356" s="48">
        <f t="shared" si="200"/>
        <v>2104.882369</v>
      </c>
      <c r="BB356" s="27"/>
      <c r="BC356" s="27"/>
      <c r="BD356" s="51"/>
      <c r="BE356" s="52"/>
      <c r="BF356" s="27" t="s">
        <v>1262</v>
      </c>
      <c r="BG356" s="58" t="s">
        <v>1267</v>
      </c>
      <c r="BH356" s="53" t="str">
        <f>'[1]2023'!Q588</f>
        <v>#REF!</v>
      </c>
      <c r="BI356" s="27"/>
      <c r="BJ356" s="27"/>
      <c r="BK356" s="27" t="s">
        <v>76</v>
      </c>
      <c r="BL356" s="27"/>
    </row>
    <row r="357" ht="14.25" customHeight="1">
      <c r="A357" s="26" t="s">
        <v>111</v>
      </c>
      <c r="B357" s="26" t="s">
        <v>56</v>
      </c>
      <c r="C357" s="26" t="s">
        <v>57</v>
      </c>
      <c r="D357" s="26" t="s">
        <v>71</v>
      </c>
      <c r="E357" s="27" t="s">
        <v>1268</v>
      </c>
      <c r="F357" s="28" t="s">
        <v>1269</v>
      </c>
      <c r="G357" s="29">
        <v>45052.0</v>
      </c>
      <c r="H357" s="30">
        <v>45052.0</v>
      </c>
      <c r="I357" s="30">
        <v>45417.0</v>
      </c>
      <c r="J357" s="31" t="s">
        <v>1270</v>
      </c>
      <c r="K357" s="26" t="s">
        <v>440</v>
      </c>
      <c r="L357" s="32" t="s">
        <v>75</v>
      </c>
      <c r="M357" s="33">
        <v>31675.35</v>
      </c>
      <c r="N357" s="34">
        <v>33800.0</v>
      </c>
      <c r="O357" s="27" t="s">
        <v>76</v>
      </c>
      <c r="P357" s="35" t="s">
        <v>122</v>
      </c>
      <c r="Q357" s="35" t="s">
        <v>114</v>
      </c>
      <c r="R357" s="36">
        <v>45061.0</v>
      </c>
      <c r="S357" s="35" t="s">
        <v>78</v>
      </c>
      <c r="T357" s="54" t="s">
        <v>1271</v>
      </c>
      <c r="U357" s="37" t="s">
        <v>115</v>
      </c>
      <c r="V357" s="38">
        <v>1300000.0</v>
      </c>
      <c r="W357" s="38"/>
      <c r="X357" s="27"/>
      <c r="Y357" s="39"/>
      <c r="Z357" s="79" t="s">
        <v>1272</v>
      </c>
      <c r="AA357" s="39"/>
      <c r="AB357" s="40"/>
      <c r="AC357" s="27">
        <f t="shared" si="238"/>
        <v>0</v>
      </c>
      <c r="AD357" s="41"/>
      <c r="AE357" s="42"/>
      <c r="AF357" s="27"/>
      <c r="AG357" s="43">
        <f t="shared" si="250"/>
        <v>7522.895625</v>
      </c>
      <c r="AH357" s="29">
        <v>45144.0</v>
      </c>
      <c r="AI357" s="105" t="s">
        <v>1273</v>
      </c>
      <c r="AJ357" s="40"/>
      <c r="AK357" s="62" t="s">
        <v>63</v>
      </c>
      <c r="AL357" s="27"/>
      <c r="AM357" s="44"/>
      <c r="AN357" s="45"/>
      <c r="AO357" s="46">
        <f>(M357*15%)-AC357</f>
        <v>4751.3025</v>
      </c>
      <c r="AP357" s="57">
        <v>45113.0</v>
      </c>
      <c r="AQ357" s="43">
        <f>IF(U357="Motor Plus",(M357*27%),IF(U357="Motor One",(M357*22%),(IF(U357="Golden",(M357*25%),(IF(U357="Classic",(M357*15%),(IF(U357="Wethaq",(M357*28%),IF(U357="Alwataniya",(M357*21%))*0))))))))</f>
        <v>7918.8375</v>
      </c>
      <c r="AR357" s="43">
        <f t="shared" si="2"/>
        <v>395.941875</v>
      </c>
      <c r="AS357" s="43">
        <f t="shared" si="3"/>
        <v>1385.796563</v>
      </c>
      <c r="AT357" s="48">
        <f t="shared" si="4"/>
        <v>6137.099063</v>
      </c>
      <c r="AU357" s="49">
        <f t="shared" ref="AU357:AU358" si="251">AQ357-AR357-AS357-AC357</f>
        <v>6137.099063</v>
      </c>
      <c r="AV357" s="48"/>
      <c r="AW357" s="34">
        <f t="shared" si="5"/>
        <v>33800</v>
      </c>
      <c r="AX357" s="50">
        <f t="shared" si="248"/>
        <v>1385.796563</v>
      </c>
      <c r="AY357" s="43"/>
      <c r="AZ357" s="43"/>
      <c r="BA357" s="48">
        <f t="shared" si="200"/>
        <v>1385.796563</v>
      </c>
      <c r="BB357" s="27"/>
      <c r="BC357" s="27"/>
      <c r="BD357" s="51"/>
      <c r="BE357" s="52"/>
      <c r="BF357" s="27" t="s">
        <v>1268</v>
      </c>
      <c r="BG357" s="58" t="s">
        <v>1274</v>
      </c>
      <c r="BH357" s="53" t="str">
        <f>'[1]2023'!Q780</f>
        <v>#REF!</v>
      </c>
      <c r="BI357" s="27"/>
      <c r="BJ357" s="27"/>
      <c r="BK357" s="27" t="s">
        <v>76</v>
      </c>
      <c r="BL357" s="27"/>
    </row>
    <row r="358" ht="14.25" customHeight="1">
      <c r="A358" s="26" t="s">
        <v>111</v>
      </c>
      <c r="B358" s="26" t="s">
        <v>56</v>
      </c>
      <c r="C358" s="26" t="s">
        <v>57</v>
      </c>
      <c r="D358" s="26" t="s">
        <v>71</v>
      </c>
      <c r="E358" s="27" t="s">
        <v>1275</v>
      </c>
      <c r="F358" s="28" t="s">
        <v>1276</v>
      </c>
      <c r="G358" s="29">
        <v>45052.0</v>
      </c>
      <c r="H358" s="30">
        <v>45052.0</v>
      </c>
      <c r="I358" s="30">
        <v>45417.0</v>
      </c>
      <c r="J358" s="31" t="s">
        <v>1277</v>
      </c>
      <c r="K358" s="26" t="s">
        <v>440</v>
      </c>
      <c r="L358" s="32" t="s">
        <v>63</v>
      </c>
      <c r="M358" s="33">
        <v>36585.65</v>
      </c>
      <c r="N358" s="34">
        <v>39000.0</v>
      </c>
      <c r="O358" s="27" t="s">
        <v>64</v>
      </c>
      <c r="P358" s="35" t="s">
        <v>142</v>
      </c>
      <c r="Q358" s="35" t="s">
        <v>108</v>
      </c>
      <c r="R358" s="36">
        <v>45061.0</v>
      </c>
      <c r="S358" s="35" t="s">
        <v>86</v>
      </c>
      <c r="T358" s="35">
        <v>0.0</v>
      </c>
      <c r="U358" s="37">
        <v>0.0</v>
      </c>
      <c r="V358" s="38">
        <v>1500000.0</v>
      </c>
      <c r="W358" s="38"/>
      <c r="X358" s="27"/>
      <c r="Y358" s="39"/>
      <c r="Z358" s="39"/>
      <c r="AA358" s="39"/>
      <c r="AB358" s="40"/>
      <c r="AC358" s="27">
        <f t="shared" si="238"/>
        <v>0</v>
      </c>
      <c r="AD358" s="41">
        <f>IF(AND(S358="0",O358="Paid"),(M358*15%)-AC358,0)</f>
        <v>0</v>
      </c>
      <c r="AE358" s="42"/>
      <c r="AF358" s="27"/>
      <c r="AG358" s="43">
        <f t="shared" si="250"/>
        <v>0</v>
      </c>
      <c r="AH358" s="29"/>
      <c r="AI358" s="29"/>
      <c r="AJ358" s="29"/>
      <c r="AK358" s="29"/>
      <c r="AL358" s="27"/>
      <c r="AM358" s="44"/>
      <c r="AN358" s="45"/>
      <c r="AO358" s="46"/>
      <c r="AP358" s="47"/>
      <c r="AQ358" s="43" t="b">
        <f>IF(O358="Paid",IF(U358="Motor Plus",(M358*27%),IF(U358="Motor One",(M358*22%),(IF(U358="Golden",(M358*25%),(IF(U358="Classic",(M358*15%),(IF(U358="Wethaq",(M358*28%),IF(U358="Alwataniya",(M358*21%))*0)))))))))</f>
        <v>0</v>
      </c>
      <c r="AR358" s="43">
        <f t="shared" si="2"/>
        <v>0</v>
      </c>
      <c r="AS358" s="43">
        <f t="shared" si="3"/>
        <v>0</v>
      </c>
      <c r="AT358" s="48">
        <f t="shared" si="4"/>
        <v>0</v>
      </c>
      <c r="AU358" s="49">
        <f t="shared" si="251"/>
        <v>0</v>
      </c>
      <c r="AV358" s="48"/>
      <c r="AW358" s="34">
        <f t="shared" si="5"/>
        <v>39000</v>
      </c>
      <c r="AX358" s="50">
        <f t="shared" si="248"/>
        <v>0</v>
      </c>
      <c r="AY358" s="43"/>
      <c r="AZ358" s="43"/>
      <c r="BA358" s="48">
        <f t="shared" si="200"/>
        <v>0</v>
      </c>
      <c r="BB358" s="27"/>
      <c r="BC358" s="27"/>
      <c r="BD358" s="51"/>
      <c r="BE358" s="52"/>
      <c r="BF358" s="27" t="s">
        <v>1275</v>
      </c>
      <c r="BG358" s="53">
        <v>0.0</v>
      </c>
      <c r="BH358" s="53" t="str">
        <f>'[1]2023'!Q784</f>
        <v>#REF!</v>
      </c>
      <c r="BI358" s="27"/>
      <c r="BJ358" s="27"/>
      <c r="BK358" s="27" t="s">
        <v>64</v>
      </c>
      <c r="BL358" s="27"/>
    </row>
    <row r="359" ht="14.25" customHeight="1">
      <c r="A359" s="26" t="s">
        <v>68</v>
      </c>
      <c r="B359" s="26" t="s">
        <v>56</v>
      </c>
      <c r="C359" s="26" t="s">
        <v>57</v>
      </c>
      <c r="D359" s="26" t="s">
        <v>71</v>
      </c>
      <c r="E359" s="27" t="s">
        <v>1278</v>
      </c>
      <c r="F359" s="28" t="s">
        <v>1279</v>
      </c>
      <c r="G359" s="29">
        <v>45052.0</v>
      </c>
      <c r="H359" s="30">
        <v>45052.0</v>
      </c>
      <c r="I359" s="30">
        <v>45417.0</v>
      </c>
      <c r="J359" s="31" t="s">
        <v>1280</v>
      </c>
      <c r="K359" s="26" t="s">
        <v>440</v>
      </c>
      <c r="L359" s="69">
        <v>45095.0</v>
      </c>
      <c r="M359" s="33">
        <v>20572.11</v>
      </c>
      <c r="N359" s="34">
        <v>22000.0</v>
      </c>
      <c r="O359" s="27" t="s">
        <v>76</v>
      </c>
      <c r="P359" s="35" t="s">
        <v>430</v>
      </c>
      <c r="Q359" s="35">
        <v>0.0</v>
      </c>
      <c r="R359" s="36">
        <v>45071.0</v>
      </c>
      <c r="S359" s="35" t="s">
        <v>676</v>
      </c>
      <c r="T359" s="54" t="s">
        <v>1281</v>
      </c>
      <c r="U359" s="37" t="s">
        <v>68</v>
      </c>
      <c r="V359" s="38">
        <v>1100000.0</v>
      </c>
      <c r="W359" s="38"/>
      <c r="X359" s="27"/>
      <c r="Y359" s="39"/>
      <c r="Z359" s="79" t="s">
        <v>1282</v>
      </c>
      <c r="AA359" s="39"/>
      <c r="AB359" s="40"/>
      <c r="AC359" s="27">
        <f t="shared" si="238"/>
        <v>0</v>
      </c>
      <c r="AD359" s="41"/>
      <c r="AE359" s="42"/>
      <c r="AF359" s="27"/>
      <c r="AG359" s="43">
        <f>IF(O359="Paid",IF(A359="Wethaq",(M359*29.81%)-((M359*29.81%)*5%)))</f>
        <v>5825.918691</v>
      </c>
      <c r="AH359" s="29">
        <v>45237.0</v>
      </c>
      <c r="AI359" s="29">
        <v>45177.0</v>
      </c>
      <c r="AJ359" s="40">
        <v>0.2981</v>
      </c>
      <c r="AK359" s="29">
        <v>45115.0</v>
      </c>
      <c r="AL359" s="27"/>
      <c r="AM359" s="48">
        <f>(AQ359-AR359-AS359-(M359*15%))*30%</f>
        <v>413.499411</v>
      </c>
      <c r="AN359" s="68" t="s">
        <v>75</v>
      </c>
      <c r="AO359" s="46">
        <f>M359*15%</f>
        <v>3085.8165</v>
      </c>
      <c r="AP359" s="47" t="s">
        <v>1283</v>
      </c>
      <c r="AQ359" s="43">
        <f>M359*28%</f>
        <v>5760.1908</v>
      </c>
      <c r="AR359" s="43">
        <f t="shared" si="2"/>
        <v>288.00954</v>
      </c>
      <c r="AS359" s="43">
        <f t="shared" si="3"/>
        <v>1008.03339</v>
      </c>
      <c r="AT359" s="48">
        <f t="shared" si="4"/>
        <v>4464.14787</v>
      </c>
      <c r="AU359" s="48">
        <f>AQ359-AR359-AS359</f>
        <v>4464.14787</v>
      </c>
      <c r="AV359" s="106">
        <f>BA359*10%</f>
        <v>96.4831959</v>
      </c>
      <c r="AW359" s="34">
        <f t="shared" si="5"/>
        <v>22000</v>
      </c>
      <c r="AX359" s="50">
        <f t="shared" si="248"/>
        <v>1222.086195</v>
      </c>
      <c r="AY359" s="43"/>
      <c r="AZ359" s="43">
        <f>IF(AJ359&lt;31.81%,M359*(31.81%-AJ359),0)</f>
        <v>411.4422</v>
      </c>
      <c r="BA359" s="48">
        <f t="shared" si="200"/>
        <v>964.831959</v>
      </c>
      <c r="BB359" s="27"/>
      <c r="BC359" s="27"/>
      <c r="BD359" s="51"/>
      <c r="BE359" s="52" t="s">
        <v>440</v>
      </c>
      <c r="BF359" s="27" t="s">
        <v>1278</v>
      </c>
      <c r="BG359" s="53">
        <v>0.0</v>
      </c>
      <c r="BH359" s="53" t="str">
        <f>'[1]2023'!Q792</f>
        <v>#REF!</v>
      </c>
      <c r="BI359" s="27"/>
      <c r="BJ359" s="27"/>
      <c r="BK359" s="27" t="s">
        <v>76</v>
      </c>
      <c r="BL359" s="27"/>
    </row>
    <row r="360" ht="14.25" customHeight="1">
      <c r="A360" s="26" t="s">
        <v>55</v>
      </c>
      <c r="B360" s="26" t="s">
        <v>56</v>
      </c>
      <c r="C360" s="26" t="s">
        <v>57</v>
      </c>
      <c r="D360" s="26" t="s">
        <v>58</v>
      </c>
      <c r="E360" s="27" t="s">
        <v>1284</v>
      </c>
      <c r="F360" s="28" t="s">
        <v>1285</v>
      </c>
      <c r="G360" s="29">
        <v>45052.0</v>
      </c>
      <c r="H360" s="30">
        <v>45052.0</v>
      </c>
      <c r="I360" s="30">
        <v>45417.0</v>
      </c>
      <c r="J360" s="31" t="s">
        <v>1286</v>
      </c>
      <c r="K360" s="26" t="s">
        <v>440</v>
      </c>
      <c r="L360" s="32" t="s">
        <v>75</v>
      </c>
      <c r="M360" s="33">
        <v>1010.6</v>
      </c>
      <c r="N360" s="34">
        <v>1070.22</v>
      </c>
      <c r="O360" s="27" t="s">
        <v>76</v>
      </c>
      <c r="P360" s="35" t="s">
        <v>122</v>
      </c>
      <c r="Q360" s="35">
        <v>0.0</v>
      </c>
      <c r="R360" s="36">
        <v>45052.0</v>
      </c>
      <c r="S360" s="35" t="s">
        <v>86</v>
      </c>
      <c r="T360" s="35">
        <v>0.0</v>
      </c>
      <c r="U360" s="37" t="s">
        <v>58</v>
      </c>
      <c r="V360" s="38"/>
      <c r="W360" s="38"/>
      <c r="X360" s="27"/>
      <c r="Y360" s="39"/>
      <c r="Z360" s="39"/>
      <c r="AA360" s="39"/>
      <c r="AB360" s="40"/>
      <c r="AC360" s="27">
        <f t="shared" si="238"/>
        <v>0</v>
      </c>
      <c r="AD360" s="41">
        <f t="shared" ref="AD360:AD361" si="252">IF(AND(S360="0",O360="Paid"),(M360*15%)-AC360,0)</f>
        <v>151.59</v>
      </c>
      <c r="AE360" s="42"/>
      <c r="AF360" s="27"/>
      <c r="AG360" s="43">
        <f t="shared" ref="AG360:AG361" si="253">IF(O360="Paid",IF(A360="Alwataniya",(M360*21%)-((M360*21%)*5%),IF((A360="GIG"),(M360*25%)-((M360*25%)*5%),IF((A360="Allianz"),(M360*27%)-((M360*27%)*5%),0))),0)</f>
        <v>259.2189</v>
      </c>
      <c r="AH360" s="29"/>
      <c r="AI360" s="29"/>
      <c r="AJ360" s="29"/>
      <c r="AK360" s="29"/>
      <c r="AL360" s="27"/>
      <c r="AM360" s="44"/>
      <c r="AN360" s="45"/>
      <c r="AO360" s="46"/>
      <c r="AP360" s="47"/>
      <c r="AQ360" s="43">
        <f t="shared" ref="AQ360:AQ361" si="254">IF(U360="Motor Plus",(M360*27%),IF(U360="Motor One",(M360*22%),(IF(U360="Golden",(M360*25%),(IF(U360="Classic",(M360*15%),(IF(U360="Wethaq",(M360*28%),IF(U360="Alwataniya",(M360*21%))*0))))))))</f>
        <v>0</v>
      </c>
      <c r="AR360" s="43">
        <f t="shared" si="2"/>
        <v>0</v>
      </c>
      <c r="AS360" s="43">
        <f t="shared" si="3"/>
        <v>0</v>
      </c>
      <c r="AT360" s="48">
        <f t="shared" si="4"/>
        <v>0</v>
      </c>
      <c r="AU360" s="49">
        <f t="shared" ref="AU360:AU361" si="255">AQ360-AR360-AS360-AC360</f>
        <v>0</v>
      </c>
      <c r="AV360" s="48"/>
      <c r="AW360" s="34">
        <f t="shared" si="5"/>
        <v>918.63</v>
      </c>
      <c r="AX360" s="50">
        <f t="shared" si="248"/>
        <v>107.6289</v>
      </c>
      <c r="AY360" s="43"/>
      <c r="AZ360" s="43"/>
      <c r="BA360" s="48">
        <f t="shared" si="200"/>
        <v>0</v>
      </c>
      <c r="BB360" s="27"/>
      <c r="BC360" s="27"/>
      <c r="BD360" s="51"/>
      <c r="BE360" s="52"/>
      <c r="BF360" s="27" t="s">
        <v>1287</v>
      </c>
      <c r="BG360" s="58" t="s">
        <v>1288</v>
      </c>
      <c r="BH360" s="53" t="str">
        <f>'[1]2023'!Q811</f>
        <v>#REF!</v>
      </c>
      <c r="BI360" s="27"/>
      <c r="BJ360" s="27"/>
      <c r="BK360" s="27" t="s">
        <v>76</v>
      </c>
      <c r="BL360" s="27"/>
    </row>
    <row r="361" ht="14.25" customHeight="1">
      <c r="A361" s="26" t="s">
        <v>55</v>
      </c>
      <c r="B361" s="26" t="s">
        <v>56</v>
      </c>
      <c r="C361" s="26" t="s">
        <v>57</v>
      </c>
      <c r="D361" s="26" t="s">
        <v>81</v>
      </c>
      <c r="E361" s="27" t="s">
        <v>1289</v>
      </c>
      <c r="F361" s="28" t="s">
        <v>1290</v>
      </c>
      <c r="G361" s="29">
        <v>45053.0</v>
      </c>
      <c r="H361" s="30">
        <v>45053.0</v>
      </c>
      <c r="I361" s="30">
        <v>45418.0</v>
      </c>
      <c r="J361" s="31">
        <v>0.0</v>
      </c>
      <c r="K361" s="26" t="s">
        <v>887</v>
      </c>
      <c r="L361" s="32" t="s">
        <v>75</v>
      </c>
      <c r="M361" s="33">
        <v>23512.5</v>
      </c>
      <c r="N361" s="34">
        <v>25039.75</v>
      </c>
      <c r="O361" s="27" t="s">
        <v>76</v>
      </c>
      <c r="P361" s="35" t="s">
        <v>122</v>
      </c>
      <c r="Q361" s="35">
        <v>0.0</v>
      </c>
      <c r="R361" s="36">
        <v>45053.0</v>
      </c>
      <c r="S361" s="35" t="s">
        <v>86</v>
      </c>
      <c r="T361" s="35">
        <v>0.0</v>
      </c>
      <c r="U361" s="37" t="s">
        <v>67</v>
      </c>
      <c r="V361" s="38"/>
      <c r="W361" s="38"/>
      <c r="X361" s="27"/>
      <c r="Y361" s="39"/>
      <c r="Z361" s="39"/>
      <c r="AA361" s="39"/>
      <c r="AB361" s="40"/>
      <c r="AC361" s="27">
        <f t="shared" si="238"/>
        <v>0</v>
      </c>
      <c r="AD361" s="41">
        <f t="shared" si="252"/>
        <v>3526.875</v>
      </c>
      <c r="AE361" s="42"/>
      <c r="AF361" s="27"/>
      <c r="AG361" s="43">
        <f t="shared" si="253"/>
        <v>6030.95625</v>
      </c>
      <c r="AH361" s="29"/>
      <c r="AI361" s="29"/>
      <c r="AJ361" s="29"/>
      <c r="AK361" s="29"/>
      <c r="AL361" s="27"/>
      <c r="AM361" s="44"/>
      <c r="AN361" s="45"/>
      <c r="AO361" s="46"/>
      <c r="AP361" s="47"/>
      <c r="AQ361" s="43">
        <f t="shared" si="254"/>
        <v>6348.375</v>
      </c>
      <c r="AR361" s="43">
        <f t="shared" si="2"/>
        <v>317.41875</v>
      </c>
      <c r="AS361" s="43">
        <f t="shared" si="3"/>
        <v>1110.965625</v>
      </c>
      <c r="AT361" s="48">
        <f t="shared" si="4"/>
        <v>4919.990625</v>
      </c>
      <c r="AU361" s="103">
        <f t="shared" si="255"/>
        <v>4919.990625</v>
      </c>
      <c r="AV361" s="48"/>
      <c r="AW361" s="34">
        <f t="shared" si="5"/>
        <v>21512.875</v>
      </c>
      <c r="AX361" s="50">
        <f t="shared" si="248"/>
        <v>1393.115625</v>
      </c>
      <c r="AY361" s="43"/>
      <c r="AZ361" s="43"/>
      <c r="BA361" s="48">
        <f t="shared" si="200"/>
        <v>4919.990625</v>
      </c>
      <c r="BB361" s="27"/>
      <c r="BC361" s="27"/>
      <c r="BD361" s="51"/>
      <c r="BE361" s="52"/>
      <c r="BF361" s="27" t="s">
        <v>1289</v>
      </c>
      <c r="BG361" s="53">
        <v>0.0</v>
      </c>
      <c r="BH361" s="53" t="str">
        <f>'[1]2023'!Q825</f>
        <v>#REF!</v>
      </c>
      <c r="BI361" s="27"/>
      <c r="BJ361" s="27"/>
      <c r="BK361" s="27" t="s">
        <v>76</v>
      </c>
      <c r="BL361" s="27"/>
    </row>
    <row r="362" ht="14.25" customHeight="1">
      <c r="A362" s="26" t="s">
        <v>181</v>
      </c>
      <c r="B362" s="26" t="s">
        <v>56</v>
      </c>
      <c r="C362" s="26" t="s">
        <v>57</v>
      </c>
      <c r="D362" s="26" t="s">
        <v>71</v>
      </c>
      <c r="E362" s="27" t="s">
        <v>1291</v>
      </c>
      <c r="F362" s="28" t="s">
        <v>1292</v>
      </c>
      <c r="G362" s="29">
        <v>45053.0</v>
      </c>
      <c r="H362" s="30">
        <v>45053.0</v>
      </c>
      <c r="I362" s="30">
        <v>45418.0</v>
      </c>
      <c r="J362" s="31" t="s">
        <v>1293</v>
      </c>
      <c r="K362" s="26" t="s">
        <v>887</v>
      </c>
      <c r="L362" s="32" t="s">
        <v>75</v>
      </c>
      <c r="M362" s="33">
        <v>17545.21</v>
      </c>
      <c r="N362" s="34">
        <v>18850.0</v>
      </c>
      <c r="O362" s="27" t="s">
        <v>76</v>
      </c>
      <c r="P362" s="35" t="s">
        <v>430</v>
      </c>
      <c r="Q362" s="35">
        <v>0.0</v>
      </c>
      <c r="R362" s="36">
        <v>45053.0</v>
      </c>
      <c r="S362" s="35" t="s">
        <v>1103</v>
      </c>
      <c r="T362" s="54" t="s">
        <v>1294</v>
      </c>
      <c r="U362" s="37" t="s">
        <v>181</v>
      </c>
      <c r="V362" s="38">
        <v>1400000.0</v>
      </c>
      <c r="W362" s="38"/>
      <c r="X362" s="27"/>
      <c r="Y362" s="39"/>
      <c r="Z362" s="79" t="s">
        <v>1295</v>
      </c>
      <c r="AA362" s="39"/>
      <c r="AB362" s="40"/>
      <c r="AC362" s="27">
        <f t="shared" si="238"/>
        <v>0</v>
      </c>
      <c r="AD362" s="41"/>
      <c r="AE362" s="42"/>
      <c r="AF362" s="27"/>
      <c r="AG362" s="43">
        <f>IF(O362="Paid",IF(A362="Alwataniya",(M362*21%)-((M362*21%)*5%),IF((A362="GIG"),(M362*25%)-((M362*25%)*5%),IF((A362="Allianz"),(M362*27%)-((M362*27%)*20%),0))),0)</f>
        <v>3500.269395</v>
      </c>
      <c r="AH362" s="29" t="s">
        <v>721</v>
      </c>
      <c r="AI362" s="29">
        <v>45115.0</v>
      </c>
      <c r="AJ362" s="29"/>
      <c r="AK362" s="29">
        <v>44993.0</v>
      </c>
      <c r="AL362" s="27"/>
      <c r="AM362" s="44">
        <f>(AQ362-AR362-AS362-(M362*15%))*30%</f>
        <v>67.11042825</v>
      </c>
      <c r="AN362" s="45" t="s">
        <v>886</v>
      </c>
      <c r="AO362" s="46">
        <f>M362*12%</f>
        <v>2105.4252</v>
      </c>
      <c r="AP362" s="57">
        <v>45206.0</v>
      </c>
      <c r="AQ362" s="43">
        <f>M362*21%</f>
        <v>3684.4941</v>
      </c>
      <c r="AR362" s="43">
        <f t="shared" si="2"/>
        <v>184.224705</v>
      </c>
      <c r="AS362" s="43">
        <f t="shared" si="3"/>
        <v>644.7864675</v>
      </c>
      <c r="AT362" s="48">
        <f t="shared" si="4"/>
        <v>2855.482928</v>
      </c>
      <c r="AU362" s="49">
        <f>AQ362-AR362-AS362-AC362-AO362</f>
        <v>750.0577275</v>
      </c>
      <c r="AV362" s="134">
        <v>15.0</v>
      </c>
      <c r="AW362" s="34">
        <f t="shared" si="5"/>
        <v>18850</v>
      </c>
      <c r="AX362" s="50">
        <f t="shared" si="248"/>
        <v>667.9472993</v>
      </c>
      <c r="AY362" s="84">
        <f>IF(T362&lt;&gt;0,(AU362-AO362),0)*30%</f>
        <v>-406.6102418</v>
      </c>
      <c r="AZ362" s="47"/>
      <c r="BA362" s="48">
        <f t="shared" si="200"/>
        <v>-1422.477901</v>
      </c>
      <c r="BB362" s="27"/>
      <c r="BC362" s="27"/>
      <c r="BD362" s="51" t="s">
        <v>1296</v>
      </c>
      <c r="BE362" s="52" t="s">
        <v>887</v>
      </c>
      <c r="BF362" s="27" t="s">
        <v>1291</v>
      </c>
      <c r="BG362" s="58" t="s">
        <v>1297</v>
      </c>
      <c r="BH362" s="53" t="str">
        <f>'[1]2023'!Q951</f>
        <v>#REF!</v>
      </c>
      <c r="BI362" s="27"/>
      <c r="BJ362" s="27"/>
      <c r="BK362" s="27" t="s">
        <v>76</v>
      </c>
      <c r="BL362" s="27"/>
    </row>
    <row r="363" ht="14.25" customHeight="1">
      <c r="A363" s="26" t="s">
        <v>55</v>
      </c>
      <c r="B363" s="26" t="s">
        <v>56</v>
      </c>
      <c r="C363" s="26" t="s">
        <v>57</v>
      </c>
      <c r="D363" s="26" t="s">
        <v>81</v>
      </c>
      <c r="E363" s="27" t="s">
        <v>1298</v>
      </c>
      <c r="F363" s="28" t="s">
        <v>1299</v>
      </c>
      <c r="G363" s="29">
        <v>45053.0</v>
      </c>
      <c r="H363" s="30">
        <v>45053.0</v>
      </c>
      <c r="I363" s="30">
        <v>45418.0</v>
      </c>
      <c r="J363" s="31">
        <v>0.0</v>
      </c>
      <c r="K363" s="26" t="s">
        <v>887</v>
      </c>
      <c r="L363" s="73" t="s">
        <v>75</v>
      </c>
      <c r="M363" s="33">
        <v>13275.0</v>
      </c>
      <c r="N363" s="34">
        <v>14199.23</v>
      </c>
      <c r="O363" s="27" t="s">
        <v>76</v>
      </c>
      <c r="P363" s="35" t="s">
        <v>95</v>
      </c>
      <c r="Q363" s="35" t="s">
        <v>90</v>
      </c>
      <c r="R363" s="36">
        <v>45053.0</v>
      </c>
      <c r="S363" s="35" t="s">
        <v>86</v>
      </c>
      <c r="T363" s="35">
        <v>0.0</v>
      </c>
      <c r="U363" s="37" t="s">
        <v>67</v>
      </c>
      <c r="V363" s="38"/>
      <c r="W363" s="38"/>
      <c r="X363" s="27"/>
      <c r="Y363" s="39"/>
      <c r="Z363" s="79" t="s">
        <v>407</v>
      </c>
      <c r="AA363" s="39"/>
      <c r="AB363" s="40"/>
      <c r="AC363" s="27">
        <f t="shared" si="238"/>
        <v>0</v>
      </c>
      <c r="AD363" s="41">
        <f t="shared" ref="AD363:AD365" si="256">IF(AND(S363="0",O363="Paid"),(M363*15%)-AC363,0)</f>
        <v>1991.25</v>
      </c>
      <c r="AE363" s="42"/>
      <c r="AF363" s="27"/>
      <c r="AG363" s="43">
        <f t="shared" ref="AG363:AG372" si="257">IF(O363="Paid",IF(A363="Alwataniya",(M363*21%)-((M363*21%)*5%),IF((A363="GIG"),(M363*25%)-((M363*25%)*5%),IF((A363="Allianz"),(M363*27%)-((M363*27%)*5%),0))),0)</f>
        <v>3405.0375</v>
      </c>
      <c r="AH363" s="29"/>
      <c r="AI363" s="29"/>
      <c r="AJ363" s="55"/>
      <c r="AK363" s="29"/>
      <c r="AL363" s="27"/>
      <c r="AM363" s="27"/>
      <c r="AN363" s="47"/>
      <c r="AO363" s="46"/>
      <c r="AP363" s="47"/>
      <c r="AQ363" s="43">
        <f t="shared" ref="AQ363:AQ371" si="258">IF(U363="Motor Plus",(M363*27%),IF(U363="Motor One",(M363*22%),(IF(U363="Golden",(M363*25%),(IF(U363="Classic",(M363*15%),(IF(U363="Wethaq",(M363*28%),IF(U363="Alwataniya",(M363*21%))*0))))))))</f>
        <v>3584.25</v>
      </c>
      <c r="AR363" s="43">
        <f t="shared" si="2"/>
        <v>179.2125</v>
      </c>
      <c r="AS363" s="43">
        <f t="shared" si="3"/>
        <v>627.24375</v>
      </c>
      <c r="AT363" s="48">
        <f t="shared" si="4"/>
        <v>2777.79375</v>
      </c>
      <c r="AU363" s="49">
        <f>AQ363-AR363-AS363-AC363</f>
        <v>2777.79375</v>
      </c>
      <c r="AV363" s="48"/>
      <c r="AW363" s="34">
        <f t="shared" si="5"/>
        <v>12207.98</v>
      </c>
      <c r="AX363" s="50">
        <f t="shared" si="248"/>
        <v>786.54375</v>
      </c>
      <c r="AY363" s="43"/>
      <c r="AZ363" s="47"/>
      <c r="BA363" s="48">
        <f t="shared" si="200"/>
        <v>2777.79375</v>
      </c>
      <c r="BB363" s="27"/>
      <c r="BC363" s="27"/>
      <c r="BD363" s="51"/>
      <c r="BE363" s="52"/>
      <c r="BF363" s="27" t="s">
        <v>1298</v>
      </c>
      <c r="BG363" s="53">
        <v>0.0</v>
      </c>
      <c r="BH363" s="53" t="str">
        <f>'[1]2023'!Q967</f>
        <v>#REF!</v>
      </c>
      <c r="BI363" s="27"/>
      <c r="BJ363" s="27"/>
      <c r="BK363" s="27" t="s">
        <v>76</v>
      </c>
      <c r="BL363" s="27"/>
    </row>
    <row r="364" ht="14.25" customHeight="1">
      <c r="A364" s="26" t="s">
        <v>55</v>
      </c>
      <c r="B364" s="26" t="s">
        <v>56</v>
      </c>
      <c r="C364" s="26" t="s">
        <v>57</v>
      </c>
      <c r="D364" s="26" t="s">
        <v>81</v>
      </c>
      <c r="E364" s="27" t="s">
        <v>1300</v>
      </c>
      <c r="F364" s="28" t="s">
        <v>1301</v>
      </c>
      <c r="G364" s="29">
        <v>45054.0</v>
      </c>
      <c r="H364" s="30">
        <v>45054.0</v>
      </c>
      <c r="I364" s="30">
        <v>45419.0</v>
      </c>
      <c r="J364" s="31">
        <v>0.0</v>
      </c>
      <c r="K364" s="26" t="s">
        <v>455</v>
      </c>
      <c r="L364" s="32" t="s">
        <v>75</v>
      </c>
      <c r="M364" s="33">
        <v>22715.0</v>
      </c>
      <c r="N364" s="34">
        <v>24196.18</v>
      </c>
      <c r="O364" s="27" t="s">
        <v>76</v>
      </c>
      <c r="P364" s="35" t="s">
        <v>122</v>
      </c>
      <c r="Q364" s="35" t="s">
        <v>90</v>
      </c>
      <c r="R364" s="36">
        <v>45054.0</v>
      </c>
      <c r="S364" s="35" t="s">
        <v>86</v>
      </c>
      <c r="T364" s="35">
        <v>0.0</v>
      </c>
      <c r="U364" s="37" t="s">
        <v>67</v>
      </c>
      <c r="V364" s="38"/>
      <c r="W364" s="38"/>
      <c r="X364" s="27"/>
      <c r="Y364" s="39"/>
      <c r="Z364" s="79" t="s">
        <v>208</v>
      </c>
      <c r="AA364" s="39"/>
      <c r="AB364" s="40"/>
      <c r="AC364" s="27">
        <f t="shared" si="238"/>
        <v>0</v>
      </c>
      <c r="AD364" s="41">
        <f t="shared" si="256"/>
        <v>3407.25</v>
      </c>
      <c r="AE364" s="42"/>
      <c r="AF364" s="27"/>
      <c r="AG364" s="43">
        <f t="shared" si="257"/>
        <v>5826.3975</v>
      </c>
      <c r="AH364" s="29"/>
      <c r="AI364" s="29"/>
      <c r="AJ364" s="29"/>
      <c r="AK364" s="29"/>
      <c r="AL364" s="27"/>
      <c r="AM364" s="27"/>
      <c r="AN364" s="47"/>
      <c r="AO364" s="46"/>
      <c r="AP364" s="47"/>
      <c r="AQ364" s="43">
        <f t="shared" si="258"/>
        <v>6133.05</v>
      </c>
      <c r="AR364" s="43">
        <f t="shared" si="2"/>
        <v>306.6525</v>
      </c>
      <c r="AS364" s="43">
        <f t="shared" si="3"/>
        <v>1073.28375</v>
      </c>
      <c r="AT364" s="48">
        <f t="shared" si="4"/>
        <v>4753.11375</v>
      </c>
      <c r="AU364" s="49">
        <f t="shared" ref="AU364:AU373" si="259">AQ364-AR364-AS364-AC364-AO364</f>
        <v>4753.11375</v>
      </c>
      <c r="AV364" s="48"/>
      <c r="AW364" s="34">
        <f t="shared" si="5"/>
        <v>20788.93</v>
      </c>
      <c r="AX364" s="50">
        <f t="shared" si="248"/>
        <v>1345.86375</v>
      </c>
      <c r="AY364" s="43"/>
      <c r="AZ364" s="47"/>
      <c r="BA364" s="48">
        <f t="shared" si="200"/>
        <v>4753.11375</v>
      </c>
      <c r="BB364" s="27"/>
      <c r="BC364" s="27"/>
      <c r="BD364" s="51"/>
      <c r="BE364" s="52"/>
      <c r="BF364" s="27" t="s">
        <v>1300</v>
      </c>
      <c r="BG364" s="53">
        <v>0.0</v>
      </c>
      <c r="BH364" s="53" t="str">
        <f>'[1]2023'!Q1029</f>
        <v>#REF!</v>
      </c>
      <c r="BI364" s="27"/>
      <c r="BJ364" s="27"/>
      <c r="BK364" s="27" t="s">
        <v>76</v>
      </c>
      <c r="BL364" s="27"/>
    </row>
    <row r="365" ht="14.25" customHeight="1">
      <c r="A365" s="26" t="s">
        <v>55</v>
      </c>
      <c r="B365" s="26" t="s">
        <v>56</v>
      </c>
      <c r="C365" s="26" t="s">
        <v>57</v>
      </c>
      <c r="D365" s="26" t="s">
        <v>81</v>
      </c>
      <c r="E365" s="27" t="s">
        <v>1302</v>
      </c>
      <c r="F365" s="28" t="s">
        <v>1303</v>
      </c>
      <c r="G365" s="29">
        <v>45054.0</v>
      </c>
      <c r="H365" s="30">
        <v>45054.0</v>
      </c>
      <c r="I365" s="30">
        <v>45419.0</v>
      </c>
      <c r="J365" s="31">
        <v>0.0</v>
      </c>
      <c r="K365" s="26" t="s">
        <v>455</v>
      </c>
      <c r="L365" s="32" t="s">
        <v>75</v>
      </c>
      <c r="M365" s="33">
        <v>23100.0</v>
      </c>
      <c r="N365" s="34">
        <v>24719.4</v>
      </c>
      <c r="O365" s="27" t="s">
        <v>76</v>
      </c>
      <c r="P365" s="35" t="s">
        <v>122</v>
      </c>
      <c r="Q365" s="35" t="s">
        <v>85</v>
      </c>
      <c r="R365" s="36">
        <v>45054.0</v>
      </c>
      <c r="S365" s="35" t="s">
        <v>86</v>
      </c>
      <c r="T365" s="35">
        <v>0.0</v>
      </c>
      <c r="U365" s="37" t="s">
        <v>67</v>
      </c>
      <c r="V365" s="38"/>
      <c r="W365" s="38"/>
      <c r="X365" s="27"/>
      <c r="Y365" s="39"/>
      <c r="Z365" s="39"/>
      <c r="AA365" s="39"/>
      <c r="AB365" s="40"/>
      <c r="AC365" s="27">
        <f t="shared" si="238"/>
        <v>0</v>
      </c>
      <c r="AD365" s="41">
        <f t="shared" si="256"/>
        <v>3465</v>
      </c>
      <c r="AE365" s="42"/>
      <c r="AF365" s="29">
        <v>45116.0</v>
      </c>
      <c r="AG365" s="43">
        <f t="shared" si="257"/>
        <v>5925.15</v>
      </c>
      <c r="AH365" s="29"/>
      <c r="AI365" s="29"/>
      <c r="AJ365" s="29"/>
      <c r="AK365" s="29"/>
      <c r="AL365" s="27"/>
      <c r="AM365" s="27"/>
      <c r="AN365" s="47"/>
      <c r="AO365" s="46"/>
      <c r="AP365" s="47"/>
      <c r="AQ365" s="43">
        <f t="shared" si="258"/>
        <v>6237</v>
      </c>
      <c r="AR365" s="43">
        <f t="shared" si="2"/>
        <v>311.85</v>
      </c>
      <c r="AS365" s="43">
        <f t="shared" si="3"/>
        <v>1091.475</v>
      </c>
      <c r="AT365" s="48">
        <f t="shared" si="4"/>
        <v>4833.675</v>
      </c>
      <c r="AU365" s="49">
        <f t="shared" si="259"/>
        <v>4833.675</v>
      </c>
      <c r="AV365" s="48"/>
      <c r="AW365" s="34">
        <f t="shared" si="5"/>
        <v>21254.4</v>
      </c>
      <c r="AX365" s="50">
        <f t="shared" si="248"/>
        <v>1368.675</v>
      </c>
      <c r="AY365" s="43"/>
      <c r="AZ365" s="47"/>
      <c r="BA365" s="48">
        <f t="shared" si="200"/>
        <v>4833.675</v>
      </c>
      <c r="BB365" s="27"/>
      <c r="BC365" s="27"/>
      <c r="BD365" s="51"/>
      <c r="BE365" s="52"/>
      <c r="BF365" s="27" t="s">
        <v>1302</v>
      </c>
      <c r="BG365" s="53">
        <v>0.0</v>
      </c>
      <c r="BH365" s="53" t="str">
        <f>'[1]2023'!Q1040</f>
        <v>#REF!</v>
      </c>
      <c r="BI365" s="27"/>
      <c r="BJ365" s="27"/>
      <c r="BK365" s="27" t="s">
        <v>76</v>
      </c>
      <c r="BL365" s="27"/>
    </row>
    <row r="366" ht="14.25" customHeight="1">
      <c r="A366" s="26" t="s">
        <v>55</v>
      </c>
      <c r="B366" s="26" t="s">
        <v>56</v>
      </c>
      <c r="C366" s="26" t="s">
        <v>57</v>
      </c>
      <c r="D366" s="26" t="s">
        <v>81</v>
      </c>
      <c r="E366" s="27" t="s">
        <v>1304</v>
      </c>
      <c r="F366" s="28" t="s">
        <v>1305</v>
      </c>
      <c r="G366" s="29">
        <v>45054.0</v>
      </c>
      <c r="H366" s="30">
        <v>45054.0</v>
      </c>
      <c r="I366" s="30">
        <v>45419.0</v>
      </c>
      <c r="J366" s="31">
        <v>0.0</v>
      </c>
      <c r="K366" s="26" t="s">
        <v>455</v>
      </c>
      <c r="L366" s="32" t="s">
        <v>75</v>
      </c>
      <c r="M366" s="33">
        <v>30975.0</v>
      </c>
      <c r="N366" s="34">
        <v>32943.53</v>
      </c>
      <c r="O366" s="27" t="s">
        <v>76</v>
      </c>
      <c r="P366" s="35" t="s">
        <v>430</v>
      </c>
      <c r="Q366" s="35" t="s">
        <v>65</v>
      </c>
      <c r="R366" s="36">
        <v>45054.0</v>
      </c>
      <c r="S366" s="35" t="s">
        <v>86</v>
      </c>
      <c r="T366" s="35">
        <v>0.0</v>
      </c>
      <c r="U366" s="37" t="s">
        <v>67</v>
      </c>
      <c r="V366" s="38"/>
      <c r="W366" s="38"/>
      <c r="X366" s="27"/>
      <c r="Y366" s="39"/>
      <c r="Z366" s="39"/>
      <c r="AA366" s="39"/>
      <c r="AB366" s="40"/>
      <c r="AC366" s="27">
        <f t="shared" si="238"/>
        <v>0</v>
      </c>
      <c r="AD366" s="41"/>
      <c r="AE366" s="42"/>
      <c r="AF366" s="27"/>
      <c r="AG366" s="43">
        <f t="shared" si="257"/>
        <v>7945.0875</v>
      </c>
      <c r="AH366" s="29"/>
      <c r="AI366" s="29"/>
      <c r="AJ366" s="29"/>
      <c r="AK366" s="29"/>
      <c r="AL366" s="27"/>
      <c r="AM366" s="27"/>
      <c r="AN366" s="47"/>
      <c r="AO366" s="46"/>
      <c r="AP366" s="47"/>
      <c r="AQ366" s="43">
        <f t="shared" si="258"/>
        <v>8363.25</v>
      </c>
      <c r="AR366" s="43">
        <f t="shared" si="2"/>
        <v>418.1625</v>
      </c>
      <c r="AS366" s="43">
        <f t="shared" si="3"/>
        <v>1463.56875</v>
      </c>
      <c r="AT366" s="48">
        <f t="shared" si="4"/>
        <v>6481.51875</v>
      </c>
      <c r="AU366" s="49">
        <f t="shared" si="259"/>
        <v>6481.51875</v>
      </c>
      <c r="AV366" s="48"/>
      <c r="AW366" s="34">
        <f t="shared" si="5"/>
        <v>32943.53</v>
      </c>
      <c r="AX366" s="50">
        <f t="shared" si="248"/>
        <v>6481.51875</v>
      </c>
      <c r="AY366" s="43"/>
      <c r="AZ366" s="47"/>
      <c r="BA366" s="48">
        <f t="shared" si="200"/>
        <v>6481.51875</v>
      </c>
      <c r="BB366" s="27"/>
      <c r="BC366" s="27"/>
      <c r="BD366" s="51"/>
      <c r="BE366" s="52"/>
      <c r="BF366" s="27" t="s">
        <v>1304</v>
      </c>
      <c r="BG366" s="53">
        <v>0.0</v>
      </c>
      <c r="BH366" s="53" t="str">
        <f t="shared" ref="BH366:BH368" si="260">'[1]2023'!Q1044</f>
        <v>#REF!</v>
      </c>
      <c r="BI366" s="27"/>
      <c r="BJ366" s="27"/>
      <c r="BK366" s="27" t="s">
        <v>76</v>
      </c>
      <c r="BL366" s="27"/>
    </row>
    <row r="367" ht="14.25" customHeight="1">
      <c r="A367" s="26" t="s">
        <v>55</v>
      </c>
      <c r="B367" s="26" t="s">
        <v>56</v>
      </c>
      <c r="C367" s="26" t="s">
        <v>57</v>
      </c>
      <c r="D367" s="26" t="s">
        <v>81</v>
      </c>
      <c r="E367" s="27" t="s">
        <v>1306</v>
      </c>
      <c r="F367" s="28" t="s">
        <v>1307</v>
      </c>
      <c r="G367" s="29">
        <v>45054.0</v>
      </c>
      <c r="H367" s="30">
        <v>45054.0</v>
      </c>
      <c r="I367" s="30">
        <v>45419.0</v>
      </c>
      <c r="J367" s="31">
        <v>0.0</v>
      </c>
      <c r="K367" s="26" t="s">
        <v>455</v>
      </c>
      <c r="L367" s="89">
        <v>45145.0</v>
      </c>
      <c r="M367" s="33">
        <v>22715.0</v>
      </c>
      <c r="N367" s="34">
        <v>24196.19</v>
      </c>
      <c r="O367" s="27" t="s">
        <v>76</v>
      </c>
      <c r="P367" s="35" t="s">
        <v>89</v>
      </c>
      <c r="Q367" s="35" t="s">
        <v>90</v>
      </c>
      <c r="R367" s="36">
        <v>45054.0</v>
      </c>
      <c r="S367" s="35" t="s">
        <v>86</v>
      </c>
      <c r="T367" s="35">
        <v>0.0</v>
      </c>
      <c r="U367" s="37" t="s">
        <v>67</v>
      </c>
      <c r="V367" s="38"/>
      <c r="W367" s="38"/>
      <c r="X367" s="27"/>
      <c r="Y367" s="39"/>
      <c r="Z367" s="79" t="s">
        <v>232</v>
      </c>
      <c r="AA367" s="39"/>
      <c r="AB367" s="40"/>
      <c r="AC367" s="27">
        <f t="shared" si="238"/>
        <v>0</v>
      </c>
      <c r="AD367" s="41">
        <f t="shared" ref="AD367:AD372" si="261">IF(AND(S367="0",O367="Paid"),(M367*15%)-AC367,0)</f>
        <v>3407.25</v>
      </c>
      <c r="AE367" s="42"/>
      <c r="AF367" s="27"/>
      <c r="AG367" s="43">
        <f t="shared" si="257"/>
        <v>5826.3975</v>
      </c>
      <c r="AH367" s="29"/>
      <c r="AI367" s="29"/>
      <c r="AJ367" s="29"/>
      <c r="AK367" s="29"/>
      <c r="AL367" s="27"/>
      <c r="AM367" s="27"/>
      <c r="AN367" s="47"/>
      <c r="AO367" s="46"/>
      <c r="AP367" s="47"/>
      <c r="AQ367" s="43">
        <f t="shared" si="258"/>
        <v>6133.05</v>
      </c>
      <c r="AR367" s="43">
        <f t="shared" si="2"/>
        <v>306.6525</v>
      </c>
      <c r="AS367" s="43">
        <f t="shared" si="3"/>
        <v>1073.28375</v>
      </c>
      <c r="AT367" s="48">
        <f t="shared" si="4"/>
        <v>4753.11375</v>
      </c>
      <c r="AU367" s="49">
        <f t="shared" si="259"/>
        <v>4753.11375</v>
      </c>
      <c r="AV367" s="48"/>
      <c r="AW367" s="34">
        <f t="shared" si="5"/>
        <v>20788.94</v>
      </c>
      <c r="AX367" s="50">
        <f t="shared" si="248"/>
        <v>1345.86375</v>
      </c>
      <c r="AY367" s="43"/>
      <c r="AZ367" s="47"/>
      <c r="BA367" s="48">
        <f t="shared" si="200"/>
        <v>4753.11375</v>
      </c>
      <c r="BB367" s="27"/>
      <c r="BC367" s="27"/>
      <c r="BD367" s="51"/>
      <c r="BE367" s="52"/>
      <c r="BF367" s="27" t="s">
        <v>1306</v>
      </c>
      <c r="BG367" s="53">
        <v>0.0</v>
      </c>
      <c r="BH367" s="53" t="str">
        <f t="shared" si="260"/>
        <v>#REF!</v>
      </c>
      <c r="BI367" s="27"/>
      <c r="BJ367" s="27"/>
      <c r="BK367" s="27" t="s">
        <v>76</v>
      </c>
      <c r="BL367" s="27"/>
    </row>
    <row r="368" ht="14.25" customHeight="1">
      <c r="A368" s="26" t="s">
        <v>55</v>
      </c>
      <c r="B368" s="26" t="s">
        <v>56</v>
      </c>
      <c r="C368" s="26" t="s">
        <v>57</v>
      </c>
      <c r="D368" s="26" t="s">
        <v>81</v>
      </c>
      <c r="E368" s="27" t="s">
        <v>1308</v>
      </c>
      <c r="F368" s="28" t="s">
        <v>1309</v>
      </c>
      <c r="G368" s="29">
        <v>45054.0</v>
      </c>
      <c r="H368" s="30">
        <v>45054.0</v>
      </c>
      <c r="I368" s="30">
        <v>45419.0</v>
      </c>
      <c r="J368" s="31">
        <v>0.0</v>
      </c>
      <c r="K368" s="26" t="s">
        <v>455</v>
      </c>
      <c r="L368" s="32" t="s">
        <v>75</v>
      </c>
      <c r="M368" s="33">
        <v>24780.0</v>
      </c>
      <c r="N368" s="34">
        <v>26383.02</v>
      </c>
      <c r="O368" s="27" t="s">
        <v>76</v>
      </c>
      <c r="P368" s="35" t="s">
        <v>89</v>
      </c>
      <c r="Q368" s="35" t="s">
        <v>90</v>
      </c>
      <c r="R368" s="36">
        <v>45054.0</v>
      </c>
      <c r="S368" s="35" t="s">
        <v>86</v>
      </c>
      <c r="T368" s="35">
        <v>0.0</v>
      </c>
      <c r="U368" s="37" t="s">
        <v>67</v>
      </c>
      <c r="V368" s="38"/>
      <c r="W368" s="38"/>
      <c r="X368" s="27"/>
      <c r="Y368" s="39"/>
      <c r="Z368" s="79" t="s">
        <v>232</v>
      </c>
      <c r="AA368" s="39"/>
      <c r="AB368" s="40"/>
      <c r="AC368" s="27">
        <f t="shared" si="238"/>
        <v>0</v>
      </c>
      <c r="AD368" s="41">
        <f t="shared" si="261"/>
        <v>3717</v>
      </c>
      <c r="AE368" s="42"/>
      <c r="AF368" s="27"/>
      <c r="AG368" s="43">
        <f t="shared" si="257"/>
        <v>6356.07</v>
      </c>
      <c r="AH368" s="29"/>
      <c r="AI368" s="29"/>
      <c r="AJ368" s="29"/>
      <c r="AK368" s="29"/>
      <c r="AL368" s="27"/>
      <c r="AM368" s="44"/>
      <c r="AN368" s="68"/>
      <c r="AO368" s="46"/>
      <c r="AP368" s="47"/>
      <c r="AQ368" s="43">
        <f t="shared" si="258"/>
        <v>6690.6</v>
      </c>
      <c r="AR368" s="43">
        <f t="shared" si="2"/>
        <v>334.53</v>
      </c>
      <c r="AS368" s="43">
        <f t="shared" si="3"/>
        <v>1170.855</v>
      </c>
      <c r="AT368" s="48">
        <f t="shared" si="4"/>
        <v>5185.215</v>
      </c>
      <c r="AU368" s="49">
        <f t="shared" si="259"/>
        <v>5185.215</v>
      </c>
      <c r="AV368" s="48"/>
      <c r="AW368" s="34">
        <f t="shared" si="5"/>
        <v>22666.02</v>
      </c>
      <c r="AX368" s="50">
        <f t="shared" si="248"/>
        <v>1468.215</v>
      </c>
      <c r="AY368" s="43"/>
      <c r="AZ368" s="47"/>
      <c r="BA368" s="48">
        <f t="shared" si="200"/>
        <v>5185.215</v>
      </c>
      <c r="BB368" s="27"/>
      <c r="BC368" s="27"/>
      <c r="BD368" s="51"/>
      <c r="BE368" s="52"/>
      <c r="BF368" s="27" t="s">
        <v>1308</v>
      </c>
      <c r="BG368" s="53">
        <v>0.0</v>
      </c>
      <c r="BH368" s="53" t="str">
        <f t="shared" si="260"/>
        <v>#REF!</v>
      </c>
      <c r="BI368" s="27"/>
      <c r="BJ368" s="27"/>
      <c r="BK368" s="27" t="s">
        <v>76</v>
      </c>
      <c r="BL368" s="27"/>
    </row>
    <row r="369" ht="14.25" customHeight="1">
      <c r="A369" s="26" t="s">
        <v>55</v>
      </c>
      <c r="B369" s="26" t="s">
        <v>56</v>
      </c>
      <c r="C369" s="26" t="s">
        <v>57</v>
      </c>
      <c r="D369" s="26" t="s">
        <v>81</v>
      </c>
      <c r="E369" s="27" t="s">
        <v>1310</v>
      </c>
      <c r="F369" s="28" t="s">
        <v>1311</v>
      </c>
      <c r="G369" s="29">
        <v>45054.0</v>
      </c>
      <c r="H369" s="30">
        <v>45054.0</v>
      </c>
      <c r="I369" s="30">
        <v>45419.0</v>
      </c>
      <c r="J369" s="31">
        <v>0.0</v>
      </c>
      <c r="K369" s="26" t="s">
        <v>455</v>
      </c>
      <c r="L369" s="69">
        <v>44994.0</v>
      </c>
      <c r="M369" s="33">
        <v>47200.0</v>
      </c>
      <c r="N369" s="34">
        <v>50364.8</v>
      </c>
      <c r="O369" s="27" t="s">
        <v>76</v>
      </c>
      <c r="P369" s="35" t="s">
        <v>89</v>
      </c>
      <c r="Q369" s="35" t="s">
        <v>108</v>
      </c>
      <c r="R369" s="36">
        <v>45054.0</v>
      </c>
      <c r="S369" s="35" t="s">
        <v>86</v>
      </c>
      <c r="T369" s="35">
        <v>0.0</v>
      </c>
      <c r="U369" s="37" t="s">
        <v>67</v>
      </c>
      <c r="V369" s="38"/>
      <c r="W369" s="38"/>
      <c r="X369" s="27"/>
      <c r="Y369" s="39"/>
      <c r="Z369" s="39"/>
      <c r="AA369" s="39"/>
      <c r="AB369" s="27"/>
      <c r="AC369" s="27">
        <f t="shared" si="238"/>
        <v>0</v>
      </c>
      <c r="AD369" s="41">
        <f t="shared" si="261"/>
        <v>7080</v>
      </c>
      <c r="AE369" s="42"/>
      <c r="AF369" s="27" t="s">
        <v>1312</v>
      </c>
      <c r="AG369" s="43">
        <f t="shared" si="257"/>
        <v>12106.8</v>
      </c>
      <c r="AH369" s="29"/>
      <c r="AI369" s="29"/>
      <c r="AJ369" s="29"/>
      <c r="AK369" s="29"/>
      <c r="AL369" s="27"/>
      <c r="AM369" s="44"/>
      <c r="AN369" s="68"/>
      <c r="AO369" s="46"/>
      <c r="AP369" s="47"/>
      <c r="AQ369" s="43">
        <f t="shared" si="258"/>
        <v>12744</v>
      </c>
      <c r="AR369" s="43">
        <f t="shared" si="2"/>
        <v>637.2</v>
      </c>
      <c r="AS369" s="43">
        <f t="shared" si="3"/>
        <v>2230.2</v>
      </c>
      <c r="AT369" s="48">
        <f t="shared" si="4"/>
        <v>9876.6</v>
      </c>
      <c r="AU369" s="49">
        <f t="shared" si="259"/>
        <v>9876.6</v>
      </c>
      <c r="AV369" s="48"/>
      <c r="AW369" s="34">
        <f t="shared" si="5"/>
        <v>43284.8</v>
      </c>
      <c r="AX369" s="50">
        <f t="shared" si="248"/>
        <v>2796.6</v>
      </c>
      <c r="AY369" s="43"/>
      <c r="AZ369" s="47"/>
      <c r="BA369" s="48">
        <f t="shared" si="200"/>
        <v>9876.6</v>
      </c>
      <c r="BB369" s="27"/>
      <c r="BC369" s="27"/>
      <c r="BD369" s="51"/>
      <c r="BE369" s="52"/>
      <c r="BF369" s="27"/>
      <c r="BG369" s="53">
        <v>0.0</v>
      </c>
      <c r="BH369" s="53" t="str">
        <f t="shared" ref="BH369:BH371" si="262">'[1]2023'!Q1261</f>
        <v>#REF!</v>
      </c>
      <c r="BI369" s="27"/>
      <c r="BJ369" s="27"/>
      <c r="BK369" s="27" t="s">
        <v>76</v>
      </c>
      <c r="BL369" s="27"/>
    </row>
    <row r="370" ht="14.25" customHeight="1">
      <c r="A370" s="26" t="s">
        <v>55</v>
      </c>
      <c r="B370" s="26" t="s">
        <v>56</v>
      </c>
      <c r="C370" s="26" t="s">
        <v>57</v>
      </c>
      <c r="D370" s="26" t="s">
        <v>81</v>
      </c>
      <c r="E370" s="27" t="s">
        <v>1313</v>
      </c>
      <c r="F370" s="28" t="s">
        <v>1314</v>
      </c>
      <c r="G370" s="29">
        <v>45055.0</v>
      </c>
      <c r="H370" s="30">
        <v>45055.0</v>
      </c>
      <c r="I370" s="30">
        <v>45420.0</v>
      </c>
      <c r="J370" s="31">
        <v>0.0</v>
      </c>
      <c r="K370" s="26" t="s">
        <v>475</v>
      </c>
      <c r="L370" s="69">
        <v>44994.0</v>
      </c>
      <c r="M370" s="33">
        <v>56050.0</v>
      </c>
      <c r="N370" s="34">
        <v>59779.2</v>
      </c>
      <c r="O370" s="27" t="s">
        <v>76</v>
      </c>
      <c r="P370" s="35" t="s">
        <v>122</v>
      </c>
      <c r="Q370" s="35" t="s">
        <v>90</v>
      </c>
      <c r="R370" s="36">
        <v>45055.0</v>
      </c>
      <c r="S370" s="35" t="s">
        <v>86</v>
      </c>
      <c r="T370" s="35">
        <v>0.0</v>
      </c>
      <c r="U370" s="37" t="s">
        <v>67</v>
      </c>
      <c r="V370" s="38"/>
      <c r="W370" s="38"/>
      <c r="X370" s="27"/>
      <c r="Y370" s="39"/>
      <c r="Z370" s="79" t="s">
        <v>476</v>
      </c>
      <c r="AA370" s="39"/>
      <c r="AB370" s="27"/>
      <c r="AC370" s="27">
        <f t="shared" si="238"/>
        <v>0</v>
      </c>
      <c r="AD370" s="41">
        <f t="shared" si="261"/>
        <v>8407.5</v>
      </c>
      <c r="AE370" s="42"/>
      <c r="AF370" s="27"/>
      <c r="AG370" s="43">
        <f t="shared" si="257"/>
        <v>14376.825</v>
      </c>
      <c r="AH370" s="29"/>
      <c r="AI370" s="29"/>
      <c r="AJ370" s="29"/>
      <c r="AK370" s="29"/>
      <c r="AL370" s="27"/>
      <c r="AM370" s="44"/>
      <c r="AN370" s="68"/>
      <c r="AO370" s="46"/>
      <c r="AP370" s="47"/>
      <c r="AQ370" s="43">
        <f t="shared" si="258"/>
        <v>15133.5</v>
      </c>
      <c r="AR370" s="43">
        <f t="shared" si="2"/>
        <v>756.675</v>
      </c>
      <c r="AS370" s="43">
        <f t="shared" si="3"/>
        <v>2648.3625</v>
      </c>
      <c r="AT370" s="48">
        <f t="shared" si="4"/>
        <v>11728.4625</v>
      </c>
      <c r="AU370" s="49">
        <f t="shared" si="259"/>
        <v>11728.4625</v>
      </c>
      <c r="AV370" s="48"/>
      <c r="AW370" s="34">
        <f t="shared" si="5"/>
        <v>51371.7</v>
      </c>
      <c r="AX370" s="50">
        <f t="shared" si="248"/>
        <v>3320.9625</v>
      </c>
      <c r="AY370" s="43"/>
      <c r="AZ370" s="47"/>
      <c r="BA370" s="48">
        <f t="shared" si="200"/>
        <v>11728.4625</v>
      </c>
      <c r="BB370" s="27"/>
      <c r="BC370" s="27"/>
      <c r="BD370" s="51"/>
      <c r="BE370" s="52"/>
      <c r="BF370" s="27"/>
      <c r="BG370" s="53">
        <v>0.0</v>
      </c>
      <c r="BH370" s="53" t="str">
        <f t="shared" si="262"/>
        <v>#REF!</v>
      </c>
      <c r="BI370" s="27"/>
      <c r="BJ370" s="27"/>
      <c r="BK370" s="27" t="s">
        <v>76</v>
      </c>
      <c r="BL370" s="27"/>
    </row>
    <row r="371" ht="14.25" customHeight="1">
      <c r="A371" s="26" t="s">
        <v>55</v>
      </c>
      <c r="B371" s="26" t="s">
        <v>56</v>
      </c>
      <c r="C371" s="26" t="s">
        <v>57</v>
      </c>
      <c r="D371" s="26" t="s">
        <v>81</v>
      </c>
      <c r="E371" s="27" t="s">
        <v>1315</v>
      </c>
      <c r="F371" s="28" t="s">
        <v>1316</v>
      </c>
      <c r="G371" s="29">
        <v>45055.0</v>
      </c>
      <c r="H371" s="30">
        <v>45055.0</v>
      </c>
      <c r="I371" s="30">
        <v>45420.0</v>
      </c>
      <c r="J371" s="31">
        <v>0.0</v>
      </c>
      <c r="K371" s="26" t="s">
        <v>475</v>
      </c>
      <c r="L371" s="69">
        <v>44994.0</v>
      </c>
      <c r="M371" s="33">
        <v>5209.0</v>
      </c>
      <c r="N371" s="34">
        <v>5683.38</v>
      </c>
      <c r="O371" s="27" t="s">
        <v>76</v>
      </c>
      <c r="P371" s="35" t="s">
        <v>122</v>
      </c>
      <c r="Q371" s="35">
        <v>0.0</v>
      </c>
      <c r="R371" s="36">
        <v>45055.0</v>
      </c>
      <c r="S371" s="35" t="s">
        <v>86</v>
      </c>
      <c r="T371" s="35">
        <v>0.0</v>
      </c>
      <c r="U371" s="37" t="s">
        <v>812</v>
      </c>
      <c r="V371" s="38"/>
      <c r="W371" s="38"/>
      <c r="X371" s="27"/>
      <c r="Y371" s="39"/>
      <c r="Z371" s="39"/>
      <c r="AA371" s="39"/>
      <c r="AB371" s="27"/>
      <c r="AC371" s="27">
        <f t="shared" si="238"/>
        <v>0</v>
      </c>
      <c r="AD371" s="41">
        <f t="shared" si="261"/>
        <v>781.35</v>
      </c>
      <c r="AE371" s="42"/>
      <c r="AF371" s="27"/>
      <c r="AG371" s="43">
        <f t="shared" si="257"/>
        <v>1336.1085</v>
      </c>
      <c r="AH371" s="29"/>
      <c r="AI371" s="29"/>
      <c r="AJ371" s="29"/>
      <c r="AK371" s="29"/>
      <c r="AL371" s="27"/>
      <c r="AM371" s="44"/>
      <c r="AN371" s="68"/>
      <c r="AO371" s="46"/>
      <c r="AP371" s="47"/>
      <c r="AQ371" s="43">
        <f t="shared" si="258"/>
        <v>0</v>
      </c>
      <c r="AR371" s="43">
        <f t="shared" si="2"/>
        <v>0</v>
      </c>
      <c r="AS371" s="43">
        <f t="shared" si="3"/>
        <v>0</v>
      </c>
      <c r="AT371" s="48">
        <f t="shared" si="4"/>
        <v>0</v>
      </c>
      <c r="AU371" s="49">
        <f t="shared" si="259"/>
        <v>0</v>
      </c>
      <c r="AV371" s="48"/>
      <c r="AW371" s="34">
        <f t="shared" si="5"/>
        <v>4902.03</v>
      </c>
      <c r="AX371" s="50">
        <f t="shared" si="248"/>
        <v>554.7585</v>
      </c>
      <c r="AY371" s="43"/>
      <c r="AZ371" s="47"/>
      <c r="BA371" s="48">
        <f t="shared" si="200"/>
        <v>0</v>
      </c>
      <c r="BB371" s="27"/>
      <c r="BC371" s="27"/>
      <c r="BD371" s="51"/>
      <c r="BE371" s="52"/>
      <c r="BF371" s="27"/>
      <c r="BG371" s="53">
        <v>0.0</v>
      </c>
      <c r="BH371" s="53" t="str">
        <f t="shared" si="262"/>
        <v>#REF!</v>
      </c>
      <c r="BI371" s="27"/>
      <c r="BJ371" s="27"/>
      <c r="BK371" s="27" t="s">
        <v>76</v>
      </c>
      <c r="BL371" s="27"/>
    </row>
    <row r="372" ht="14.25" customHeight="1">
      <c r="A372" s="26" t="s">
        <v>55</v>
      </c>
      <c r="B372" s="26" t="s">
        <v>56</v>
      </c>
      <c r="C372" s="26" t="s">
        <v>57</v>
      </c>
      <c r="D372" s="26" t="s">
        <v>81</v>
      </c>
      <c r="E372" s="27" t="s">
        <v>1317</v>
      </c>
      <c r="F372" s="28" t="s">
        <v>1318</v>
      </c>
      <c r="G372" s="29">
        <v>45057.0</v>
      </c>
      <c r="H372" s="30">
        <v>45057.0</v>
      </c>
      <c r="I372" s="30">
        <v>45422.0</v>
      </c>
      <c r="J372" s="31">
        <v>0.0</v>
      </c>
      <c r="K372" s="26" t="s">
        <v>427</v>
      </c>
      <c r="L372" s="32" t="s">
        <v>63</v>
      </c>
      <c r="M372" s="33">
        <v>0.0</v>
      </c>
      <c r="N372" s="34">
        <v>0.0</v>
      </c>
      <c r="O372" s="27" t="s">
        <v>64</v>
      </c>
      <c r="P372" s="35">
        <v>0.0</v>
      </c>
      <c r="Q372" s="35">
        <v>0.0</v>
      </c>
      <c r="R372" s="36">
        <v>45057.0</v>
      </c>
      <c r="S372" s="35" t="s">
        <v>86</v>
      </c>
      <c r="T372" s="35">
        <v>0.0</v>
      </c>
      <c r="U372" s="37" t="s">
        <v>67</v>
      </c>
      <c r="V372" s="38"/>
      <c r="W372" s="38"/>
      <c r="X372" s="27"/>
      <c r="Y372" s="39"/>
      <c r="Z372" s="39"/>
      <c r="AA372" s="39"/>
      <c r="AB372" s="40"/>
      <c r="AC372" s="27">
        <f t="shared" si="238"/>
        <v>0</v>
      </c>
      <c r="AD372" s="41">
        <f t="shared" si="261"/>
        <v>0</v>
      </c>
      <c r="AE372" s="42"/>
      <c r="AF372" s="27"/>
      <c r="AG372" s="43">
        <f t="shared" si="257"/>
        <v>0</v>
      </c>
      <c r="AH372" s="29"/>
      <c r="AI372" s="29"/>
      <c r="AJ372" s="29"/>
      <c r="AK372" s="29"/>
      <c r="AL372" s="27"/>
      <c r="AM372" s="44"/>
      <c r="AN372" s="68"/>
      <c r="AO372" s="46"/>
      <c r="AP372" s="47"/>
      <c r="AQ372" s="43" t="b">
        <f>IF(O372="Paid",IF(U372="Motor Plus",(M372*27%),IF(U372="Motor One",(M372*22%),(IF(U372="Golden",(M372*25%),(IF(U372="Classic",(M372*15%),(IF(U372="Wethaq",(M372*28%),IF(U372="Alwataniya",(M372*21%))*0)))))))))</f>
        <v>0</v>
      </c>
      <c r="AR372" s="43">
        <f t="shared" si="2"/>
        <v>0</v>
      </c>
      <c r="AS372" s="43">
        <f t="shared" si="3"/>
        <v>0</v>
      </c>
      <c r="AT372" s="48">
        <f t="shared" si="4"/>
        <v>0</v>
      </c>
      <c r="AU372" s="49">
        <f t="shared" si="259"/>
        <v>0</v>
      </c>
      <c r="AV372" s="48"/>
      <c r="AW372" s="34">
        <f t="shared" si="5"/>
        <v>0</v>
      </c>
      <c r="AX372" s="50">
        <f t="shared" si="248"/>
        <v>0</v>
      </c>
      <c r="AY372" s="43"/>
      <c r="AZ372" s="43"/>
      <c r="BA372" s="48">
        <f t="shared" si="200"/>
        <v>0</v>
      </c>
      <c r="BB372" s="27"/>
      <c r="BC372" s="27"/>
      <c r="BD372" s="51"/>
      <c r="BE372" s="52"/>
      <c r="BF372" s="27" t="s">
        <v>1317</v>
      </c>
      <c r="BG372" s="53">
        <v>0.0</v>
      </c>
      <c r="BH372" s="53" t="str">
        <f>'[1]2023'!Q902</f>
        <v>#REF!</v>
      </c>
      <c r="BI372" s="27"/>
      <c r="BJ372" s="27"/>
      <c r="BK372" s="27" t="s">
        <v>64</v>
      </c>
      <c r="BL372" s="27"/>
    </row>
    <row r="373" ht="14.25" customHeight="1">
      <c r="A373" s="26" t="s">
        <v>68</v>
      </c>
      <c r="B373" s="26" t="s">
        <v>56</v>
      </c>
      <c r="C373" s="26" t="s">
        <v>57</v>
      </c>
      <c r="D373" s="26" t="s">
        <v>71</v>
      </c>
      <c r="E373" s="27" t="s">
        <v>1319</v>
      </c>
      <c r="F373" s="28" t="s">
        <v>1320</v>
      </c>
      <c r="G373" s="29">
        <v>45057.0</v>
      </c>
      <c r="H373" s="30">
        <v>45057.0</v>
      </c>
      <c r="I373" s="30">
        <v>45422.0</v>
      </c>
      <c r="J373" s="31" t="s">
        <v>1321</v>
      </c>
      <c r="K373" s="26" t="s">
        <v>427</v>
      </c>
      <c r="L373" s="32" t="s">
        <v>487</v>
      </c>
      <c r="M373" s="33">
        <v>18701.92</v>
      </c>
      <c r="N373" s="34">
        <v>20000.0</v>
      </c>
      <c r="O373" s="27" t="s">
        <v>76</v>
      </c>
      <c r="P373" s="35" t="s">
        <v>162</v>
      </c>
      <c r="Q373" s="35" t="s">
        <v>114</v>
      </c>
      <c r="R373" s="36">
        <v>45076.0</v>
      </c>
      <c r="S373" s="35" t="s">
        <v>78</v>
      </c>
      <c r="T373" s="54" t="s">
        <v>1322</v>
      </c>
      <c r="U373" s="37" t="s">
        <v>68</v>
      </c>
      <c r="V373" s="38">
        <v>1250000.0</v>
      </c>
      <c r="W373" s="38"/>
      <c r="X373" s="27"/>
      <c r="Y373" s="39"/>
      <c r="Z373" s="79" t="s">
        <v>1323</v>
      </c>
      <c r="AA373" s="39"/>
      <c r="AB373" s="27"/>
      <c r="AC373" s="27">
        <f t="shared" si="238"/>
        <v>0</v>
      </c>
      <c r="AD373" s="41"/>
      <c r="AE373" s="42"/>
      <c r="AF373" s="27"/>
      <c r="AG373" s="43">
        <f>M373*23%-((M373*23%))*5%</f>
        <v>4086.36952</v>
      </c>
      <c r="AH373" s="29"/>
      <c r="AI373" s="29" t="s">
        <v>1324</v>
      </c>
      <c r="AJ373" s="97">
        <v>0.23</v>
      </c>
      <c r="AK373" s="29" t="s">
        <v>1325</v>
      </c>
      <c r="AL373" s="27"/>
      <c r="AM373" s="44"/>
      <c r="AN373" s="68"/>
      <c r="AO373" s="135">
        <f>N373*15%</f>
        <v>3000</v>
      </c>
      <c r="AP373" s="47" t="s">
        <v>75</v>
      </c>
      <c r="AQ373" s="43">
        <f>M373*AJ373</f>
        <v>4301.4416</v>
      </c>
      <c r="AR373" s="43">
        <f t="shared" si="2"/>
        <v>215.07208</v>
      </c>
      <c r="AS373" s="43">
        <f t="shared" si="3"/>
        <v>752.75228</v>
      </c>
      <c r="AT373" s="48">
        <f t="shared" si="4"/>
        <v>3333.61724</v>
      </c>
      <c r="AU373" s="49">
        <f t="shared" si="259"/>
        <v>333.61724</v>
      </c>
      <c r="AV373" s="48"/>
      <c r="AW373" s="34">
        <f t="shared" si="5"/>
        <v>20000</v>
      </c>
      <c r="AX373" s="113">
        <f t="shared" si="248"/>
        <v>333.61724</v>
      </c>
      <c r="AY373" s="43"/>
      <c r="AZ373" s="47"/>
      <c r="BA373" s="48">
        <f t="shared" si="200"/>
        <v>-2666.38276</v>
      </c>
      <c r="BB373" s="27"/>
      <c r="BC373" s="27"/>
      <c r="BD373" s="51"/>
      <c r="BE373" s="52"/>
      <c r="BF373" s="27"/>
      <c r="BG373" s="53">
        <v>0.0</v>
      </c>
      <c r="BH373" s="53" t="str">
        <f>'[1]2023'!Q1242</f>
        <v>#REF!</v>
      </c>
      <c r="BI373" s="27"/>
      <c r="BJ373" s="27"/>
      <c r="BK373" s="27" t="s">
        <v>76</v>
      </c>
      <c r="BL373" s="27"/>
    </row>
    <row r="374" ht="14.25" customHeight="1">
      <c r="A374" s="26" t="s">
        <v>55</v>
      </c>
      <c r="B374" s="26" t="s">
        <v>56</v>
      </c>
      <c r="C374" s="26" t="s">
        <v>57</v>
      </c>
      <c r="D374" s="26" t="s">
        <v>81</v>
      </c>
      <c r="E374" s="27" t="s">
        <v>1326</v>
      </c>
      <c r="F374" s="28" t="s">
        <v>1327</v>
      </c>
      <c r="G374" s="29" t="s">
        <v>1328</v>
      </c>
      <c r="H374" s="30">
        <v>45060.0</v>
      </c>
      <c r="I374" s="30">
        <v>45425.0</v>
      </c>
      <c r="J374" s="31">
        <v>0.0</v>
      </c>
      <c r="K374" s="26" t="s">
        <v>427</v>
      </c>
      <c r="L374" s="32" t="s">
        <v>305</v>
      </c>
      <c r="M374" s="33">
        <v>16815.0</v>
      </c>
      <c r="N374" s="34">
        <v>17948.09</v>
      </c>
      <c r="O374" s="27" t="s">
        <v>76</v>
      </c>
      <c r="P374" s="35" t="s">
        <v>142</v>
      </c>
      <c r="Q374" s="35" t="s">
        <v>90</v>
      </c>
      <c r="R374" s="36" t="e">
        <v>#VALUE!</v>
      </c>
      <c r="S374" s="35" t="s">
        <v>86</v>
      </c>
      <c r="T374" s="35">
        <v>0.0</v>
      </c>
      <c r="U374" s="37" t="s">
        <v>67</v>
      </c>
      <c r="V374" s="38"/>
      <c r="W374" s="38"/>
      <c r="X374" s="27"/>
      <c r="Y374" s="39"/>
      <c r="Z374" s="79" t="s">
        <v>208</v>
      </c>
      <c r="AA374" s="39"/>
      <c r="AB374" s="40"/>
      <c r="AC374" s="27">
        <f t="shared" si="238"/>
        <v>0</v>
      </c>
      <c r="AD374" s="41">
        <f t="shared" ref="AD374:AD375" si="263">IF(AND(S374="0",O374="Paid"),M374*15%,0)</f>
        <v>2522.25</v>
      </c>
      <c r="AE374" s="42"/>
      <c r="AF374" s="27" t="s">
        <v>306</v>
      </c>
      <c r="AG374" s="43">
        <f t="shared" ref="AG374:AG376" si="264">IF(O374="Paid",IF(A374="Alwataniya",(M374*21%)-((M374*21%)*5%),IF((A374="GIG"),(M374*25%)-((M374*25%)*5%),IF((A374="Allianz"),(M374*27%)-((M374*27%)*5%),0))),0)</f>
        <v>4313.0475</v>
      </c>
      <c r="AH374" s="29"/>
      <c r="AI374" s="29"/>
      <c r="AJ374" s="29"/>
      <c r="AK374" s="29"/>
      <c r="AL374" s="27"/>
      <c r="AM374" s="44"/>
      <c r="AN374" s="115"/>
      <c r="AO374" s="46"/>
      <c r="AP374" s="47"/>
      <c r="AQ374" s="43">
        <f t="shared" ref="AQ374:AQ376" si="265">IF(U374="Motor Plus",(M374*27%),IF(U374="Motor One",(M374*22%),(IF(U374="Golden",(M374*25%),(IF(U374="Classic",(M374*15%),(IF(U374="Wethaq",(M374*28%),IF(U374="Alwataniya",(M374*21%))*0))))))))</f>
        <v>4540.05</v>
      </c>
      <c r="AR374" s="43">
        <f t="shared" si="2"/>
        <v>227.0025</v>
      </c>
      <c r="AS374" s="43">
        <f t="shared" si="3"/>
        <v>794.50875</v>
      </c>
      <c r="AT374" s="48">
        <f t="shared" si="4"/>
        <v>3518.53875</v>
      </c>
      <c r="AU374" s="49">
        <f t="shared" ref="AU374:AU386" si="266">AQ374-AR374-AS374-AC374</f>
        <v>3518.53875</v>
      </c>
      <c r="AV374" s="48"/>
      <c r="AW374" s="82">
        <f t="shared" si="5"/>
        <v>15425.84</v>
      </c>
      <c r="AX374" s="50">
        <f t="shared" si="248"/>
        <v>996.28875</v>
      </c>
      <c r="AY374" s="43"/>
      <c r="AZ374" s="43"/>
      <c r="BA374" s="48">
        <f t="shared" si="200"/>
        <v>3518.53875</v>
      </c>
      <c r="BB374" s="27"/>
      <c r="BC374" s="27"/>
      <c r="BD374" s="51"/>
      <c r="BE374" s="52"/>
      <c r="BF374" s="27" t="s">
        <v>1326</v>
      </c>
      <c r="BG374" s="53">
        <v>0.0</v>
      </c>
      <c r="BH374" s="53" t="str">
        <f>'[1]2023'!Q542</f>
        <v>#REF!</v>
      </c>
      <c r="BI374" s="27"/>
      <c r="BJ374" s="27"/>
      <c r="BK374" s="27" t="s">
        <v>76</v>
      </c>
      <c r="BL374" s="27"/>
    </row>
    <row r="375" ht="14.25" customHeight="1">
      <c r="A375" s="26" t="s">
        <v>55</v>
      </c>
      <c r="B375" s="26" t="s">
        <v>56</v>
      </c>
      <c r="C375" s="26" t="s">
        <v>57</v>
      </c>
      <c r="D375" s="26" t="s">
        <v>58</v>
      </c>
      <c r="E375" s="27" t="s">
        <v>1329</v>
      </c>
      <c r="F375" s="28" t="s">
        <v>1330</v>
      </c>
      <c r="G375" s="29" t="s">
        <v>1328</v>
      </c>
      <c r="H375" s="30">
        <v>45060.0</v>
      </c>
      <c r="I375" s="30">
        <v>45425.0</v>
      </c>
      <c r="J375" s="31" t="s">
        <v>1331</v>
      </c>
      <c r="K375" s="26" t="s">
        <v>427</v>
      </c>
      <c r="L375" s="32" t="s">
        <v>75</v>
      </c>
      <c r="M375" s="33">
        <v>3618.8</v>
      </c>
      <c r="N375" s="34">
        <v>3832.31</v>
      </c>
      <c r="O375" s="27" t="s">
        <v>76</v>
      </c>
      <c r="P375" s="35" t="s">
        <v>122</v>
      </c>
      <c r="Q375" s="35" t="s">
        <v>90</v>
      </c>
      <c r="R375" s="36" t="e">
        <v>#VALUE!</v>
      </c>
      <c r="S375" s="35" t="s">
        <v>86</v>
      </c>
      <c r="T375" s="35">
        <v>0.0</v>
      </c>
      <c r="U375" s="37" t="s">
        <v>67</v>
      </c>
      <c r="V375" s="38"/>
      <c r="W375" s="38"/>
      <c r="X375" s="27"/>
      <c r="Y375" s="39"/>
      <c r="Z375" s="39"/>
      <c r="AA375" s="39"/>
      <c r="AB375" s="40"/>
      <c r="AC375" s="27">
        <f t="shared" si="238"/>
        <v>0</v>
      </c>
      <c r="AD375" s="41">
        <f t="shared" si="263"/>
        <v>542.82</v>
      </c>
      <c r="AE375" s="42"/>
      <c r="AF375" s="27"/>
      <c r="AG375" s="43">
        <f t="shared" si="264"/>
        <v>928.2222</v>
      </c>
      <c r="AH375" s="29"/>
      <c r="AI375" s="29"/>
      <c r="AJ375" s="29"/>
      <c r="AK375" s="29"/>
      <c r="AL375" s="27"/>
      <c r="AM375" s="44"/>
      <c r="AN375" s="115"/>
      <c r="AO375" s="46"/>
      <c r="AP375" s="47"/>
      <c r="AQ375" s="43">
        <f t="shared" si="265"/>
        <v>977.076</v>
      </c>
      <c r="AR375" s="43">
        <f t="shared" si="2"/>
        <v>48.8538</v>
      </c>
      <c r="AS375" s="43">
        <f t="shared" si="3"/>
        <v>170.9883</v>
      </c>
      <c r="AT375" s="48">
        <f t="shared" si="4"/>
        <v>757.2339</v>
      </c>
      <c r="AU375" s="49">
        <f t="shared" si="266"/>
        <v>757.2339</v>
      </c>
      <c r="AV375" s="48"/>
      <c r="AW375" s="34">
        <f t="shared" si="5"/>
        <v>3289.49</v>
      </c>
      <c r="AX375" s="50">
        <f t="shared" si="248"/>
        <v>214.4139</v>
      </c>
      <c r="AY375" s="43"/>
      <c r="AZ375" s="43"/>
      <c r="BA375" s="48">
        <f t="shared" si="200"/>
        <v>757.2339</v>
      </c>
      <c r="BB375" s="27"/>
      <c r="BC375" s="27"/>
      <c r="BD375" s="51"/>
      <c r="BE375" s="52"/>
      <c r="BF375" s="27" t="s">
        <v>1329</v>
      </c>
      <c r="BG375" s="58" t="s">
        <v>1332</v>
      </c>
      <c r="BH375" s="53" t="str">
        <f>'[1]2023'!Q630</f>
        <v>#REF!</v>
      </c>
      <c r="BI375" s="27"/>
      <c r="BJ375" s="27"/>
      <c r="BK375" s="27" t="s">
        <v>76</v>
      </c>
      <c r="BL375" s="27"/>
    </row>
    <row r="376" ht="14.25" customHeight="1">
      <c r="A376" s="26" t="s">
        <v>55</v>
      </c>
      <c r="B376" s="26" t="s">
        <v>56</v>
      </c>
      <c r="C376" s="26" t="s">
        <v>57</v>
      </c>
      <c r="D376" s="26" t="s">
        <v>58</v>
      </c>
      <c r="E376" s="27" t="s">
        <v>1333</v>
      </c>
      <c r="F376" s="28" t="s">
        <v>1334</v>
      </c>
      <c r="G376" s="29" t="s">
        <v>1328</v>
      </c>
      <c r="H376" s="30">
        <v>45060.0</v>
      </c>
      <c r="I376" s="30">
        <v>45425.0</v>
      </c>
      <c r="J376" s="31" t="s">
        <v>1335</v>
      </c>
      <c r="K376" s="26" t="s">
        <v>427</v>
      </c>
      <c r="L376" s="32" t="s">
        <v>75</v>
      </c>
      <c r="M376" s="33">
        <v>0.0</v>
      </c>
      <c r="N376" s="34">
        <v>3759.14</v>
      </c>
      <c r="O376" s="27" t="s">
        <v>76</v>
      </c>
      <c r="P376" s="35" t="s">
        <v>430</v>
      </c>
      <c r="Q376" s="35" t="s">
        <v>85</v>
      </c>
      <c r="R376" s="36" t="e">
        <v>#VALUE!</v>
      </c>
      <c r="S376" s="35" t="s">
        <v>86</v>
      </c>
      <c r="T376" s="35">
        <v>0.0</v>
      </c>
      <c r="U376" s="37" t="s">
        <v>67</v>
      </c>
      <c r="V376" s="38"/>
      <c r="W376" s="38"/>
      <c r="X376" s="27"/>
      <c r="Y376" s="39"/>
      <c r="Z376" s="39"/>
      <c r="AA376" s="39"/>
      <c r="AB376" s="40"/>
      <c r="AC376" s="27">
        <f t="shared" si="238"/>
        <v>0</v>
      </c>
      <c r="AD376" s="41">
        <f t="shared" ref="AD376:AD378" si="267">IF(AND(S376="0",O376="Paid"),(M376*15%)-AC376,0)</f>
        <v>0</v>
      </c>
      <c r="AE376" s="42"/>
      <c r="AF376" s="27"/>
      <c r="AG376" s="43">
        <f t="shared" si="264"/>
        <v>0</v>
      </c>
      <c r="AH376" s="29"/>
      <c r="AI376" s="29"/>
      <c r="AJ376" s="29"/>
      <c r="AK376" s="29"/>
      <c r="AL376" s="27"/>
      <c r="AM376" s="27"/>
      <c r="AN376" s="93"/>
      <c r="AO376" s="46"/>
      <c r="AP376" s="47"/>
      <c r="AQ376" s="43">
        <f t="shared" si="265"/>
        <v>0</v>
      </c>
      <c r="AR376" s="43">
        <f t="shared" si="2"/>
        <v>0</v>
      </c>
      <c r="AS376" s="43">
        <f t="shared" si="3"/>
        <v>0</v>
      </c>
      <c r="AT376" s="48">
        <f t="shared" si="4"/>
        <v>0</v>
      </c>
      <c r="AU376" s="49">
        <f t="shared" si="266"/>
        <v>0</v>
      </c>
      <c r="AV376" s="48"/>
      <c r="AW376" s="34">
        <f t="shared" si="5"/>
        <v>3759.14</v>
      </c>
      <c r="AX376" s="50">
        <f t="shared" si="248"/>
        <v>0</v>
      </c>
      <c r="AY376" s="43"/>
      <c r="AZ376" s="43"/>
      <c r="BA376" s="48">
        <f t="shared" si="200"/>
        <v>0</v>
      </c>
      <c r="BB376" s="27"/>
      <c r="BC376" s="27"/>
      <c r="BD376" s="51"/>
      <c r="BE376" s="52"/>
      <c r="BF376" s="27" t="s">
        <v>1333</v>
      </c>
      <c r="BG376" s="58" t="s">
        <v>1336</v>
      </c>
      <c r="BH376" s="53" t="str">
        <f>'[1]2023'!Q637</f>
        <v>#REF!</v>
      </c>
      <c r="BI376" s="27"/>
      <c r="BJ376" s="27"/>
      <c r="BK376" s="27" t="s">
        <v>76</v>
      </c>
      <c r="BL376" s="27"/>
    </row>
    <row r="377" ht="14.25" customHeight="1">
      <c r="A377" s="26" t="s">
        <v>68</v>
      </c>
      <c r="B377" s="26" t="s">
        <v>56</v>
      </c>
      <c r="C377" s="26" t="s">
        <v>57</v>
      </c>
      <c r="D377" s="26" t="s">
        <v>71</v>
      </c>
      <c r="E377" s="27" t="s">
        <v>1337</v>
      </c>
      <c r="F377" s="28" t="s">
        <v>1338</v>
      </c>
      <c r="G377" s="29" t="s">
        <v>1328</v>
      </c>
      <c r="H377" s="30">
        <v>45060.0</v>
      </c>
      <c r="I377" s="30">
        <v>45425.0</v>
      </c>
      <c r="J377" s="31" t="s">
        <v>1339</v>
      </c>
      <c r="K377" s="26" t="s">
        <v>427</v>
      </c>
      <c r="L377" s="32" t="s">
        <v>63</v>
      </c>
      <c r="M377" s="33">
        <v>33844.44</v>
      </c>
      <c r="N377" s="34">
        <v>36000.0</v>
      </c>
      <c r="O377" s="27" t="s">
        <v>64</v>
      </c>
      <c r="P377" s="35">
        <v>0.0</v>
      </c>
      <c r="Q377" s="35">
        <v>0.0</v>
      </c>
      <c r="R377" s="36" t="e">
        <v>#VALUE!</v>
      </c>
      <c r="S377" s="35" t="s">
        <v>78</v>
      </c>
      <c r="T377" s="54" t="s">
        <v>510</v>
      </c>
      <c r="U377" s="37">
        <v>0.0</v>
      </c>
      <c r="V377" s="38">
        <v>1800000.0</v>
      </c>
      <c r="W377" s="38"/>
      <c r="X377" s="27"/>
      <c r="Y377" s="39"/>
      <c r="Z377" s="79" t="s">
        <v>1031</v>
      </c>
      <c r="AA377" s="39"/>
      <c r="AB377" s="40"/>
      <c r="AC377" s="27">
        <f t="shared" si="238"/>
        <v>0</v>
      </c>
      <c r="AD377" s="41">
        <f t="shared" si="267"/>
        <v>0</v>
      </c>
      <c r="AE377" s="42"/>
      <c r="AF377" s="27"/>
      <c r="AG377" s="43">
        <f t="shared" ref="AG377:AG379" si="268">IF(O377="Paid",IF(A377="Alwataniya",(M377*21%)-((M377*21%)*5%),IF((A377="GIG"),(M377*25%)-((M377*25%)*5%),IF((A377="Allianz"),(M377*27%)-((M377*27%)*20%),0))),0)</f>
        <v>0</v>
      </c>
      <c r="AH377" s="29"/>
      <c r="AI377" s="29"/>
      <c r="AJ377" s="29"/>
      <c r="AK377" s="29"/>
      <c r="AL377" s="27"/>
      <c r="AM377" s="44"/>
      <c r="AN377" s="95"/>
      <c r="AO377" s="46"/>
      <c r="AP377" s="47"/>
      <c r="AQ377" s="43" t="b">
        <f>IF(O377="Paid",IF(U377="Motor Plus",(M377*27%),IF(U377="Motor One",(M377*22%),(IF(U377="Golden",(M377*25%),(IF(U377="Classic",(M377*15%),(IF(U377="Wethaq",(M377*28%),IF(U377="Alwataniya",(M377*21%))*0)))))))))</f>
        <v>0</v>
      </c>
      <c r="AR377" s="43">
        <f t="shared" si="2"/>
        <v>0</v>
      </c>
      <c r="AS377" s="43">
        <f t="shared" si="3"/>
        <v>0</v>
      </c>
      <c r="AT377" s="48">
        <f t="shared" si="4"/>
        <v>0</v>
      </c>
      <c r="AU377" s="49">
        <f t="shared" si="266"/>
        <v>0</v>
      </c>
      <c r="AV377" s="48"/>
      <c r="AW377" s="34">
        <f t="shared" si="5"/>
        <v>36000</v>
      </c>
      <c r="AX377" s="50">
        <f t="shared" si="248"/>
        <v>0</v>
      </c>
      <c r="AY377" s="43"/>
      <c r="AZ377" s="43"/>
      <c r="BA377" s="48">
        <f t="shared" si="200"/>
        <v>0</v>
      </c>
      <c r="BB377" s="27"/>
      <c r="BC377" s="27"/>
      <c r="BD377" s="51"/>
      <c r="BE377" s="52"/>
      <c r="BF377" s="27" t="s">
        <v>1337</v>
      </c>
      <c r="BG377" s="58" t="s">
        <v>562</v>
      </c>
      <c r="BH377" s="53" t="str">
        <f>'[1]2023'!Q641</f>
        <v>#REF!</v>
      </c>
      <c r="BI377" s="27"/>
      <c r="BJ377" s="27"/>
      <c r="BK377" s="27" t="s">
        <v>64</v>
      </c>
      <c r="BL377" s="27"/>
    </row>
    <row r="378" ht="14.25" customHeight="1">
      <c r="A378" s="26" t="s">
        <v>111</v>
      </c>
      <c r="B378" s="26" t="s">
        <v>56</v>
      </c>
      <c r="C378" s="26" t="s">
        <v>57</v>
      </c>
      <c r="D378" s="26" t="s">
        <v>71</v>
      </c>
      <c r="E378" s="27" t="s">
        <v>1340</v>
      </c>
      <c r="F378" s="28" t="s">
        <v>1341</v>
      </c>
      <c r="G378" s="29" t="s">
        <v>1328</v>
      </c>
      <c r="H378" s="30">
        <v>45060.0</v>
      </c>
      <c r="I378" s="30">
        <v>45425.0</v>
      </c>
      <c r="J378" s="31" t="s">
        <v>1342</v>
      </c>
      <c r="K378" s="26" t="s">
        <v>427</v>
      </c>
      <c r="L378" s="32" t="s">
        <v>75</v>
      </c>
      <c r="M378" s="33">
        <v>20627.2</v>
      </c>
      <c r="N378" s="34">
        <v>22100.0</v>
      </c>
      <c r="O378" s="27" t="s">
        <v>76</v>
      </c>
      <c r="P378" s="35" t="s">
        <v>89</v>
      </c>
      <c r="Q378" s="35" t="s">
        <v>114</v>
      </c>
      <c r="R378" s="36" t="e">
        <v>#VALUE!</v>
      </c>
      <c r="S378" s="35" t="s">
        <v>66</v>
      </c>
      <c r="T378" s="35">
        <v>0.0</v>
      </c>
      <c r="U378" s="37" t="s">
        <v>115</v>
      </c>
      <c r="V378" s="38">
        <v>850000.0</v>
      </c>
      <c r="W378" s="38"/>
      <c r="X378" s="27"/>
      <c r="Y378" s="39"/>
      <c r="Z378" s="79" t="s">
        <v>671</v>
      </c>
      <c r="AA378" s="39"/>
      <c r="AB378" s="40"/>
      <c r="AC378" s="27">
        <f t="shared" si="238"/>
        <v>0</v>
      </c>
      <c r="AD378" s="41">
        <f t="shared" si="267"/>
        <v>0</v>
      </c>
      <c r="AE378" s="42"/>
      <c r="AF378" s="27"/>
      <c r="AG378" s="43">
        <f t="shared" si="268"/>
        <v>4898.96</v>
      </c>
      <c r="AH378" s="29" t="s">
        <v>1343</v>
      </c>
      <c r="AI378" s="61" t="s">
        <v>1344</v>
      </c>
      <c r="AJ378" s="40"/>
      <c r="AK378" s="62" t="s">
        <v>63</v>
      </c>
      <c r="AL378" s="27"/>
      <c r="AM378" s="121">
        <f>((M378*25%)-((M378*25%)*22.5%))*30%</f>
        <v>1198.956</v>
      </c>
      <c r="AN378" s="122" t="s">
        <v>1038</v>
      </c>
      <c r="AO378" s="48"/>
      <c r="AP378" s="47"/>
      <c r="AQ378" s="43">
        <f t="shared" ref="AQ378:AQ381" si="269">IF(U378="Motor Plus",(M378*27%),IF(U378="Motor One",(M378*22%),(IF(U378="Golden",(M378*25%),(IF(U378="Classic",(M378*15%),(IF(U378="Wethaq",(M378*28%),IF(U378="Alwataniya",(M378*21%))*0))))))))</f>
        <v>5156.8</v>
      </c>
      <c r="AR378" s="43">
        <f t="shared" si="2"/>
        <v>257.84</v>
      </c>
      <c r="AS378" s="43">
        <f t="shared" si="3"/>
        <v>902.44</v>
      </c>
      <c r="AT378" s="48">
        <f t="shared" si="4"/>
        <v>3996.52</v>
      </c>
      <c r="AU378" s="49">
        <f t="shared" si="266"/>
        <v>3996.52</v>
      </c>
      <c r="AV378" s="48"/>
      <c r="AW378" s="34">
        <f t="shared" si="5"/>
        <v>22100</v>
      </c>
      <c r="AX378" s="113">
        <f t="shared" si="248"/>
        <v>2797.564</v>
      </c>
      <c r="AY378" s="43"/>
      <c r="AZ378" s="43"/>
      <c r="BA378" s="48">
        <f t="shared" si="200"/>
        <v>2797.564</v>
      </c>
      <c r="BB378" s="27"/>
      <c r="BC378" s="27"/>
      <c r="BD378" s="51"/>
      <c r="BE378" s="52" t="s">
        <v>440</v>
      </c>
      <c r="BF378" s="27" t="s">
        <v>1340</v>
      </c>
      <c r="BG378" s="58" t="s">
        <v>1345</v>
      </c>
      <c r="BH378" s="53" t="str">
        <f>'[1]2023'!Q643</f>
        <v>#REF!</v>
      </c>
      <c r="BI378" s="27"/>
      <c r="BJ378" s="27"/>
      <c r="BK378" s="27" t="s">
        <v>76</v>
      </c>
      <c r="BL378" s="27"/>
    </row>
    <row r="379" ht="14.25" customHeight="1">
      <c r="A379" s="26" t="s">
        <v>111</v>
      </c>
      <c r="B379" s="26" t="s">
        <v>56</v>
      </c>
      <c r="C379" s="26" t="s">
        <v>57</v>
      </c>
      <c r="D379" s="26" t="s">
        <v>71</v>
      </c>
      <c r="E379" s="27" t="s">
        <v>1346</v>
      </c>
      <c r="F379" s="28" t="s">
        <v>1347</v>
      </c>
      <c r="G379" s="29" t="s">
        <v>1328</v>
      </c>
      <c r="H379" s="30">
        <v>45060.0</v>
      </c>
      <c r="I379" s="30">
        <v>45425.0</v>
      </c>
      <c r="J379" s="31" t="s">
        <v>1348</v>
      </c>
      <c r="K379" s="26" t="s">
        <v>427</v>
      </c>
      <c r="L379" s="32" t="s">
        <v>1349</v>
      </c>
      <c r="M379" s="33">
        <v>120060.62</v>
      </c>
      <c r="N379" s="34">
        <v>127400.0</v>
      </c>
      <c r="O379" s="27" t="s">
        <v>76</v>
      </c>
      <c r="P379" s="35" t="s">
        <v>142</v>
      </c>
      <c r="Q379" s="35" t="s">
        <v>108</v>
      </c>
      <c r="R379" s="36" t="e">
        <v>#VALUE!</v>
      </c>
      <c r="S379" s="35" t="s">
        <v>86</v>
      </c>
      <c r="T379" s="35">
        <v>0.0</v>
      </c>
      <c r="U379" s="37" t="s">
        <v>115</v>
      </c>
      <c r="V379" s="38">
        <v>4900000.0</v>
      </c>
      <c r="W379" s="38"/>
      <c r="X379" s="27"/>
      <c r="Y379" s="39"/>
      <c r="Z379" s="79" t="s">
        <v>1350</v>
      </c>
      <c r="AA379" s="39"/>
      <c r="AB379" s="40"/>
      <c r="AC379" s="27">
        <f t="shared" si="238"/>
        <v>0</v>
      </c>
      <c r="AD379" s="41">
        <f t="shared" ref="AD379:AD380" si="270">IF(AND(S379="0",O379="Paid"),M379*15%,0)</f>
        <v>18009.093</v>
      </c>
      <c r="AE379" s="42">
        <v>2400.0</v>
      </c>
      <c r="AF379" s="27" t="s">
        <v>1349</v>
      </c>
      <c r="AG379" s="43">
        <f t="shared" si="268"/>
        <v>28514.39725</v>
      </c>
      <c r="AH379" s="29" t="s">
        <v>1351</v>
      </c>
      <c r="AI379" s="61" t="s">
        <v>1344</v>
      </c>
      <c r="AJ379" s="40"/>
      <c r="AK379" s="62" t="s">
        <v>63</v>
      </c>
      <c r="AL379" s="27"/>
      <c r="AM379" s="44"/>
      <c r="AN379" s="115"/>
      <c r="AO379" s="46"/>
      <c r="AP379" s="47"/>
      <c r="AQ379" s="43">
        <f t="shared" si="269"/>
        <v>30015.155</v>
      </c>
      <c r="AR379" s="43">
        <f t="shared" si="2"/>
        <v>1500.75775</v>
      </c>
      <c r="AS379" s="43">
        <f t="shared" si="3"/>
        <v>5252.652125</v>
      </c>
      <c r="AT379" s="48">
        <f t="shared" si="4"/>
        <v>23261.74513</v>
      </c>
      <c r="AU379" s="49">
        <f t="shared" si="266"/>
        <v>23261.74513</v>
      </c>
      <c r="AV379" s="48"/>
      <c r="AW379" s="34">
        <f t="shared" si="5"/>
        <v>106990.907</v>
      </c>
      <c r="AX379" s="50">
        <f t="shared" si="248"/>
        <v>2852.652125</v>
      </c>
      <c r="AY379" s="43"/>
      <c r="AZ379" s="43"/>
      <c r="BA379" s="48">
        <f t="shared" si="200"/>
        <v>23261.74513</v>
      </c>
      <c r="BB379" s="27"/>
      <c r="BC379" s="27"/>
      <c r="BD379" s="51"/>
      <c r="BE379" s="52"/>
      <c r="BF379" s="27" t="s">
        <v>1346</v>
      </c>
      <c r="BG379" s="58" t="s">
        <v>562</v>
      </c>
      <c r="BH379" s="53" t="str">
        <f>'[1]2023'!Q646</f>
        <v>#REF!</v>
      </c>
      <c r="BI379" s="27"/>
      <c r="BJ379" s="27"/>
      <c r="BK379" s="27" t="s">
        <v>76</v>
      </c>
      <c r="BL379" s="64" t="s">
        <v>998</v>
      </c>
    </row>
    <row r="380" ht="14.25" customHeight="1">
      <c r="A380" s="26" t="s">
        <v>55</v>
      </c>
      <c r="B380" s="26" t="s">
        <v>56</v>
      </c>
      <c r="C380" s="26" t="s">
        <v>57</v>
      </c>
      <c r="D380" s="26" t="s">
        <v>81</v>
      </c>
      <c r="E380" s="27" t="s">
        <v>1352</v>
      </c>
      <c r="F380" s="28" t="s">
        <v>1353</v>
      </c>
      <c r="G380" s="29" t="s">
        <v>1328</v>
      </c>
      <c r="H380" s="30">
        <v>45060.0</v>
      </c>
      <c r="I380" s="30">
        <v>45425.0</v>
      </c>
      <c r="J380" s="31">
        <v>0.0</v>
      </c>
      <c r="K380" s="26" t="s">
        <v>427</v>
      </c>
      <c r="L380" s="32" t="s">
        <v>75</v>
      </c>
      <c r="M380" s="33">
        <v>29500.0</v>
      </c>
      <c r="N380" s="34">
        <v>31381.5</v>
      </c>
      <c r="O380" s="27" t="s">
        <v>76</v>
      </c>
      <c r="P380" s="35" t="s">
        <v>430</v>
      </c>
      <c r="Q380" s="35" t="s">
        <v>85</v>
      </c>
      <c r="R380" s="36" t="e">
        <v>#VALUE!</v>
      </c>
      <c r="S380" s="35" t="s">
        <v>86</v>
      </c>
      <c r="T380" s="35">
        <v>0.0</v>
      </c>
      <c r="U380" s="37" t="s">
        <v>67</v>
      </c>
      <c r="V380" s="38"/>
      <c r="W380" s="38"/>
      <c r="X380" s="27"/>
      <c r="Y380" s="39"/>
      <c r="Z380" s="39"/>
      <c r="AA380" s="39"/>
      <c r="AB380" s="40"/>
      <c r="AC380" s="27">
        <f t="shared" si="238"/>
        <v>0</v>
      </c>
      <c r="AD380" s="41">
        <f t="shared" si="270"/>
        <v>4425</v>
      </c>
      <c r="AE380" s="42"/>
      <c r="AF380" s="94">
        <v>45052.0</v>
      </c>
      <c r="AG380" s="43">
        <f t="shared" ref="AG380:AG381" si="271">IF(O380="Paid",IF(A380="Alwataniya",(M380*21%)-((M380*21%)*5%),IF((A380="GIG"),(M380*25%)-((M380*25%)*5%),IF((A380="Allianz"),(M380*27%)-((M380*27%)*5%),0))),0)</f>
        <v>7566.75</v>
      </c>
      <c r="AH380" s="29"/>
      <c r="AI380" s="29"/>
      <c r="AJ380" s="29"/>
      <c r="AK380" s="29"/>
      <c r="AL380" s="27"/>
      <c r="AM380" s="44"/>
      <c r="AN380" s="115"/>
      <c r="AO380" s="46"/>
      <c r="AP380" s="47"/>
      <c r="AQ380" s="43">
        <f t="shared" si="269"/>
        <v>7965</v>
      </c>
      <c r="AR380" s="43">
        <f t="shared" si="2"/>
        <v>398.25</v>
      </c>
      <c r="AS380" s="43">
        <f t="shared" si="3"/>
        <v>1393.875</v>
      </c>
      <c r="AT380" s="48">
        <f t="shared" si="4"/>
        <v>6172.875</v>
      </c>
      <c r="AU380" s="49">
        <f t="shared" si="266"/>
        <v>6172.875</v>
      </c>
      <c r="AV380" s="48"/>
      <c r="AW380" s="34">
        <f t="shared" si="5"/>
        <v>26956.5</v>
      </c>
      <c r="AX380" s="50">
        <f t="shared" si="248"/>
        <v>1747.875</v>
      </c>
      <c r="AY380" s="43"/>
      <c r="AZ380" s="43"/>
      <c r="BA380" s="48">
        <f t="shared" si="200"/>
        <v>6172.875</v>
      </c>
      <c r="BB380" s="27"/>
      <c r="BC380" s="27"/>
      <c r="BD380" s="51"/>
      <c r="BE380" s="52"/>
      <c r="BF380" s="27" t="s">
        <v>1352</v>
      </c>
      <c r="BG380" s="53">
        <v>0.0</v>
      </c>
      <c r="BH380" s="53" t="str">
        <f>'[1]2023'!Q648</f>
        <v>#REF!</v>
      </c>
      <c r="BI380" s="27"/>
      <c r="BJ380" s="27"/>
      <c r="BK380" s="27" t="s">
        <v>76</v>
      </c>
      <c r="BL380" s="27"/>
    </row>
    <row r="381" ht="14.25" customHeight="1">
      <c r="A381" s="26" t="s">
        <v>55</v>
      </c>
      <c r="B381" s="26" t="s">
        <v>1099</v>
      </c>
      <c r="C381" s="26" t="s">
        <v>57</v>
      </c>
      <c r="D381" s="26" t="s">
        <v>71</v>
      </c>
      <c r="E381" s="27" t="s">
        <v>1354</v>
      </c>
      <c r="F381" s="28" t="s">
        <v>1355</v>
      </c>
      <c r="G381" s="29" t="s">
        <v>1328</v>
      </c>
      <c r="H381" s="30">
        <v>45060.0</v>
      </c>
      <c r="I381" s="30">
        <v>45425.0</v>
      </c>
      <c r="J381" s="31">
        <v>0.0</v>
      </c>
      <c r="K381" s="26" t="s">
        <v>427</v>
      </c>
      <c r="L381" s="32" t="s">
        <v>75</v>
      </c>
      <c r="M381" s="33">
        <v>0.0</v>
      </c>
      <c r="N381" s="34">
        <v>12723.0</v>
      </c>
      <c r="O381" s="27" t="s">
        <v>76</v>
      </c>
      <c r="P381" s="35" t="s">
        <v>89</v>
      </c>
      <c r="Q381" s="35">
        <v>0.0</v>
      </c>
      <c r="R381" s="36" t="e">
        <v>#VALUE!</v>
      </c>
      <c r="S381" s="35" t="s">
        <v>66</v>
      </c>
      <c r="T381" s="35">
        <v>0.0</v>
      </c>
      <c r="U381" s="37" t="s">
        <v>1099</v>
      </c>
      <c r="V381" s="38"/>
      <c r="W381" s="38"/>
      <c r="X381" s="27"/>
      <c r="Y381" s="39"/>
      <c r="Z381" s="39"/>
      <c r="AA381" s="39"/>
      <c r="AB381" s="40"/>
      <c r="AC381" s="27">
        <f t="shared" si="238"/>
        <v>0</v>
      </c>
      <c r="AD381" s="41">
        <f t="shared" ref="AD381:AD385" si="272">IF(AND(S381="0",O381="Paid"),(M381*15%)-AC381,0)</f>
        <v>0</v>
      </c>
      <c r="AE381" s="42"/>
      <c r="AF381" s="27"/>
      <c r="AG381" s="43">
        <f t="shared" si="271"/>
        <v>0</v>
      </c>
      <c r="AH381" s="29"/>
      <c r="AI381" s="29"/>
      <c r="AJ381" s="29"/>
      <c r="AK381" s="29"/>
      <c r="AL381" s="27"/>
      <c r="AM381" s="44"/>
      <c r="AN381" s="115"/>
      <c r="AO381" s="46"/>
      <c r="AP381" s="47"/>
      <c r="AQ381" s="43">
        <f t="shared" si="269"/>
        <v>0</v>
      </c>
      <c r="AR381" s="43">
        <f t="shared" si="2"/>
        <v>0</v>
      </c>
      <c r="AS381" s="43">
        <f t="shared" si="3"/>
        <v>0</v>
      </c>
      <c r="AT381" s="48">
        <f t="shared" si="4"/>
        <v>0</v>
      </c>
      <c r="AU381" s="49">
        <f t="shared" si="266"/>
        <v>0</v>
      </c>
      <c r="AV381" s="48"/>
      <c r="AW381" s="34">
        <f t="shared" si="5"/>
        <v>12723</v>
      </c>
      <c r="AX381" s="50">
        <f t="shared" si="248"/>
        <v>0</v>
      </c>
      <c r="AY381" s="43"/>
      <c r="AZ381" s="43"/>
      <c r="BA381" s="48">
        <f t="shared" si="200"/>
        <v>0</v>
      </c>
      <c r="BB381" s="27"/>
      <c r="BC381" s="27"/>
      <c r="BD381" s="51"/>
      <c r="BE381" s="52"/>
      <c r="BF381" s="27" t="s">
        <v>1354</v>
      </c>
      <c r="BG381" s="58" t="s">
        <v>1356</v>
      </c>
      <c r="BH381" s="53" t="str">
        <f>'[1]2023'!Q657</f>
        <v>#REF!</v>
      </c>
      <c r="BI381" s="27"/>
      <c r="BJ381" s="27"/>
      <c r="BK381" s="27" t="s">
        <v>76</v>
      </c>
      <c r="BL381" s="27"/>
    </row>
    <row r="382" ht="14.25" customHeight="1">
      <c r="A382" s="26" t="s">
        <v>111</v>
      </c>
      <c r="B382" s="26" t="s">
        <v>56</v>
      </c>
      <c r="C382" s="26" t="s">
        <v>57</v>
      </c>
      <c r="D382" s="26" t="s">
        <v>71</v>
      </c>
      <c r="E382" s="27" t="s">
        <v>1357</v>
      </c>
      <c r="F382" s="28" t="s">
        <v>1358</v>
      </c>
      <c r="G382" s="29" t="s">
        <v>1328</v>
      </c>
      <c r="H382" s="30">
        <v>45060.0</v>
      </c>
      <c r="I382" s="30">
        <v>45425.0</v>
      </c>
      <c r="J382" s="31" t="s">
        <v>1359</v>
      </c>
      <c r="K382" s="26" t="s">
        <v>475</v>
      </c>
      <c r="L382" s="32" t="s">
        <v>63</v>
      </c>
      <c r="M382" s="33">
        <v>10003.97</v>
      </c>
      <c r="N382" s="34">
        <v>10850.0</v>
      </c>
      <c r="O382" s="27" t="s">
        <v>64</v>
      </c>
      <c r="P382" s="35">
        <v>0.0</v>
      </c>
      <c r="Q382" s="35" t="s">
        <v>114</v>
      </c>
      <c r="R382" s="36" t="e">
        <v>#VALUE!</v>
      </c>
      <c r="S382" s="35" t="s">
        <v>86</v>
      </c>
      <c r="T382" s="35">
        <v>0.0</v>
      </c>
      <c r="U382" s="37" t="s">
        <v>149</v>
      </c>
      <c r="V382" s="38">
        <v>500000.0</v>
      </c>
      <c r="W382" s="38"/>
      <c r="X382" s="27"/>
      <c r="Y382" s="39"/>
      <c r="Z382" s="79" t="s">
        <v>1360</v>
      </c>
      <c r="AA382" s="39"/>
      <c r="AB382" s="40"/>
      <c r="AC382" s="27">
        <f t="shared" si="238"/>
        <v>0</v>
      </c>
      <c r="AD382" s="41">
        <f t="shared" si="272"/>
        <v>0</v>
      </c>
      <c r="AE382" s="42"/>
      <c r="AF382" s="27"/>
      <c r="AG382" s="43">
        <f>IF(AND(O382="Paid",A382="GIG"),((M382*15%)-(((M382*15%)*5%))),0)</f>
        <v>0</v>
      </c>
      <c r="AH382" s="29"/>
      <c r="AI382" s="29"/>
      <c r="AJ382" s="29"/>
      <c r="AK382" s="29"/>
      <c r="AL382" s="27"/>
      <c r="AM382" s="44"/>
      <c r="AN382" s="115"/>
      <c r="AO382" s="46"/>
      <c r="AP382" s="47"/>
      <c r="AQ382" s="43" t="b">
        <f>IF(O382="Paid",IF(U382="Motor Plus",(M382*27%),IF(U382="Motor One",(M382*22%),(IF(U382="Golden",(M382*25%),(IF(U382="Classic",(M382*15%),(IF(U382="Wethaq",(M382*28%),IF(U382="Alwataniya",(M382*21%))*0)))))))))</f>
        <v>0</v>
      </c>
      <c r="AR382" s="43">
        <f t="shared" si="2"/>
        <v>0</v>
      </c>
      <c r="AS382" s="43">
        <f t="shared" si="3"/>
        <v>0</v>
      </c>
      <c r="AT382" s="48">
        <f t="shared" si="4"/>
        <v>0</v>
      </c>
      <c r="AU382" s="49">
        <f t="shared" si="266"/>
        <v>0</v>
      </c>
      <c r="AV382" s="48"/>
      <c r="AW382" s="34">
        <f t="shared" si="5"/>
        <v>10850</v>
      </c>
      <c r="AX382" s="50">
        <f t="shared" si="248"/>
        <v>0</v>
      </c>
      <c r="AY382" s="43"/>
      <c r="AZ382" s="43"/>
      <c r="BA382" s="48">
        <f t="shared" si="200"/>
        <v>0</v>
      </c>
      <c r="BB382" s="27"/>
      <c r="BC382" s="27"/>
      <c r="BD382" s="51"/>
      <c r="BE382" s="52"/>
      <c r="BF382" s="27" t="s">
        <v>1361</v>
      </c>
      <c r="BG382" s="53">
        <v>0.0</v>
      </c>
      <c r="BH382" s="53" t="str">
        <f>'[1]2023'!Q669</f>
        <v>#REF!</v>
      </c>
      <c r="BI382" s="27"/>
      <c r="BJ382" s="27"/>
      <c r="BK382" s="27" t="s">
        <v>64</v>
      </c>
      <c r="BL382" s="27"/>
    </row>
    <row r="383" ht="14.25" customHeight="1">
      <c r="A383" s="26" t="s">
        <v>55</v>
      </c>
      <c r="B383" s="26" t="s">
        <v>56</v>
      </c>
      <c r="C383" s="26" t="s">
        <v>57</v>
      </c>
      <c r="D383" s="26" t="s">
        <v>58</v>
      </c>
      <c r="E383" s="27" t="s">
        <v>1362</v>
      </c>
      <c r="F383" s="28" t="s">
        <v>1363</v>
      </c>
      <c r="G383" s="29" t="s">
        <v>1328</v>
      </c>
      <c r="H383" s="30">
        <v>45060.0</v>
      </c>
      <c r="I383" s="30">
        <v>45425.0</v>
      </c>
      <c r="J383" s="31" t="s">
        <v>1364</v>
      </c>
      <c r="K383" s="26" t="s">
        <v>427</v>
      </c>
      <c r="L383" s="32" t="s">
        <v>75</v>
      </c>
      <c r="M383" s="33">
        <v>0.0</v>
      </c>
      <c r="N383" s="34">
        <v>2700.82</v>
      </c>
      <c r="O383" s="27" t="s">
        <v>76</v>
      </c>
      <c r="P383" s="35" t="s">
        <v>89</v>
      </c>
      <c r="Q383" s="35">
        <v>0.0</v>
      </c>
      <c r="R383" s="36" t="e">
        <v>#VALUE!</v>
      </c>
      <c r="S383" s="35" t="s">
        <v>86</v>
      </c>
      <c r="T383" s="35">
        <v>0.0</v>
      </c>
      <c r="U383" s="37" t="s">
        <v>67</v>
      </c>
      <c r="V383" s="38"/>
      <c r="W383" s="38"/>
      <c r="X383" s="27"/>
      <c r="Y383" s="39"/>
      <c r="Z383" s="39"/>
      <c r="AA383" s="39"/>
      <c r="AB383" s="40"/>
      <c r="AC383" s="27">
        <f t="shared" si="238"/>
        <v>0</v>
      </c>
      <c r="AD383" s="41">
        <f t="shared" si="272"/>
        <v>0</v>
      </c>
      <c r="AE383" s="42"/>
      <c r="AF383" s="27"/>
      <c r="AG383" s="43">
        <f t="shared" ref="AG383:AG389" si="273">IF(O383="Paid",IF(A383="Alwataniya",(M383*21%)-((M383*21%)*5%),IF((A383="GIG"),(M383*25%)-((M383*25%)*5%),IF((A383="Allianz"),(M383*27%)-((M383*27%)*5%),0))),0)</f>
        <v>0</v>
      </c>
      <c r="AH383" s="29"/>
      <c r="AI383" s="29"/>
      <c r="AJ383" s="29"/>
      <c r="AK383" s="29"/>
      <c r="AL383" s="27"/>
      <c r="AM383" s="44"/>
      <c r="AN383" s="115"/>
      <c r="AO383" s="46"/>
      <c r="AP383" s="47"/>
      <c r="AQ383" s="43">
        <f t="shared" ref="AQ383:AQ386" si="274">IF(U383="Motor Plus",(M383*27%),IF(U383="Motor One",(M383*22%),(IF(U383="Golden",(M383*25%),(IF(U383="Classic",(M383*15%),(IF(U383="Wethaq",(M383*28%),IF(U383="Alwataniya",(M383*21%))*0))))))))</f>
        <v>0</v>
      </c>
      <c r="AR383" s="43">
        <f t="shared" si="2"/>
        <v>0</v>
      </c>
      <c r="AS383" s="43">
        <f t="shared" si="3"/>
        <v>0</v>
      </c>
      <c r="AT383" s="48">
        <f t="shared" si="4"/>
        <v>0</v>
      </c>
      <c r="AU383" s="49">
        <f t="shared" si="266"/>
        <v>0</v>
      </c>
      <c r="AV383" s="48"/>
      <c r="AW383" s="34">
        <f t="shared" si="5"/>
        <v>2700.82</v>
      </c>
      <c r="AX383" s="50">
        <f t="shared" si="248"/>
        <v>0</v>
      </c>
      <c r="AY383" s="43"/>
      <c r="AZ383" s="43"/>
      <c r="BA383" s="48">
        <f t="shared" si="200"/>
        <v>0</v>
      </c>
      <c r="BB383" s="27"/>
      <c r="BC383" s="27"/>
      <c r="BD383" s="51"/>
      <c r="BE383" s="52"/>
      <c r="BF383" s="27" t="s">
        <v>1362</v>
      </c>
      <c r="BG383" s="58" t="s">
        <v>1365</v>
      </c>
      <c r="BH383" s="53" t="str">
        <f>'[1]2023'!Q681</f>
        <v>#REF!</v>
      </c>
      <c r="BI383" s="27"/>
      <c r="BJ383" s="27"/>
      <c r="BK383" s="27" t="s">
        <v>76</v>
      </c>
      <c r="BL383" s="27"/>
    </row>
    <row r="384" ht="14.25" customHeight="1">
      <c r="A384" s="26" t="s">
        <v>55</v>
      </c>
      <c r="B384" s="26" t="s">
        <v>56</v>
      </c>
      <c r="C384" s="26" t="s">
        <v>57</v>
      </c>
      <c r="D384" s="26" t="s">
        <v>58</v>
      </c>
      <c r="E384" s="27" t="s">
        <v>1366</v>
      </c>
      <c r="F384" s="28" t="s">
        <v>1367</v>
      </c>
      <c r="G384" s="29" t="s">
        <v>1328</v>
      </c>
      <c r="H384" s="30">
        <v>45060.0</v>
      </c>
      <c r="I384" s="30">
        <v>45425.0</v>
      </c>
      <c r="J384" s="31" t="s">
        <v>544</v>
      </c>
      <c r="K384" s="26" t="s">
        <v>427</v>
      </c>
      <c r="L384" s="32" t="s">
        <v>75</v>
      </c>
      <c r="M384" s="33">
        <v>0.0</v>
      </c>
      <c r="N384" s="34">
        <v>4635.0</v>
      </c>
      <c r="O384" s="27" t="s">
        <v>76</v>
      </c>
      <c r="P384" s="35" t="s">
        <v>430</v>
      </c>
      <c r="Q384" s="35">
        <v>0.0</v>
      </c>
      <c r="R384" s="36" t="e">
        <v>#VALUE!</v>
      </c>
      <c r="S384" s="35" t="s">
        <v>86</v>
      </c>
      <c r="T384" s="35">
        <v>0.0</v>
      </c>
      <c r="U384" s="37" t="s">
        <v>67</v>
      </c>
      <c r="V384" s="38"/>
      <c r="W384" s="38"/>
      <c r="X384" s="27"/>
      <c r="Y384" s="39"/>
      <c r="Z384" s="39"/>
      <c r="AA384" s="39"/>
      <c r="AB384" s="40"/>
      <c r="AC384" s="27">
        <f t="shared" si="238"/>
        <v>0</v>
      </c>
      <c r="AD384" s="41">
        <f t="shared" si="272"/>
        <v>0</v>
      </c>
      <c r="AE384" s="42"/>
      <c r="AF384" s="27"/>
      <c r="AG384" s="43">
        <f t="shared" si="273"/>
        <v>0</v>
      </c>
      <c r="AH384" s="29"/>
      <c r="AI384" s="29"/>
      <c r="AJ384" s="29"/>
      <c r="AK384" s="29"/>
      <c r="AL384" s="27"/>
      <c r="AM384" s="44"/>
      <c r="AN384" s="115"/>
      <c r="AO384" s="46"/>
      <c r="AP384" s="47"/>
      <c r="AQ384" s="43">
        <f t="shared" si="274"/>
        <v>0</v>
      </c>
      <c r="AR384" s="43">
        <f t="shared" si="2"/>
        <v>0</v>
      </c>
      <c r="AS384" s="43">
        <f t="shared" si="3"/>
        <v>0</v>
      </c>
      <c r="AT384" s="48">
        <f t="shared" si="4"/>
        <v>0</v>
      </c>
      <c r="AU384" s="49">
        <f t="shared" si="266"/>
        <v>0</v>
      </c>
      <c r="AV384" s="48"/>
      <c r="AW384" s="34">
        <f t="shared" si="5"/>
        <v>4635</v>
      </c>
      <c r="AX384" s="50">
        <f t="shared" si="248"/>
        <v>0</v>
      </c>
      <c r="AY384" s="43"/>
      <c r="AZ384" s="43"/>
      <c r="BA384" s="48">
        <f t="shared" si="200"/>
        <v>0</v>
      </c>
      <c r="BB384" s="27"/>
      <c r="BC384" s="27"/>
      <c r="BD384" s="51"/>
      <c r="BE384" s="52"/>
      <c r="BF384" s="27" t="s">
        <v>1366</v>
      </c>
      <c r="BG384" s="53">
        <v>0.0</v>
      </c>
      <c r="BH384" s="53" t="str">
        <f t="shared" ref="BH384:BH385" si="275">'[1]2023'!Q688</f>
        <v>#REF!</v>
      </c>
      <c r="BI384" s="27"/>
      <c r="BJ384" s="27"/>
      <c r="BK384" s="27" t="s">
        <v>76</v>
      </c>
      <c r="BL384" s="27"/>
    </row>
    <row r="385" ht="14.25" customHeight="1">
      <c r="A385" s="26" t="s">
        <v>55</v>
      </c>
      <c r="B385" s="26" t="s">
        <v>56</v>
      </c>
      <c r="C385" s="26" t="s">
        <v>57</v>
      </c>
      <c r="D385" s="26" t="s">
        <v>58</v>
      </c>
      <c r="E385" s="27" t="s">
        <v>1368</v>
      </c>
      <c r="F385" s="28" t="s">
        <v>1369</v>
      </c>
      <c r="G385" s="29" t="s">
        <v>1328</v>
      </c>
      <c r="H385" s="30">
        <v>45060.0</v>
      </c>
      <c r="I385" s="30">
        <v>45425.0</v>
      </c>
      <c r="J385" s="31" t="s">
        <v>1370</v>
      </c>
      <c r="K385" s="26" t="s">
        <v>427</v>
      </c>
      <c r="L385" s="32" t="s">
        <v>75</v>
      </c>
      <c r="M385" s="33">
        <v>0.0</v>
      </c>
      <c r="N385" s="34">
        <v>2467.24</v>
      </c>
      <c r="O385" s="27" t="s">
        <v>76</v>
      </c>
      <c r="P385" s="35" t="s">
        <v>122</v>
      </c>
      <c r="Q385" s="35">
        <v>0.0</v>
      </c>
      <c r="R385" s="36" t="e">
        <v>#VALUE!</v>
      </c>
      <c r="S385" s="35" t="s">
        <v>86</v>
      </c>
      <c r="T385" s="35">
        <v>0.0</v>
      </c>
      <c r="U385" s="37" t="s">
        <v>67</v>
      </c>
      <c r="V385" s="38"/>
      <c r="W385" s="38"/>
      <c r="X385" s="27"/>
      <c r="Y385" s="39"/>
      <c r="Z385" s="39"/>
      <c r="AA385" s="39"/>
      <c r="AB385" s="40"/>
      <c r="AC385" s="27">
        <f t="shared" si="238"/>
        <v>0</v>
      </c>
      <c r="AD385" s="41">
        <f t="shared" si="272"/>
        <v>0</v>
      </c>
      <c r="AE385" s="42"/>
      <c r="AF385" s="27"/>
      <c r="AG385" s="43">
        <f t="shared" si="273"/>
        <v>0</v>
      </c>
      <c r="AH385" s="29"/>
      <c r="AI385" s="29"/>
      <c r="AJ385" s="29"/>
      <c r="AK385" s="29"/>
      <c r="AL385" s="27"/>
      <c r="AM385" s="44"/>
      <c r="AN385" s="115"/>
      <c r="AO385" s="46"/>
      <c r="AP385" s="47"/>
      <c r="AQ385" s="43">
        <f t="shared" si="274"/>
        <v>0</v>
      </c>
      <c r="AR385" s="43">
        <f t="shared" si="2"/>
        <v>0</v>
      </c>
      <c r="AS385" s="43">
        <f t="shared" si="3"/>
        <v>0</v>
      </c>
      <c r="AT385" s="48">
        <f t="shared" si="4"/>
        <v>0</v>
      </c>
      <c r="AU385" s="49">
        <f t="shared" si="266"/>
        <v>0</v>
      </c>
      <c r="AV385" s="48"/>
      <c r="AW385" s="34">
        <f t="shared" si="5"/>
        <v>2467.24</v>
      </c>
      <c r="AX385" s="50">
        <f t="shared" si="248"/>
        <v>0</v>
      </c>
      <c r="AY385" s="43"/>
      <c r="AZ385" s="43"/>
      <c r="BA385" s="48">
        <f t="shared" si="200"/>
        <v>0</v>
      </c>
      <c r="BB385" s="27"/>
      <c r="BC385" s="27"/>
      <c r="BD385" s="51"/>
      <c r="BE385" s="52"/>
      <c r="BF385" s="27" t="s">
        <v>1368</v>
      </c>
      <c r="BG385" s="53">
        <v>0.0</v>
      </c>
      <c r="BH385" s="53" t="str">
        <f t="shared" si="275"/>
        <v>#REF!</v>
      </c>
      <c r="BI385" s="27"/>
      <c r="BJ385" s="27"/>
      <c r="BK385" s="27" t="s">
        <v>76</v>
      </c>
      <c r="BL385" s="27"/>
    </row>
    <row r="386" ht="14.25" customHeight="1">
      <c r="A386" s="26" t="s">
        <v>55</v>
      </c>
      <c r="B386" s="26" t="s">
        <v>56</v>
      </c>
      <c r="C386" s="26" t="s">
        <v>57</v>
      </c>
      <c r="D386" s="26" t="s">
        <v>71</v>
      </c>
      <c r="E386" s="27" t="s">
        <v>1371</v>
      </c>
      <c r="F386" s="28" t="s">
        <v>1372</v>
      </c>
      <c r="G386" s="29" t="s">
        <v>1328</v>
      </c>
      <c r="H386" s="30">
        <v>45060.0</v>
      </c>
      <c r="I386" s="30">
        <v>45425.0</v>
      </c>
      <c r="J386" s="31" t="s">
        <v>1373</v>
      </c>
      <c r="K386" s="26" t="s">
        <v>427</v>
      </c>
      <c r="L386" s="102">
        <v>45052.0</v>
      </c>
      <c r="M386" s="33">
        <v>92482.5</v>
      </c>
      <c r="N386" s="34">
        <v>98079.98</v>
      </c>
      <c r="O386" s="27" t="s">
        <v>76</v>
      </c>
      <c r="P386" s="35" t="s">
        <v>95</v>
      </c>
      <c r="Q386" s="35" t="s">
        <v>65</v>
      </c>
      <c r="R386" s="36" t="e">
        <v>#VALUE!</v>
      </c>
      <c r="S386" s="35" t="s">
        <v>66</v>
      </c>
      <c r="T386" s="35">
        <v>0.0</v>
      </c>
      <c r="U386" s="37" t="s">
        <v>67</v>
      </c>
      <c r="V386" s="38">
        <v>3300000.0</v>
      </c>
      <c r="W386" s="78"/>
      <c r="X386" s="27">
        <v>2021.0</v>
      </c>
      <c r="Y386" s="39"/>
      <c r="Z386" s="39" t="s">
        <v>1374</v>
      </c>
      <c r="AA386" s="39"/>
      <c r="AB386" s="40">
        <v>0.044</v>
      </c>
      <c r="AC386" s="27">
        <v>4080.0</v>
      </c>
      <c r="AD386" s="41"/>
      <c r="AE386" s="42"/>
      <c r="AF386" s="27"/>
      <c r="AG386" s="43">
        <f t="shared" si="273"/>
        <v>23721.76125</v>
      </c>
      <c r="AH386" s="29"/>
      <c r="AI386" s="29"/>
      <c r="AJ386" s="29"/>
      <c r="AK386" s="75"/>
      <c r="AL386" s="27"/>
      <c r="AM386" s="26">
        <f>((M386*27%)-AC386-((M386*27%)*22.5%))*30%</f>
        <v>4581.588938</v>
      </c>
      <c r="AN386" s="136" t="s">
        <v>1038</v>
      </c>
      <c r="AO386" s="46"/>
      <c r="AP386" s="47"/>
      <c r="AQ386" s="43">
        <f t="shared" si="274"/>
        <v>24970.275</v>
      </c>
      <c r="AR386" s="43">
        <f t="shared" si="2"/>
        <v>1248.51375</v>
      </c>
      <c r="AS386" s="43">
        <f t="shared" si="3"/>
        <v>4369.798125</v>
      </c>
      <c r="AT386" s="48">
        <f t="shared" si="4"/>
        <v>19351.96313</v>
      </c>
      <c r="AU386" s="49">
        <f t="shared" si="266"/>
        <v>15271.96313</v>
      </c>
      <c r="AV386" s="48"/>
      <c r="AW386" s="77">
        <v>94000.0</v>
      </c>
      <c r="AX386" s="50">
        <f t="shared" si="248"/>
        <v>14770.37419</v>
      </c>
      <c r="AY386" s="43"/>
      <c r="AZ386" s="43"/>
      <c r="BA386" s="48">
        <f t="shared" si="200"/>
        <v>10690.37419</v>
      </c>
      <c r="BB386" s="27"/>
      <c r="BC386" s="27"/>
      <c r="BD386" s="51"/>
      <c r="BE386" s="52" t="s">
        <v>440</v>
      </c>
      <c r="BF386" s="27" t="s">
        <v>1371</v>
      </c>
      <c r="BG386" s="53">
        <v>0.0</v>
      </c>
      <c r="BH386" s="53" t="str">
        <f>'[1]2023'!Q753</f>
        <v>#REF!</v>
      </c>
      <c r="BI386" s="27"/>
      <c r="BJ386" s="27"/>
      <c r="BK386" s="27" t="s">
        <v>76</v>
      </c>
      <c r="BL386" s="27"/>
    </row>
    <row r="387" ht="14.25" customHeight="1">
      <c r="A387" s="26" t="s">
        <v>55</v>
      </c>
      <c r="B387" s="26" t="s">
        <v>56</v>
      </c>
      <c r="C387" s="26" t="s">
        <v>57</v>
      </c>
      <c r="D387" s="26" t="s">
        <v>58</v>
      </c>
      <c r="E387" s="27" t="s">
        <v>1375</v>
      </c>
      <c r="F387" s="28" t="s">
        <v>1376</v>
      </c>
      <c r="G387" s="29">
        <v>45060.0</v>
      </c>
      <c r="H387" s="30">
        <v>45060.0</v>
      </c>
      <c r="I387" s="30">
        <v>45425.0</v>
      </c>
      <c r="J387" s="31">
        <v>0.0</v>
      </c>
      <c r="K387" s="26" t="s">
        <v>427</v>
      </c>
      <c r="L387" s="32" t="s">
        <v>63</v>
      </c>
      <c r="M387" s="33">
        <v>0.0</v>
      </c>
      <c r="N387" s="34">
        <v>0.0</v>
      </c>
      <c r="O387" s="27" t="s">
        <v>64</v>
      </c>
      <c r="P387" s="35">
        <v>0.0</v>
      </c>
      <c r="Q387" s="35">
        <v>0.0</v>
      </c>
      <c r="R387" s="36">
        <v>45060.0</v>
      </c>
      <c r="S387" s="35" t="s">
        <v>86</v>
      </c>
      <c r="T387" s="35">
        <v>0.0</v>
      </c>
      <c r="U387" s="37">
        <v>0.0</v>
      </c>
      <c r="V387" s="38"/>
      <c r="W387" s="38"/>
      <c r="X387" s="27"/>
      <c r="Y387" s="39"/>
      <c r="Z387" s="39"/>
      <c r="AA387" s="39"/>
      <c r="AB387" s="27"/>
      <c r="AC387" s="27">
        <f t="shared" ref="AC387:AC444" si="276">M387*AB387</f>
        <v>0</v>
      </c>
      <c r="AD387" s="41">
        <f t="shared" ref="AD387:AD388" si="277">IF(AND(S387="0",O387="Paid"),(M387*15%)-AC387,0)</f>
        <v>0</v>
      </c>
      <c r="AE387" s="42"/>
      <c r="AF387" s="27"/>
      <c r="AG387" s="43">
        <f t="shared" si="273"/>
        <v>0</v>
      </c>
      <c r="AH387" s="29"/>
      <c r="AI387" s="29"/>
      <c r="AJ387" s="29"/>
      <c r="AK387" s="29"/>
      <c r="AL387" s="27"/>
      <c r="AM387" s="44"/>
      <c r="AN387" s="68"/>
      <c r="AO387" s="46"/>
      <c r="AP387" s="47"/>
      <c r="AQ387" s="43" t="b">
        <f t="shared" ref="AQ387:AQ388" si="278">IF(O387="Paid",IF(U387="Motor Plus",(M387*27%),IF(U387="Motor One",(M387*22%),(IF(U387="Golden",(M387*25%),(IF(U387="Classic",(M387*15%),(IF(U387="Wethaq",(M387*28%),IF(U387="Alwataniya",(M387*21%))*0)))))))))</f>
        <v>0</v>
      </c>
      <c r="AR387" s="43">
        <f t="shared" si="2"/>
        <v>0</v>
      </c>
      <c r="AS387" s="43">
        <f t="shared" si="3"/>
        <v>0</v>
      </c>
      <c r="AT387" s="48">
        <f t="shared" si="4"/>
        <v>0</v>
      </c>
      <c r="AU387" s="49">
        <f t="shared" ref="AU387:AU388" si="279">AQ387-AR387-AS387-AC387-AO387</f>
        <v>0</v>
      </c>
      <c r="AV387" s="48"/>
      <c r="AW387" s="34">
        <f t="shared" ref="AW387:AW426" si="280">N387-AD387-AE387-AC387</f>
        <v>0</v>
      </c>
      <c r="AX387" s="50">
        <f t="shared" si="248"/>
        <v>0</v>
      </c>
      <c r="AY387" s="43"/>
      <c r="AZ387" s="47"/>
      <c r="BA387" s="48">
        <f t="shared" si="200"/>
        <v>0</v>
      </c>
      <c r="BB387" s="27"/>
      <c r="BC387" s="27"/>
      <c r="BD387" s="51"/>
      <c r="BE387" s="52"/>
      <c r="BF387" s="27" t="s">
        <v>1375</v>
      </c>
      <c r="BG387" s="53">
        <v>0.0</v>
      </c>
      <c r="BH387" s="53" t="str">
        <f>'[1]2023'!Q1153</f>
        <v>#REF!</v>
      </c>
      <c r="BI387" s="27"/>
      <c r="BJ387" s="27"/>
      <c r="BK387" s="27" t="s">
        <v>64</v>
      </c>
      <c r="BL387" s="27"/>
    </row>
    <row r="388" ht="14.25" customHeight="1">
      <c r="A388" s="26" t="s">
        <v>55</v>
      </c>
      <c r="B388" s="26" t="s">
        <v>56</v>
      </c>
      <c r="C388" s="26" t="s">
        <v>57</v>
      </c>
      <c r="D388" s="26" t="s">
        <v>58</v>
      </c>
      <c r="E388" s="27" t="s">
        <v>1377</v>
      </c>
      <c r="F388" s="28" t="s">
        <v>1378</v>
      </c>
      <c r="G388" s="29">
        <v>45060.0</v>
      </c>
      <c r="H388" s="30">
        <v>45060.0</v>
      </c>
      <c r="I388" s="30">
        <v>45425.0</v>
      </c>
      <c r="J388" s="31">
        <v>0.0</v>
      </c>
      <c r="K388" s="26" t="s">
        <v>427</v>
      </c>
      <c r="L388" s="32" t="s">
        <v>63</v>
      </c>
      <c r="M388" s="33">
        <v>0.0</v>
      </c>
      <c r="N388" s="34">
        <v>0.0</v>
      </c>
      <c r="O388" s="27" t="s">
        <v>64</v>
      </c>
      <c r="P388" s="35">
        <v>0.0</v>
      </c>
      <c r="Q388" s="35">
        <v>0.0</v>
      </c>
      <c r="R388" s="36">
        <v>45060.0</v>
      </c>
      <c r="S388" s="35" t="s">
        <v>86</v>
      </c>
      <c r="T388" s="35">
        <v>0.0</v>
      </c>
      <c r="U388" s="37">
        <v>0.0</v>
      </c>
      <c r="V388" s="38"/>
      <c r="W388" s="38"/>
      <c r="X388" s="27"/>
      <c r="Y388" s="39"/>
      <c r="Z388" s="39"/>
      <c r="AA388" s="39"/>
      <c r="AB388" s="27"/>
      <c r="AC388" s="27">
        <f t="shared" si="276"/>
        <v>0</v>
      </c>
      <c r="AD388" s="41">
        <f t="shared" si="277"/>
        <v>0</v>
      </c>
      <c r="AE388" s="42"/>
      <c r="AF388" s="27"/>
      <c r="AG388" s="43">
        <f t="shared" si="273"/>
        <v>0</v>
      </c>
      <c r="AH388" s="29"/>
      <c r="AI388" s="29"/>
      <c r="AJ388" s="29"/>
      <c r="AK388" s="29"/>
      <c r="AL388" s="27"/>
      <c r="AM388" s="44"/>
      <c r="AN388" s="68"/>
      <c r="AO388" s="46"/>
      <c r="AP388" s="47"/>
      <c r="AQ388" s="43" t="b">
        <f t="shared" si="278"/>
        <v>0</v>
      </c>
      <c r="AR388" s="43">
        <f t="shared" si="2"/>
        <v>0</v>
      </c>
      <c r="AS388" s="43">
        <f t="shared" si="3"/>
        <v>0</v>
      </c>
      <c r="AT388" s="48">
        <f t="shared" si="4"/>
        <v>0</v>
      </c>
      <c r="AU388" s="49">
        <f t="shared" si="279"/>
        <v>0</v>
      </c>
      <c r="AV388" s="48"/>
      <c r="AW388" s="34">
        <f t="shared" si="280"/>
        <v>0</v>
      </c>
      <c r="AX388" s="50">
        <f t="shared" si="248"/>
        <v>0</v>
      </c>
      <c r="AY388" s="43"/>
      <c r="AZ388" s="47"/>
      <c r="BA388" s="48">
        <f t="shared" si="200"/>
        <v>0</v>
      </c>
      <c r="BB388" s="27"/>
      <c r="BC388" s="27"/>
      <c r="BD388" s="51"/>
      <c r="BE388" s="52"/>
      <c r="BF388" s="27" t="s">
        <v>1377</v>
      </c>
      <c r="BG388" s="53">
        <v>0.0</v>
      </c>
      <c r="BH388" s="53" t="str">
        <f>'[1]2023'!Q1155</f>
        <v>#REF!</v>
      </c>
      <c r="BI388" s="27"/>
      <c r="BJ388" s="27"/>
      <c r="BK388" s="27" t="s">
        <v>64</v>
      </c>
      <c r="BL388" s="27"/>
    </row>
    <row r="389" ht="14.25" customHeight="1">
      <c r="A389" s="26" t="s">
        <v>55</v>
      </c>
      <c r="B389" s="26" t="s">
        <v>56</v>
      </c>
      <c r="C389" s="26" t="s">
        <v>57</v>
      </c>
      <c r="D389" s="26" t="s">
        <v>81</v>
      </c>
      <c r="E389" s="27" t="s">
        <v>1379</v>
      </c>
      <c r="F389" s="28" t="s">
        <v>1380</v>
      </c>
      <c r="G389" s="29" t="s">
        <v>1381</v>
      </c>
      <c r="H389" s="30">
        <v>45061.0</v>
      </c>
      <c r="I389" s="30">
        <v>45426.0</v>
      </c>
      <c r="J389" s="31">
        <v>0.0</v>
      </c>
      <c r="K389" s="26" t="s">
        <v>427</v>
      </c>
      <c r="L389" s="32" t="s">
        <v>75</v>
      </c>
      <c r="M389" s="33">
        <v>19305.0</v>
      </c>
      <c r="N389" s="34">
        <v>20585.0</v>
      </c>
      <c r="O389" s="27" t="s">
        <v>76</v>
      </c>
      <c r="P389" s="35" t="s">
        <v>122</v>
      </c>
      <c r="Q389" s="35">
        <v>0.0</v>
      </c>
      <c r="R389" s="36" t="e">
        <v>#VALUE!</v>
      </c>
      <c r="S389" s="35" t="s">
        <v>86</v>
      </c>
      <c r="T389" s="35">
        <v>0.0</v>
      </c>
      <c r="U389" s="37" t="s">
        <v>67</v>
      </c>
      <c r="V389" s="38"/>
      <c r="W389" s="38"/>
      <c r="X389" s="27"/>
      <c r="Y389" s="39"/>
      <c r="Z389" s="39"/>
      <c r="AA389" s="39"/>
      <c r="AB389" s="40"/>
      <c r="AC389" s="27">
        <f t="shared" si="276"/>
        <v>0</v>
      </c>
      <c r="AD389" s="41">
        <f>IF(AND(S389="0",O389="Paid"),M389*15%,0)</f>
        <v>2895.75</v>
      </c>
      <c r="AE389" s="42"/>
      <c r="AF389" s="27"/>
      <c r="AG389" s="43">
        <f t="shared" si="273"/>
        <v>4951.7325</v>
      </c>
      <c r="AH389" s="29"/>
      <c r="AI389" s="29"/>
      <c r="AJ389" s="29"/>
      <c r="AK389" s="29"/>
      <c r="AL389" s="27"/>
      <c r="AM389" s="44"/>
      <c r="AN389" s="115"/>
      <c r="AO389" s="46"/>
      <c r="AP389" s="47"/>
      <c r="AQ389" s="43">
        <f>IF(U389="Motor Plus",(M389*27%),IF(U389="Motor One",(M389*22%),(IF(U389="Golden",(M389*25%),(IF(U389="Classic",(M389*15%),(IF(U389="Wethaq",(M389*28%),IF(U389="Alwataniya",(M389*21%))*0))))))))</f>
        <v>5212.35</v>
      </c>
      <c r="AR389" s="43">
        <f t="shared" si="2"/>
        <v>260.6175</v>
      </c>
      <c r="AS389" s="43">
        <f t="shared" si="3"/>
        <v>912.16125</v>
      </c>
      <c r="AT389" s="48">
        <f t="shared" si="4"/>
        <v>4039.57125</v>
      </c>
      <c r="AU389" s="49">
        <f>AQ389-AR389-AS389-AC389</f>
        <v>4039.57125</v>
      </c>
      <c r="AV389" s="48"/>
      <c r="AW389" s="34">
        <f t="shared" si="280"/>
        <v>17689.25</v>
      </c>
      <c r="AX389" s="50">
        <f t="shared" si="248"/>
        <v>1143.82125</v>
      </c>
      <c r="AY389" s="43"/>
      <c r="AZ389" s="43"/>
      <c r="BA389" s="48">
        <f t="shared" si="200"/>
        <v>4039.57125</v>
      </c>
      <c r="BB389" s="27"/>
      <c r="BC389" s="27"/>
      <c r="BD389" s="51"/>
      <c r="BE389" s="52"/>
      <c r="BF389" s="27" t="s">
        <v>1379</v>
      </c>
      <c r="BG389" s="53">
        <v>0.0</v>
      </c>
      <c r="BH389" s="53" t="str">
        <f>'[1]2023'!Q614</f>
        <v>#REF!</v>
      </c>
      <c r="BI389" s="27"/>
      <c r="BJ389" s="27"/>
      <c r="BK389" s="27" t="s">
        <v>76</v>
      </c>
      <c r="BL389" s="27"/>
    </row>
    <row r="390" ht="14.25" customHeight="1">
      <c r="A390" s="26" t="s">
        <v>111</v>
      </c>
      <c r="B390" s="26" t="s">
        <v>56</v>
      </c>
      <c r="C390" s="26" t="s">
        <v>57</v>
      </c>
      <c r="D390" s="26" t="s">
        <v>71</v>
      </c>
      <c r="E390" s="27" t="s">
        <v>1382</v>
      </c>
      <c r="F390" s="28" t="s">
        <v>1383</v>
      </c>
      <c r="G390" s="29" t="s">
        <v>1381</v>
      </c>
      <c r="H390" s="30">
        <v>45061.0</v>
      </c>
      <c r="I390" s="30">
        <v>45426.0</v>
      </c>
      <c r="J390" s="31" t="s">
        <v>1384</v>
      </c>
      <c r="K390" s="26" t="s">
        <v>427</v>
      </c>
      <c r="L390" s="32" t="s">
        <v>75</v>
      </c>
      <c r="M390" s="33">
        <v>14489.33</v>
      </c>
      <c r="N390" s="34">
        <v>15600.0</v>
      </c>
      <c r="O390" s="27" t="s">
        <v>76</v>
      </c>
      <c r="P390" s="35" t="s">
        <v>89</v>
      </c>
      <c r="Q390" s="35" t="s">
        <v>114</v>
      </c>
      <c r="R390" s="36" t="e">
        <v>#VALUE!</v>
      </c>
      <c r="S390" s="35" t="s">
        <v>1103</v>
      </c>
      <c r="T390" s="54" t="s">
        <v>1385</v>
      </c>
      <c r="U390" s="37" t="s">
        <v>115</v>
      </c>
      <c r="V390" s="38">
        <v>600000.0</v>
      </c>
      <c r="W390" s="38"/>
      <c r="X390" s="27"/>
      <c r="Y390" s="39"/>
      <c r="Z390" s="79" t="s">
        <v>1386</v>
      </c>
      <c r="AA390" s="39"/>
      <c r="AB390" s="40"/>
      <c r="AC390" s="27">
        <f t="shared" si="276"/>
        <v>0</v>
      </c>
      <c r="AD390" s="41"/>
      <c r="AE390" s="42"/>
      <c r="AF390" s="27"/>
      <c r="AG390" s="43">
        <f t="shared" ref="AG390:AG393" si="281">IF(O390="Paid",IF(A390="Alwataniya",(M390*21%)-((M390*21%)*5%),IF((A390="GIG"),(M390*25%)-((M390*25%)*5%),IF((A390="Allianz"),(M390*27%)-((M390*27%)*20%),0))),0)</f>
        <v>3441.215875</v>
      </c>
      <c r="AH390" s="29" t="s">
        <v>951</v>
      </c>
      <c r="AI390" s="61" t="s">
        <v>434</v>
      </c>
      <c r="AJ390" s="40"/>
      <c r="AK390" s="62" t="s">
        <v>63</v>
      </c>
      <c r="AL390" s="27"/>
      <c r="AM390" s="49">
        <f>(AQ390-AR390-AS390-(M390*15%))*30%</f>
        <v>190.1724563</v>
      </c>
      <c r="AN390" s="132">
        <v>45083.0</v>
      </c>
      <c r="AO390" s="46">
        <f>(M390*15%)-AC390</f>
        <v>2173.3995</v>
      </c>
      <c r="AP390" s="57">
        <v>45113.0</v>
      </c>
      <c r="AQ390" s="43">
        <f>M390*25%</f>
        <v>3622.3325</v>
      </c>
      <c r="AR390" s="43">
        <f t="shared" si="2"/>
        <v>181.116625</v>
      </c>
      <c r="AS390" s="43">
        <f t="shared" si="3"/>
        <v>633.9081875</v>
      </c>
      <c r="AT390" s="48">
        <f t="shared" si="4"/>
        <v>2807.307688</v>
      </c>
      <c r="AU390" s="48">
        <f>AQ390-AR390-AS390</f>
        <v>2807.307688</v>
      </c>
      <c r="AV390" s="106">
        <f>BA390*10%</f>
        <v>44.37357313</v>
      </c>
      <c r="AW390" s="34">
        <f t="shared" si="280"/>
        <v>15600</v>
      </c>
      <c r="AX390" s="50">
        <f t="shared" si="248"/>
        <v>399.3621581</v>
      </c>
      <c r="AY390" s="43">
        <f>AG390-(AG390*22.5%)</f>
        <v>2666.942303</v>
      </c>
      <c r="AZ390" s="43"/>
      <c r="BA390" s="48">
        <f t="shared" si="200"/>
        <v>443.7357313</v>
      </c>
      <c r="BB390" s="27"/>
      <c r="BC390" s="27"/>
      <c r="BD390" s="51"/>
      <c r="BE390" s="52"/>
      <c r="BF390" s="27" t="s">
        <v>1382</v>
      </c>
      <c r="BG390" s="58" t="s">
        <v>1387</v>
      </c>
      <c r="BH390" s="53" t="str">
        <f>'[1]2023'!Q639</f>
        <v>#REF!</v>
      </c>
      <c r="BI390" s="27"/>
      <c r="BJ390" s="27"/>
      <c r="BK390" s="27" t="s">
        <v>76</v>
      </c>
      <c r="BL390" s="27"/>
    </row>
    <row r="391" ht="14.25" customHeight="1">
      <c r="A391" s="26" t="s">
        <v>111</v>
      </c>
      <c r="B391" s="26" t="s">
        <v>56</v>
      </c>
      <c r="C391" s="26" t="s">
        <v>57</v>
      </c>
      <c r="D391" s="26" t="s">
        <v>71</v>
      </c>
      <c r="E391" s="27" t="s">
        <v>1388</v>
      </c>
      <c r="F391" s="28" t="s">
        <v>1389</v>
      </c>
      <c r="G391" s="29" t="s">
        <v>1381</v>
      </c>
      <c r="H391" s="30">
        <v>45061.0</v>
      </c>
      <c r="I391" s="30">
        <v>45426.0</v>
      </c>
      <c r="J391" s="31" t="s">
        <v>1390</v>
      </c>
      <c r="K391" s="26" t="s">
        <v>427</v>
      </c>
      <c r="L391" s="32" t="s">
        <v>75</v>
      </c>
      <c r="M391" s="33">
        <v>12156.94</v>
      </c>
      <c r="N391" s="34">
        <v>13130.0</v>
      </c>
      <c r="O391" s="27" t="s">
        <v>76</v>
      </c>
      <c r="P391" s="35" t="s">
        <v>430</v>
      </c>
      <c r="Q391" s="35" t="s">
        <v>65</v>
      </c>
      <c r="R391" s="36" t="e">
        <v>#VALUE!</v>
      </c>
      <c r="S391" s="35" t="s">
        <v>78</v>
      </c>
      <c r="T391" s="54" t="s">
        <v>604</v>
      </c>
      <c r="U391" s="37" t="s">
        <v>115</v>
      </c>
      <c r="V391" s="38">
        <v>505000.0</v>
      </c>
      <c r="W391" s="38"/>
      <c r="X391" s="27"/>
      <c r="Y391" s="39"/>
      <c r="Z391" s="79" t="s">
        <v>1391</v>
      </c>
      <c r="AA391" s="39"/>
      <c r="AB391" s="40"/>
      <c r="AC391" s="27">
        <f t="shared" si="276"/>
        <v>0</v>
      </c>
      <c r="AD391" s="41"/>
      <c r="AE391" s="42"/>
      <c r="AF391" s="27"/>
      <c r="AG391" s="43">
        <f t="shared" si="281"/>
        <v>2887.27325</v>
      </c>
      <c r="AH391" s="29" t="s">
        <v>1392</v>
      </c>
      <c r="AI391" s="61" t="s">
        <v>1393</v>
      </c>
      <c r="AJ391" s="40"/>
      <c r="AK391" s="62" t="s">
        <v>63</v>
      </c>
      <c r="AL391" s="27"/>
      <c r="AM391" s="44"/>
      <c r="AN391" s="45"/>
      <c r="AO391" s="46">
        <f>M391*15%</f>
        <v>1823.541</v>
      </c>
      <c r="AP391" s="47" t="s">
        <v>996</v>
      </c>
      <c r="AQ391" s="43">
        <f t="shared" ref="AQ391:AQ392" si="282">IF(U391="Motor Plus",(M391*27%),IF(U391="Motor One",(M391*22%),(IF(U391="Golden",(M391*25%),(IF(U391="Classic",(M391*15%),(IF(U391="Wethaq",(M391*28%),IF(U391="Alwataniya",(M391*21%))*0))))))))</f>
        <v>3039.235</v>
      </c>
      <c r="AR391" s="43">
        <f t="shared" si="2"/>
        <v>151.96175</v>
      </c>
      <c r="AS391" s="43">
        <f t="shared" si="3"/>
        <v>531.866125</v>
      </c>
      <c r="AT391" s="48">
        <f t="shared" si="4"/>
        <v>2355.407125</v>
      </c>
      <c r="AU391" s="49">
        <f t="shared" ref="AU391:AU419" si="283">AQ391-AR391-AS391-AC391</f>
        <v>2355.407125</v>
      </c>
      <c r="AV391" s="48"/>
      <c r="AW391" s="34">
        <f t="shared" si="280"/>
        <v>13130</v>
      </c>
      <c r="AX391" s="50">
        <f t="shared" si="248"/>
        <v>531.866125</v>
      </c>
      <c r="AY391" s="43"/>
      <c r="AZ391" s="43"/>
      <c r="BA391" s="48">
        <f t="shared" si="200"/>
        <v>531.866125</v>
      </c>
      <c r="BB391" s="27"/>
      <c r="BC391" s="27"/>
      <c r="BD391" s="51"/>
      <c r="BE391" s="52"/>
      <c r="BF391" s="27" t="s">
        <v>1388</v>
      </c>
      <c r="BG391" s="53">
        <v>0.0</v>
      </c>
      <c r="BH391" s="53" t="str">
        <f t="shared" ref="BH391:BH392" si="284">'[1]2023'!Q658</f>
        <v>#REF!</v>
      </c>
      <c r="BI391" s="27"/>
      <c r="BJ391" s="27"/>
      <c r="BK391" s="27" t="s">
        <v>76</v>
      </c>
      <c r="BL391" s="27"/>
    </row>
    <row r="392" ht="14.25" customHeight="1">
      <c r="A392" s="26" t="s">
        <v>111</v>
      </c>
      <c r="B392" s="26" t="s">
        <v>56</v>
      </c>
      <c r="C392" s="26" t="s">
        <v>57</v>
      </c>
      <c r="D392" s="26" t="s">
        <v>71</v>
      </c>
      <c r="E392" s="27" t="s">
        <v>1394</v>
      </c>
      <c r="F392" s="28" t="s">
        <v>1395</v>
      </c>
      <c r="G392" s="29" t="s">
        <v>1381</v>
      </c>
      <c r="H392" s="30">
        <v>45061.0</v>
      </c>
      <c r="I392" s="30">
        <v>45426.0</v>
      </c>
      <c r="J392" s="31" t="s">
        <v>454</v>
      </c>
      <c r="K392" s="26" t="s">
        <v>427</v>
      </c>
      <c r="L392" s="32" t="s">
        <v>996</v>
      </c>
      <c r="M392" s="33">
        <v>19399.62</v>
      </c>
      <c r="N392" s="34">
        <v>20800.0</v>
      </c>
      <c r="O392" s="27" t="s">
        <v>76</v>
      </c>
      <c r="P392" s="35" t="s">
        <v>142</v>
      </c>
      <c r="Q392" s="35" t="s">
        <v>90</v>
      </c>
      <c r="R392" s="36" t="e">
        <v>#VALUE!</v>
      </c>
      <c r="S392" s="35" t="s">
        <v>86</v>
      </c>
      <c r="T392" s="54" t="s">
        <v>456</v>
      </c>
      <c r="U392" s="37" t="s">
        <v>115</v>
      </c>
      <c r="V392" s="38">
        <v>800000.0</v>
      </c>
      <c r="W392" s="38"/>
      <c r="X392" s="27"/>
      <c r="Y392" s="39"/>
      <c r="Z392" s="79" t="s">
        <v>1396</v>
      </c>
      <c r="AA392" s="39"/>
      <c r="AB392" s="40"/>
      <c r="AC392" s="27">
        <f t="shared" si="276"/>
        <v>0</v>
      </c>
      <c r="AD392" s="41">
        <f t="shared" ref="AD392:AD393" si="285">IF(AND(S392="0",O392="Paid"),(M392*15%)-AC392,0)</f>
        <v>2909.943</v>
      </c>
      <c r="AE392" s="42"/>
      <c r="AF392" s="27" t="s">
        <v>996</v>
      </c>
      <c r="AG392" s="43">
        <f t="shared" si="281"/>
        <v>4607.40975</v>
      </c>
      <c r="AH392" s="29" t="s">
        <v>951</v>
      </c>
      <c r="AI392" s="61" t="s">
        <v>434</v>
      </c>
      <c r="AJ392" s="40"/>
      <c r="AK392" s="62" t="s">
        <v>63</v>
      </c>
      <c r="AL392" s="27"/>
      <c r="AM392" s="44"/>
      <c r="AN392" s="115"/>
      <c r="AO392" s="46"/>
      <c r="AP392" s="137" t="s">
        <v>996</v>
      </c>
      <c r="AQ392" s="43">
        <f t="shared" si="282"/>
        <v>4849.905</v>
      </c>
      <c r="AR392" s="43">
        <f t="shared" si="2"/>
        <v>242.49525</v>
      </c>
      <c r="AS392" s="43">
        <f t="shared" si="3"/>
        <v>848.733375</v>
      </c>
      <c r="AT392" s="48">
        <f t="shared" si="4"/>
        <v>3758.676375</v>
      </c>
      <c r="AU392" s="49">
        <f t="shared" si="283"/>
        <v>3758.676375</v>
      </c>
      <c r="AV392" s="48"/>
      <c r="AW392" s="34">
        <f t="shared" si="280"/>
        <v>17890.057</v>
      </c>
      <c r="AX392" s="50">
        <f t="shared" si="248"/>
        <v>848.733375</v>
      </c>
      <c r="AY392" s="43"/>
      <c r="AZ392" s="43"/>
      <c r="BA392" s="48">
        <f t="shared" si="200"/>
        <v>3758.676375</v>
      </c>
      <c r="BB392" s="27"/>
      <c r="BC392" s="27"/>
      <c r="BD392" s="51"/>
      <c r="BE392" s="52"/>
      <c r="BF392" s="27" t="s">
        <v>1394</v>
      </c>
      <c r="BG392" s="58" t="s">
        <v>1397</v>
      </c>
      <c r="BH392" s="53" t="str">
        <f t="shared" si="284"/>
        <v>#REF!</v>
      </c>
      <c r="BI392" s="27"/>
      <c r="BJ392" s="27"/>
      <c r="BK392" s="27" t="s">
        <v>76</v>
      </c>
      <c r="BL392" s="27"/>
    </row>
    <row r="393" ht="14.25" customHeight="1">
      <c r="A393" s="26" t="s">
        <v>111</v>
      </c>
      <c r="B393" s="26" t="s">
        <v>56</v>
      </c>
      <c r="C393" s="26" t="s">
        <v>57</v>
      </c>
      <c r="D393" s="26" t="s">
        <v>71</v>
      </c>
      <c r="E393" s="27" t="s">
        <v>1398</v>
      </c>
      <c r="F393" s="28" t="s">
        <v>1399</v>
      </c>
      <c r="G393" s="29" t="s">
        <v>1381</v>
      </c>
      <c r="H393" s="30">
        <v>45061.0</v>
      </c>
      <c r="I393" s="30">
        <v>45426.0</v>
      </c>
      <c r="J393" s="31" t="s">
        <v>1400</v>
      </c>
      <c r="K393" s="26" t="s">
        <v>427</v>
      </c>
      <c r="L393" s="32" t="s">
        <v>63</v>
      </c>
      <c r="M393" s="33">
        <v>48861.38</v>
      </c>
      <c r="N393" s="34">
        <v>52000.0</v>
      </c>
      <c r="O393" s="27" t="s">
        <v>64</v>
      </c>
      <c r="P393" s="35">
        <v>0.0</v>
      </c>
      <c r="Q393" s="35" t="s">
        <v>114</v>
      </c>
      <c r="R393" s="36" t="e">
        <v>#VALUE!</v>
      </c>
      <c r="S393" s="35" t="s">
        <v>66</v>
      </c>
      <c r="T393" s="35">
        <v>0.0</v>
      </c>
      <c r="U393" s="37" t="s">
        <v>115</v>
      </c>
      <c r="V393" s="38">
        <v>2000000.0</v>
      </c>
      <c r="W393" s="38"/>
      <c r="X393" s="27"/>
      <c r="Y393" s="39"/>
      <c r="Z393" s="79" t="s">
        <v>1401</v>
      </c>
      <c r="AA393" s="39"/>
      <c r="AB393" s="40"/>
      <c r="AC393" s="27">
        <f t="shared" si="276"/>
        <v>0</v>
      </c>
      <c r="AD393" s="41">
        <f t="shared" si="285"/>
        <v>0</v>
      </c>
      <c r="AE393" s="42"/>
      <c r="AF393" s="27"/>
      <c r="AG393" s="43">
        <f t="shared" si="281"/>
        <v>0</v>
      </c>
      <c r="AH393" s="29"/>
      <c r="AI393" s="29"/>
      <c r="AJ393" s="29"/>
      <c r="AK393" s="29"/>
      <c r="AL393" s="27"/>
      <c r="AM393" s="44"/>
      <c r="AN393" s="45"/>
      <c r="AO393" s="46"/>
      <c r="AP393" s="47"/>
      <c r="AQ393" s="43" t="b">
        <f>IF(O393="Paid",IF(U393="Motor Plus",(M393*27%),IF(U393="Motor One",(M393*22%),(IF(U393="Golden",(M393*25%),(IF(U393="Classic",(M393*15%),(IF(U393="Wethaq",(M393*28%),IF(U393="Alwataniya",(M393*21%))*0)))))))))</f>
        <v>0</v>
      </c>
      <c r="AR393" s="43">
        <f t="shared" si="2"/>
        <v>0</v>
      </c>
      <c r="AS393" s="43">
        <f t="shared" si="3"/>
        <v>0</v>
      </c>
      <c r="AT393" s="48">
        <f t="shared" si="4"/>
        <v>0</v>
      </c>
      <c r="AU393" s="49">
        <f t="shared" si="283"/>
        <v>0</v>
      </c>
      <c r="AV393" s="48"/>
      <c r="AW393" s="34">
        <f t="shared" si="280"/>
        <v>52000</v>
      </c>
      <c r="AX393" s="50">
        <f t="shared" si="248"/>
        <v>0</v>
      </c>
      <c r="AY393" s="43"/>
      <c r="AZ393" s="43"/>
      <c r="BA393" s="48">
        <f t="shared" si="200"/>
        <v>0</v>
      </c>
      <c r="BB393" s="27"/>
      <c r="BC393" s="27"/>
      <c r="BD393" s="51"/>
      <c r="BE393" s="52"/>
      <c r="BF393" s="27" t="s">
        <v>1398</v>
      </c>
      <c r="BG393" s="58" t="s">
        <v>562</v>
      </c>
      <c r="BH393" s="53" t="str">
        <f>'[1]2023'!Q667</f>
        <v>#REF!</v>
      </c>
      <c r="BI393" s="27"/>
      <c r="BJ393" s="27"/>
      <c r="BK393" s="27" t="s">
        <v>64</v>
      </c>
      <c r="BL393" s="27"/>
    </row>
    <row r="394" ht="14.25" customHeight="1">
      <c r="A394" s="26" t="s">
        <v>55</v>
      </c>
      <c r="B394" s="26" t="s">
        <v>56</v>
      </c>
      <c r="C394" s="26" t="s">
        <v>57</v>
      </c>
      <c r="D394" s="26" t="s">
        <v>81</v>
      </c>
      <c r="E394" s="27" t="s">
        <v>1402</v>
      </c>
      <c r="F394" s="28" t="s">
        <v>1403</v>
      </c>
      <c r="G394" s="29" t="s">
        <v>1404</v>
      </c>
      <c r="H394" s="30">
        <v>45062.0</v>
      </c>
      <c r="I394" s="30">
        <v>45427.0</v>
      </c>
      <c r="J394" s="31">
        <v>0.0</v>
      </c>
      <c r="K394" s="26" t="s">
        <v>427</v>
      </c>
      <c r="L394" s="32" t="s">
        <v>75</v>
      </c>
      <c r="M394" s="33">
        <v>17077.5</v>
      </c>
      <c r="N394" s="34">
        <v>18229.09</v>
      </c>
      <c r="O394" s="27" t="s">
        <v>76</v>
      </c>
      <c r="P394" s="35" t="s">
        <v>122</v>
      </c>
      <c r="Q394" s="35">
        <v>0.0</v>
      </c>
      <c r="R394" s="36" t="e">
        <v>#VALUE!</v>
      </c>
      <c r="S394" s="35" t="s">
        <v>86</v>
      </c>
      <c r="T394" s="35">
        <v>0.0</v>
      </c>
      <c r="U394" s="37" t="s">
        <v>67</v>
      </c>
      <c r="V394" s="38"/>
      <c r="W394" s="38"/>
      <c r="X394" s="27"/>
      <c r="Y394" s="39"/>
      <c r="Z394" s="39"/>
      <c r="AA394" s="39"/>
      <c r="AB394" s="40"/>
      <c r="AC394" s="27">
        <f t="shared" si="276"/>
        <v>0</v>
      </c>
      <c r="AD394" s="41">
        <f>IF(AND(S394="0",O394="Paid"),M394*15%,0)</f>
        <v>2561.625</v>
      </c>
      <c r="AE394" s="42"/>
      <c r="AF394" s="27"/>
      <c r="AG394" s="43">
        <f t="shared" ref="AG394:AG403" si="286">IF(O394="Paid",IF(A394="Alwataniya",(M394*21%)-((M394*21%)*5%),IF((A394="GIG"),(M394*25%)-((M394*25%)*5%),IF((A394="Allianz"),(M394*27%)-((M394*27%)*5%),0))),0)</f>
        <v>4380.37875</v>
      </c>
      <c r="AH394" s="29"/>
      <c r="AI394" s="29"/>
      <c r="AJ394" s="29"/>
      <c r="AK394" s="29"/>
      <c r="AL394" s="27"/>
      <c r="AM394" s="44"/>
      <c r="AN394" s="115"/>
      <c r="AO394" s="46"/>
      <c r="AP394" s="47"/>
      <c r="AQ394" s="43">
        <f t="shared" ref="AQ394:AQ419" si="287">IF(U394="Motor Plus",(M394*27%),IF(U394="Motor One",(M394*22%),(IF(U394="Golden",(M394*25%),(IF(U394="Classic",(M394*15%),(IF(U394="Wethaq",(M394*28%),IF(U394="Alwataniya",(M394*21%))*0))))))))</f>
        <v>4610.925</v>
      </c>
      <c r="AR394" s="43">
        <f t="shared" si="2"/>
        <v>230.54625</v>
      </c>
      <c r="AS394" s="43">
        <f t="shared" si="3"/>
        <v>806.911875</v>
      </c>
      <c r="AT394" s="48">
        <f t="shared" si="4"/>
        <v>3573.466875</v>
      </c>
      <c r="AU394" s="49">
        <f t="shared" si="283"/>
        <v>3573.466875</v>
      </c>
      <c r="AV394" s="48"/>
      <c r="AW394" s="34">
        <f t="shared" si="280"/>
        <v>15667.465</v>
      </c>
      <c r="AX394" s="50">
        <f t="shared" si="248"/>
        <v>1011.841875</v>
      </c>
      <c r="AY394" s="43"/>
      <c r="AZ394" s="43"/>
      <c r="BA394" s="48">
        <f t="shared" si="200"/>
        <v>3573.466875</v>
      </c>
      <c r="BB394" s="27"/>
      <c r="BC394" s="27"/>
      <c r="BD394" s="51"/>
      <c r="BE394" s="52"/>
      <c r="BF394" s="27" t="s">
        <v>1402</v>
      </c>
      <c r="BG394" s="53">
        <v>0.0</v>
      </c>
      <c r="BH394" s="53" t="str">
        <f>'[1]2023'!Q599</f>
        <v>#REF!</v>
      </c>
      <c r="BI394" s="27"/>
      <c r="BJ394" s="27"/>
      <c r="BK394" s="27" t="s">
        <v>76</v>
      </c>
      <c r="BL394" s="27"/>
    </row>
    <row r="395" ht="14.25" customHeight="1">
      <c r="A395" s="26" t="s">
        <v>55</v>
      </c>
      <c r="B395" s="26" t="s">
        <v>56</v>
      </c>
      <c r="C395" s="26" t="s">
        <v>57</v>
      </c>
      <c r="D395" s="26" t="s">
        <v>58</v>
      </c>
      <c r="E395" s="27" t="s">
        <v>1405</v>
      </c>
      <c r="F395" s="28" t="s">
        <v>1406</v>
      </c>
      <c r="G395" s="29" t="s">
        <v>1404</v>
      </c>
      <c r="H395" s="30">
        <v>45062.0</v>
      </c>
      <c r="I395" s="30">
        <v>45427.0</v>
      </c>
      <c r="J395" s="31" t="s">
        <v>1407</v>
      </c>
      <c r="K395" s="26" t="s">
        <v>427</v>
      </c>
      <c r="L395" s="32" t="s">
        <v>75</v>
      </c>
      <c r="M395" s="33">
        <v>2445.35</v>
      </c>
      <c r="N395" s="34">
        <v>2589.63</v>
      </c>
      <c r="O395" s="27" t="s">
        <v>76</v>
      </c>
      <c r="P395" s="35" t="s">
        <v>142</v>
      </c>
      <c r="Q395" s="35" t="s">
        <v>90</v>
      </c>
      <c r="R395" s="36" t="e">
        <v>#VALUE!</v>
      </c>
      <c r="S395" s="35" t="s">
        <v>86</v>
      </c>
      <c r="T395" s="35">
        <v>0.0</v>
      </c>
      <c r="U395" s="37" t="s">
        <v>67</v>
      </c>
      <c r="V395" s="38"/>
      <c r="W395" s="38"/>
      <c r="X395" s="27"/>
      <c r="Y395" s="39"/>
      <c r="Z395" s="39"/>
      <c r="AA395" s="39"/>
      <c r="AB395" s="40"/>
      <c r="AC395" s="27">
        <f t="shared" si="276"/>
        <v>0</v>
      </c>
      <c r="AD395" s="41">
        <f t="shared" ref="AD395:AD400" si="288">IF(AND(S395="0",O395="Paid"),(M395*15%)-AC395,0)</f>
        <v>366.8025</v>
      </c>
      <c r="AE395" s="42"/>
      <c r="AF395" s="29">
        <v>45267.0</v>
      </c>
      <c r="AG395" s="43">
        <f t="shared" si="286"/>
        <v>627.232275</v>
      </c>
      <c r="AH395" s="29"/>
      <c r="AI395" s="29"/>
      <c r="AJ395" s="29"/>
      <c r="AK395" s="29"/>
      <c r="AL395" s="27"/>
      <c r="AM395" s="44"/>
      <c r="AN395" s="115"/>
      <c r="AO395" s="46"/>
      <c r="AP395" s="47"/>
      <c r="AQ395" s="43">
        <f t="shared" si="287"/>
        <v>660.2445</v>
      </c>
      <c r="AR395" s="43">
        <f t="shared" si="2"/>
        <v>33.012225</v>
      </c>
      <c r="AS395" s="43">
        <f t="shared" si="3"/>
        <v>115.5427875</v>
      </c>
      <c r="AT395" s="48">
        <f t="shared" si="4"/>
        <v>511.6894875</v>
      </c>
      <c r="AU395" s="49">
        <f t="shared" si="283"/>
        <v>511.6894875</v>
      </c>
      <c r="AV395" s="48"/>
      <c r="AW395" s="34">
        <f t="shared" si="280"/>
        <v>2222.8275</v>
      </c>
      <c r="AX395" s="50">
        <f t="shared" si="248"/>
        <v>144.8869875</v>
      </c>
      <c r="AY395" s="43"/>
      <c r="AZ395" s="43"/>
      <c r="BA395" s="48">
        <f t="shared" si="200"/>
        <v>511.6894875</v>
      </c>
      <c r="BB395" s="27"/>
      <c r="BC395" s="27"/>
      <c r="BD395" s="51"/>
      <c r="BE395" s="52"/>
      <c r="BF395" s="27" t="s">
        <v>1405</v>
      </c>
      <c r="BG395" s="58" t="s">
        <v>1408</v>
      </c>
      <c r="BH395" s="53" t="str">
        <f>'[1]2023'!Q675</f>
        <v>#REF!</v>
      </c>
      <c r="BI395" s="27"/>
      <c r="BJ395" s="27"/>
      <c r="BK395" s="27" t="s">
        <v>76</v>
      </c>
      <c r="BL395" s="27"/>
    </row>
    <row r="396" ht="14.25" customHeight="1">
      <c r="A396" s="26" t="s">
        <v>55</v>
      </c>
      <c r="B396" s="26" t="s">
        <v>56</v>
      </c>
      <c r="C396" s="26" t="s">
        <v>57</v>
      </c>
      <c r="D396" s="26" t="s">
        <v>58</v>
      </c>
      <c r="E396" s="27" t="s">
        <v>1409</v>
      </c>
      <c r="F396" s="28" t="s">
        <v>1410</v>
      </c>
      <c r="G396" s="29" t="s">
        <v>1404</v>
      </c>
      <c r="H396" s="30">
        <v>45062.0</v>
      </c>
      <c r="I396" s="30">
        <v>45427.0</v>
      </c>
      <c r="J396" s="31" t="s">
        <v>1411</v>
      </c>
      <c r="K396" s="26" t="s">
        <v>427</v>
      </c>
      <c r="L396" s="32" t="s">
        <v>75</v>
      </c>
      <c r="M396" s="33">
        <v>0.0</v>
      </c>
      <c r="N396" s="34">
        <v>7366.26</v>
      </c>
      <c r="O396" s="27" t="s">
        <v>76</v>
      </c>
      <c r="P396" s="35" t="s">
        <v>122</v>
      </c>
      <c r="Q396" s="35">
        <v>0.0</v>
      </c>
      <c r="R396" s="36" t="e">
        <v>#VALUE!</v>
      </c>
      <c r="S396" s="35" t="s">
        <v>86</v>
      </c>
      <c r="T396" s="35">
        <v>0.0</v>
      </c>
      <c r="U396" s="37" t="s">
        <v>67</v>
      </c>
      <c r="V396" s="38"/>
      <c r="W396" s="38"/>
      <c r="X396" s="27"/>
      <c r="Y396" s="39"/>
      <c r="Z396" s="39"/>
      <c r="AA396" s="39"/>
      <c r="AB396" s="40"/>
      <c r="AC396" s="27">
        <f t="shared" si="276"/>
        <v>0</v>
      </c>
      <c r="AD396" s="41">
        <f t="shared" si="288"/>
        <v>0</v>
      </c>
      <c r="AE396" s="42"/>
      <c r="AF396" s="27"/>
      <c r="AG396" s="43">
        <f t="shared" si="286"/>
        <v>0</v>
      </c>
      <c r="AH396" s="29"/>
      <c r="AI396" s="29"/>
      <c r="AJ396" s="29"/>
      <c r="AK396" s="29"/>
      <c r="AL396" s="27"/>
      <c r="AM396" s="44"/>
      <c r="AN396" s="115"/>
      <c r="AO396" s="46"/>
      <c r="AP396" s="47"/>
      <c r="AQ396" s="43">
        <f t="shared" si="287"/>
        <v>0</v>
      </c>
      <c r="AR396" s="43">
        <f t="shared" si="2"/>
        <v>0</v>
      </c>
      <c r="AS396" s="43">
        <f t="shared" si="3"/>
        <v>0</v>
      </c>
      <c r="AT396" s="48">
        <f t="shared" si="4"/>
        <v>0</v>
      </c>
      <c r="AU396" s="49">
        <f t="shared" si="283"/>
        <v>0</v>
      </c>
      <c r="AV396" s="48"/>
      <c r="AW396" s="34">
        <f t="shared" si="280"/>
        <v>7366.26</v>
      </c>
      <c r="AX396" s="50">
        <f t="shared" si="248"/>
        <v>0</v>
      </c>
      <c r="AY396" s="43"/>
      <c r="AZ396" s="43"/>
      <c r="BA396" s="48">
        <f t="shared" si="200"/>
        <v>0</v>
      </c>
      <c r="BB396" s="27"/>
      <c r="BC396" s="27"/>
      <c r="BD396" s="51"/>
      <c r="BE396" s="52"/>
      <c r="BF396" s="27" t="s">
        <v>1409</v>
      </c>
      <c r="BG396" s="58" t="s">
        <v>1412</v>
      </c>
      <c r="BH396" s="53" t="str">
        <f t="shared" ref="BH396:BH397" si="289">'[1]2023'!Q685</f>
        <v>#REF!</v>
      </c>
      <c r="BI396" s="27"/>
      <c r="BJ396" s="27"/>
      <c r="BK396" s="27" t="s">
        <v>76</v>
      </c>
      <c r="BL396" s="27"/>
    </row>
    <row r="397" ht="14.25" customHeight="1">
      <c r="A397" s="26" t="s">
        <v>55</v>
      </c>
      <c r="B397" s="26" t="s">
        <v>56</v>
      </c>
      <c r="C397" s="26" t="s">
        <v>57</v>
      </c>
      <c r="D397" s="26" t="s">
        <v>58</v>
      </c>
      <c r="E397" s="27" t="s">
        <v>1413</v>
      </c>
      <c r="F397" s="28" t="s">
        <v>1414</v>
      </c>
      <c r="G397" s="29" t="s">
        <v>1404</v>
      </c>
      <c r="H397" s="30">
        <v>45062.0</v>
      </c>
      <c r="I397" s="30">
        <v>45427.0</v>
      </c>
      <c r="J397" s="31" t="s">
        <v>1415</v>
      </c>
      <c r="K397" s="26" t="s">
        <v>427</v>
      </c>
      <c r="L397" s="32" t="s">
        <v>75</v>
      </c>
      <c r="M397" s="33">
        <v>0.0</v>
      </c>
      <c r="N397" s="34">
        <v>4053.85</v>
      </c>
      <c r="O397" s="27" t="s">
        <v>76</v>
      </c>
      <c r="P397" s="35" t="s">
        <v>122</v>
      </c>
      <c r="Q397" s="35">
        <v>0.0</v>
      </c>
      <c r="R397" s="36" t="e">
        <v>#VALUE!</v>
      </c>
      <c r="S397" s="35" t="s">
        <v>86</v>
      </c>
      <c r="T397" s="35">
        <v>0.0</v>
      </c>
      <c r="U397" s="37" t="s">
        <v>67</v>
      </c>
      <c r="V397" s="38"/>
      <c r="W397" s="38"/>
      <c r="X397" s="27"/>
      <c r="Y397" s="39"/>
      <c r="Z397" s="39"/>
      <c r="AA397" s="39"/>
      <c r="AB397" s="40"/>
      <c r="AC397" s="27">
        <f t="shared" si="276"/>
        <v>0</v>
      </c>
      <c r="AD397" s="41">
        <f t="shared" si="288"/>
        <v>0</v>
      </c>
      <c r="AE397" s="42"/>
      <c r="AF397" s="27"/>
      <c r="AG397" s="43">
        <f t="shared" si="286"/>
        <v>0</v>
      </c>
      <c r="AH397" s="29"/>
      <c r="AI397" s="29"/>
      <c r="AJ397" s="29"/>
      <c r="AK397" s="29"/>
      <c r="AL397" s="27"/>
      <c r="AM397" s="44"/>
      <c r="AN397" s="115"/>
      <c r="AO397" s="46"/>
      <c r="AP397" s="47"/>
      <c r="AQ397" s="43">
        <f t="shared" si="287"/>
        <v>0</v>
      </c>
      <c r="AR397" s="43">
        <f t="shared" si="2"/>
        <v>0</v>
      </c>
      <c r="AS397" s="43">
        <f t="shared" si="3"/>
        <v>0</v>
      </c>
      <c r="AT397" s="48">
        <f t="shared" si="4"/>
        <v>0</v>
      </c>
      <c r="AU397" s="49">
        <f t="shared" si="283"/>
        <v>0</v>
      </c>
      <c r="AV397" s="48"/>
      <c r="AW397" s="34">
        <f t="shared" si="280"/>
        <v>4053.85</v>
      </c>
      <c r="AX397" s="50">
        <f t="shared" si="248"/>
        <v>0</v>
      </c>
      <c r="AY397" s="43"/>
      <c r="AZ397" s="43"/>
      <c r="BA397" s="48">
        <f t="shared" si="200"/>
        <v>0</v>
      </c>
      <c r="BB397" s="27"/>
      <c r="BC397" s="27"/>
      <c r="BD397" s="51"/>
      <c r="BE397" s="52"/>
      <c r="BF397" s="27" t="s">
        <v>1413</v>
      </c>
      <c r="BG397" s="53">
        <v>0.0</v>
      </c>
      <c r="BH397" s="53" t="str">
        <f t="shared" si="289"/>
        <v>#REF!</v>
      </c>
      <c r="BI397" s="27"/>
      <c r="BJ397" s="27"/>
      <c r="BK397" s="27" t="s">
        <v>76</v>
      </c>
      <c r="BL397" s="27"/>
    </row>
    <row r="398" ht="14.25" customHeight="1">
      <c r="A398" s="26" t="s">
        <v>55</v>
      </c>
      <c r="B398" s="26" t="s">
        <v>56</v>
      </c>
      <c r="C398" s="26" t="s">
        <v>57</v>
      </c>
      <c r="D398" s="26" t="s">
        <v>58</v>
      </c>
      <c r="E398" s="27" t="s">
        <v>1416</v>
      </c>
      <c r="F398" s="28" t="s">
        <v>1417</v>
      </c>
      <c r="G398" s="29" t="s">
        <v>1404</v>
      </c>
      <c r="H398" s="30">
        <v>45062.0</v>
      </c>
      <c r="I398" s="30">
        <v>45427.0</v>
      </c>
      <c r="J398" s="31" t="s">
        <v>1418</v>
      </c>
      <c r="K398" s="26" t="s">
        <v>427</v>
      </c>
      <c r="L398" s="32" t="s">
        <v>75</v>
      </c>
      <c r="M398" s="33">
        <v>0.0</v>
      </c>
      <c r="N398" s="34">
        <v>3355.14</v>
      </c>
      <c r="O398" s="27" t="s">
        <v>76</v>
      </c>
      <c r="P398" s="35" t="s">
        <v>122</v>
      </c>
      <c r="Q398" s="35">
        <v>0.0</v>
      </c>
      <c r="R398" s="36" t="e">
        <v>#VALUE!</v>
      </c>
      <c r="S398" s="35" t="s">
        <v>86</v>
      </c>
      <c r="T398" s="35">
        <v>0.0</v>
      </c>
      <c r="U398" s="37" t="s">
        <v>67</v>
      </c>
      <c r="V398" s="38"/>
      <c r="W398" s="38"/>
      <c r="X398" s="27"/>
      <c r="Y398" s="39"/>
      <c r="Z398" s="39"/>
      <c r="AA398" s="39"/>
      <c r="AB398" s="40"/>
      <c r="AC398" s="27">
        <f t="shared" si="276"/>
        <v>0</v>
      </c>
      <c r="AD398" s="41">
        <f t="shared" si="288"/>
        <v>0</v>
      </c>
      <c r="AE398" s="42"/>
      <c r="AF398" s="27"/>
      <c r="AG398" s="43">
        <f t="shared" si="286"/>
        <v>0</v>
      </c>
      <c r="AH398" s="29"/>
      <c r="AI398" s="29"/>
      <c r="AJ398" s="29"/>
      <c r="AK398" s="29"/>
      <c r="AL398" s="27"/>
      <c r="AM398" s="44"/>
      <c r="AN398" s="115"/>
      <c r="AO398" s="46"/>
      <c r="AP398" s="47"/>
      <c r="AQ398" s="43">
        <f t="shared" si="287"/>
        <v>0</v>
      </c>
      <c r="AR398" s="43">
        <f t="shared" si="2"/>
        <v>0</v>
      </c>
      <c r="AS398" s="43">
        <f t="shared" si="3"/>
        <v>0</v>
      </c>
      <c r="AT398" s="48">
        <f t="shared" si="4"/>
        <v>0</v>
      </c>
      <c r="AU398" s="49">
        <f t="shared" si="283"/>
        <v>0</v>
      </c>
      <c r="AV398" s="48"/>
      <c r="AW398" s="34">
        <f t="shared" si="280"/>
        <v>3355.14</v>
      </c>
      <c r="AX398" s="50">
        <f t="shared" si="248"/>
        <v>0</v>
      </c>
      <c r="AY398" s="43"/>
      <c r="AZ398" s="43"/>
      <c r="BA398" s="48">
        <f t="shared" si="200"/>
        <v>0</v>
      </c>
      <c r="BB398" s="27"/>
      <c r="BC398" s="27"/>
      <c r="BD398" s="51"/>
      <c r="BE398" s="52"/>
      <c r="BF398" s="27" t="s">
        <v>1416</v>
      </c>
      <c r="BG398" s="53">
        <v>0.0</v>
      </c>
      <c r="BH398" s="53" t="str">
        <f>'[1]2023'!Q690</f>
        <v>#REF!</v>
      </c>
      <c r="BI398" s="27"/>
      <c r="BJ398" s="27"/>
      <c r="BK398" s="27" t="s">
        <v>76</v>
      </c>
      <c r="BL398" s="27"/>
    </row>
    <row r="399" ht="14.25" customHeight="1">
      <c r="A399" s="26" t="s">
        <v>55</v>
      </c>
      <c r="B399" s="26" t="s">
        <v>56</v>
      </c>
      <c r="C399" s="26" t="s">
        <v>57</v>
      </c>
      <c r="D399" s="26" t="s">
        <v>58</v>
      </c>
      <c r="E399" s="27" t="s">
        <v>1419</v>
      </c>
      <c r="F399" s="28" t="s">
        <v>1420</v>
      </c>
      <c r="G399" s="29" t="s">
        <v>1404</v>
      </c>
      <c r="H399" s="30">
        <v>45062.0</v>
      </c>
      <c r="I399" s="30">
        <v>45427.0</v>
      </c>
      <c r="J399" s="31" t="s">
        <v>1421</v>
      </c>
      <c r="K399" s="26" t="s">
        <v>427</v>
      </c>
      <c r="L399" s="73" t="s">
        <v>75</v>
      </c>
      <c r="M399" s="33">
        <v>0.0</v>
      </c>
      <c r="N399" s="34">
        <v>12089.66</v>
      </c>
      <c r="O399" s="27" t="s">
        <v>76</v>
      </c>
      <c r="P399" s="35" t="s">
        <v>430</v>
      </c>
      <c r="Q399" s="35">
        <v>0.0</v>
      </c>
      <c r="R399" s="36" t="e">
        <v>#VALUE!</v>
      </c>
      <c r="S399" s="35" t="s">
        <v>86</v>
      </c>
      <c r="T399" s="35">
        <v>0.0</v>
      </c>
      <c r="U399" s="37" t="s">
        <v>67</v>
      </c>
      <c r="V399" s="38"/>
      <c r="W399" s="38"/>
      <c r="X399" s="27"/>
      <c r="Y399" s="39"/>
      <c r="Z399" s="39"/>
      <c r="AA399" s="39"/>
      <c r="AB399" s="40"/>
      <c r="AC399" s="27">
        <f t="shared" si="276"/>
        <v>0</v>
      </c>
      <c r="AD399" s="41">
        <f t="shared" si="288"/>
        <v>0</v>
      </c>
      <c r="AE399" s="42"/>
      <c r="AF399" s="27"/>
      <c r="AG399" s="43">
        <f t="shared" si="286"/>
        <v>0</v>
      </c>
      <c r="AH399" s="29"/>
      <c r="AI399" s="29"/>
      <c r="AJ399" s="29"/>
      <c r="AK399" s="75"/>
      <c r="AL399" s="27"/>
      <c r="AM399" s="44"/>
      <c r="AN399" s="115"/>
      <c r="AO399" s="46"/>
      <c r="AP399" s="47"/>
      <c r="AQ399" s="43">
        <f t="shared" si="287"/>
        <v>0</v>
      </c>
      <c r="AR399" s="43">
        <f t="shared" si="2"/>
        <v>0</v>
      </c>
      <c r="AS399" s="43">
        <f t="shared" si="3"/>
        <v>0</v>
      </c>
      <c r="AT399" s="48">
        <f t="shared" si="4"/>
        <v>0</v>
      </c>
      <c r="AU399" s="103">
        <f t="shared" si="283"/>
        <v>0</v>
      </c>
      <c r="AV399" s="48"/>
      <c r="AW399" s="34">
        <f t="shared" si="280"/>
        <v>12089.66</v>
      </c>
      <c r="AX399" s="50">
        <f t="shared" si="248"/>
        <v>0</v>
      </c>
      <c r="AY399" s="43"/>
      <c r="AZ399" s="43"/>
      <c r="BA399" s="48">
        <f t="shared" si="200"/>
        <v>0</v>
      </c>
      <c r="BB399" s="27"/>
      <c r="BC399" s="27"/>
      <c r="BD399" s="51"/>
      <c r="BE399" s="52"/>
      <c r="BF399" s="27" t="s">
        <v>1419</v>
      </c>
      <c r="BG399" s="53">
        <v>0.0</v>
      </c>
      <c r="BH399" s="53" t="str">
        <f t="shared" ref="BH399:BH400" si="290">'[1]2023'!Q692</f>
        <v>#REF!</v>
      </c>
      <c r="BI399" s="27"/>
      <c r="BJ399" s="27"/>
      <c r="BK399" s="27" t="s">
        <v>76</v>
      </c>
      <c r="BL399" s="27"/>
    </row>
    <row r="400" ht="14.25" customHeight="1">
      <c r="A400" s="26" t="s">
        <v>55</v>
      </c>
      <c r="B400" s="26" t="s">
        <v>56</v>
      </c>
      <c r="C400" s="26" t="s">
        <v>57</v>
      </c>
      <c r="D400" s="26" t="s">
        <v>58</v>
      </c>
      <c r="E400" s="27" t="s">
        <v>1422</v>
      </c>
      <c r="F400" s="28" t="s">
        <v>1423</v>
      </c>
      <c r="G400" s="29" t="s">
        <v>1404</v>
      </c>
      <c r="H400" s="30">
        <v>45062.0</v>
      </c>
      <c r="I400" s="30">
        <v>45427.0</v>
      </c>
      <c r="J400" s="31" t="s">
        <v>1424</v>
      </c>
      <c r="K400" s="26" t="s">
        <v>427</v>
      </c>
      <c r="L400" s="32" t="s">
        <v>75</v>
      </c>
      <c r="M400" s="33">
        <v>0.0</v>
      </c>
      <c r="N400" s="34">
        <v>3498.18</v>
      </c>
      <c r="O400" s="27" t="s">
        <v>76</v>
      </c>
      <c r="P400" s="35" t="s">
        <v>122</v>
      </c>
      <c r="Q400" s="35">
        <v>0.0</v>
      </c>
      <c r="R400" s="36" t="e">
        <v>#VALUE!</v>
      </c>
      <c r="S400" s="35" t="s">
        <v>86</v>
      </c>
      <c r="T400" s="35">
        <v>0.0</v>
      </c>
      <c r="U400" s="37" t="s">
        <v>67</v>
      </c>
      <c r="V400" s="38"/>
      <c r="W400" s="38"/>
      <c r="X400" s="27"/>
      <c r="Y400" s="39"/>
      <c r="Z400" s="39"/>
      <c r="AA400" s="39"/>
      <c r="AB400" s="40"/>
      <c r="AC400" s="27">
        <f t="shared" si="276"/>
        <v>0</v>
      </c>
      <c r="AD400" s="41">
        <f t="shared" si="288"/>
        <v>0</v>
      </c>
      <c r="AE400" s="42"/>
      <c r="AF400" s="27"/>
      <c r="AG400" s="43">
        <f t="shared" si="286"/>
        <v>0</v>
      </c>
      <c r="AH400" s="29"/>
      <c r="AI400" s="29"/>
      <c r="AJ400" s="29"/>
      <c r="AK400" s="29"/>
      <c r="AL400" s="27"/>
      <c r="AM400" s="44"/>
      <c r="AN400" s="115"/>
      <c r="AO400" s="46"/>
      <c r="AP400" s="47"/>
      <c r="AQ400" s="43">
        <f t="shared" si="287"/>
        <v>0</v>
      </c>
      <c r="AR400" s="43">
        <f t="shared" si="2"/>
        <v>0</v>
      </c>
      <c r="AS400" s="43">
        <f t="shared" si="3"/>
        <v>0</v>
      </c>
      <c r="AT400" s="48">
        <f t="shared" si="4"/>
        <v>0</v>
      </c>
      <c r="AU400" s="49">
        <f t="shared" si="283"/>
        <v>0</v>
      </c>
      <c r="AV400" s="48"/>
      <c r="AW400" s="34">
        <f t="shared" si="280"/>
        <v>3498.18</v>
      </c>
      <c r="AX400" s="50">
        <f t="shared" si="248"/>
        <v>0</v>
      </c>
      <c r="AY400" s="43"/>
      <c r="AZ400" s="43"/>
      <c r="BA400" s="48">
        <f t="shared" si="200"/>
        <v>0</v>
      </c>
      <c r="BB400" s="27"/>
      <c r="BC400" s="27"/>
      <c r="BD400" s="51"/>
      <c r="BE400" s="52"/>
      <c r="BF400" s="27" t="s">
        <v>1422</v>
      </c>
      <c r="BG400" s="124">
        <v>0.0</v>
      </c>
      <c r="BH400" s="53" t="str">
        <f t="shared" si="290"/>
        <v>#REF!</v>
      </c>
      <c r="BI400" s="27"/>
      <c r="BJ400" s="27"/>
      <c r="BK400" s="27" t="s">
        <v>76</v>
      </c>
      <c r="BL400" s="27"/>
    </row>
    <row r="401" ht="14.25" customHeight="1">
      <c r="A401" s="26" t="s">
        <v>55</v>
      </c>
      <c r="B401" s="26" t="s">
        <v>56</v>
      </c>
      <c r="C401" s="26" t="s">
        <v>57</v>
      </c>
      <c r="D401" s="26" t="s">
        <v>81</v>
      </c>
      <c r="E401" s="27" t="s">
        <v>1425</v>
      </c>
      <c r="F401" s="28" t="s">
        <v>1426</v>
      </c>
      <c r="G401" s="29" t="s">
        <v>1427</v>
      </c>
      <c r="H401" s="30">
        <v>45063.0</v>
      </c>
      <c r="I401" s="30">
        <v>45428.0</v>
      </c>
      <c r="J401" s="31">
        <v>0.0</v>
      </c>
      <c r="K401" s="26" t="s">
        <v>427</v>
      </c>
      <c r="L401" s="32" t="s">
        <v>75</v>
      </c>
      <c r="M401" s="33">
        <v>18287.5</v>
      </c>
      <c r="N401" s="34">
        <v>19507.48</v>
      </c>
      <c r="O401" s="27" t="s">
        <v>76</v>
      </c>
      <c r="P401" s="35" t="s">
        <v>122</v>
      </c>
      <c r="Q401" s="35" t="s">
        <v>108</v>
      </c>
      <c r="R401" s="36" t="e">
        <v>#VALUE!</v>
      </c>
      <c r="S401" s="35" t="s">
        <v>86</v>
      </c>
      <c r="T401" s="35">
        <v>0.0</v>
      </c>
      <c r="U401" s="37" t="s">
        <v>67</v>
      </c>
      <c r="V401" s="38"/>
      <c r="W401" s="38"/>
      <c r="X401" s="27"/>
      <c r="Y401" s="39"/>
      <c r="Z401" s="39"/>
      <c r="AA401" s="39"/>
      <c r="AB401" s="40"/>
      <c r="AC401" s="27">
        <f t="shared" si="276"/>
        <v>0</v>
      </c>
      <c r="AD401" s="41">
        <f t="shared" ref="AD401:AD403" si="291">IF(AND(S401="0",O401="Paid"),M401*15%,0)</f>
        <v>2743.125</v>
      </c>
      <c r="AE401" s="42"/>
      <c r="AF401" s="27" t="s">
        <v>880</v>
      </c>
      <c r="AG401" s="43">
        <f t="shared" si="286"/>
        <v>4690.74375</v>
      </c>
      <c r="AH401" s="29"/>
      <c r="AI401" s="29"/>
      <c r="AJ401" s="29"/>
      <c r="AK401" s="29"/>
      <c r="AL401" s="27"/>
      <c r="AM401" s="27"/>
      <c r="AN401" s="93"/>
      <c r="AO401" s="46"/>
      <c r="AP401" s="47"/>
      <c r="AQ401" s="43">
        <f t="shared" si="287"/>
        <v>4937.625</v>
      </c>
      <c r="AR401" s="43">
        <f t="shared" si="2"/>
        <v>246.88125</v>
      </c>
      <c r="AS401" s="43">
        <f t="shared" si="3"/>
        <v>864.084375</v>
      </c>
      <c r="AT401" s="48">
        <f t="shared" si="4"/>
        <v>3826.659375</v>
      </c>
      <c r="AU401" s="49">
        <f t="shared" si="283"/>
        <v>3826.659375</v>
      </c>
      <c r="AV401" s="48"/>
      <c r="AW401" s="34">
        <f t="shared" si="280"/>
        <v>16764.355</v>
      </c>
      <c r="AX401" s="50">
        <f t="shared" si="248"/>
        <v>1083.534375</v>
      </c>
      <c r="AY401" s="43"/>
      <c r="AZ401" s="43"/>
      <c r="BA401" s="48">
        <f t="shared" si="200"/>
        <v>3826.659375</v>
      </c>
      <c r="BB401" s="27"/>
      <c r="BC401" s="27"/>
      <c r="BD401" s="51"/>
      <c r="BE401" s="52"/>
      <c r="BF401" s="27" t="s">
        <v>1425</v>
      </c>
      <c r="BG401" s="58" t="s">
        <v>562</v>
      </c>
      <c r="BH401" s="53" t="str">
        <f>'[1]2023'!Q540</f>
        <v>#REF!</v>
      </c>
      <c r="BI401" s="27"/>
      <c r="BJ401" s="27"/>
      <c r="BK401" s="27" t="s">
        <v>76</v>
      </c>
      <c r="BL401" s="27"/>
    </row>
    <row r="402" ht="14.25" customHeight="1">
      <c r="A402" s="26" t="s">
        <v>55</v>
      </c>
      <c r="B402" s="26" t="s">
        <v>56</v>
      </c>
      <c r="C402" s="26" t="s">
        <v>57</v>
      </c>
      <c r="D402" s="26" t="s">
        <v>81</v>
      </c>
      <c r="E402" s="27" t="s">
        <v>1428</v>
      </c>
      <c r="F402" s="28" t="s">
        <v>1429</v>
      </c>
      <c r="G402" s="29" t="s">
        <v>1427</v>
      </c>
      <c r="H402" s="30">
        <v>45063.0</v>
      </c>
      <c r="I402" s="30">
        <v>45428.0</v>
      </c>
      <c r="J402" s="31">
        <v>0.0</v>
      </c>
      <c r="K402" s="26" t="s">
        <v>427</v>
      </c>
      <c r="L402" s="32" t="s">
        <v>305</v>
      </c>
      <c r="M402" s="33">
        <v>16933.0</v>
      </c>
      <c r="N402" s="34">
        <v>18073.05</v>
      </c>
      <c r="O402" s="27" t="s">
        <v>76</v>
      </c>
      <c r="P402" s="35" t="s">
        <v>142</v>
      </c>
      <c r="Q402" s="35" t="s">
        <v>90</v>
      </c>
      <c r="R402" s="36" t="e">
        <v>#VALUE!</v>
      </c>
      <c r="S402" s="35" t="s">
        <v>86</v>
      </c>
      <c r="T402" s="35">
        <v>0.0</v>
      </c>
      <c r="U402" s="37" t="s">
        <v>67</v>
      </c>
      <c r="V402" s="38"/>
      <c r="W402" s="38"/>
      <c r="X402" s="27"/>
      <c r="Y402" s="39"/>
      <c r="Z402" s="79" t="s">
        <v>232</v>
      </c>
      <c r="AA402" s="39"/>
      <c r="AB402" s="40"/>
      <c r="AC402" s="27">
        <f t="shared" si="276"/>
        <v>0</v>
      </c>
      <c r="AD402" s="41">
        <f t="shared" si="291"/>
        <v>2539.95</v>
      </c>
      <c r="AE402" s="42"/>
      <c r="AF402" s="27" t="s">
        <v>306</v>
      </c>
      <c r="AG402" s="43">
        <f t="shared" si="286"/>
        <v>4343.3145</v>
      </c>
      <c r="AH402" s="29"/>
      <c r="AI402" s="29"/>
      <c r="AJ402" s="29"/>
      <c r="AK402" s="29"/>
      <c r="AL402" s="27"/>
      <c r="AM402" s="27"/>
      <c r="AN402" s="93"/>
      <c r="AO402" s="76"/>
      <c r="AP402" s="47"/>
      <c r="AQ402" s="43">
        <f t="shared" si="287"/>
        <v>4571.91</v>
      </c>
      <c r="AR402" s="43">
        <f t="shared" si="2"/>
        <v>228.5955</v>
      </c>
      <c r="AS402" s="43">
        <f t="shared" si="3"/>
        <v>800.08425</v>
      </c>
      <c r="AT402" s="48">
        <f t="shared" si="4"/>
        <v>3543.23025</v>
      </c>
      <c r="AU402" s="49">
        <f t="shared" si="283"/>
        <v>3543.23025</v>
      </c>
      <c r="AV402" s="48"/>
      <c r="AW402" s="82">
        <f t="shared" si="280"/>
        <v>15533.1</v>
      </c>
      <c r="AX402" s="50">
        <f t="shared" si="248"/>
        <v>1003.28025</v>
      </c>
      <c r="AY402" s="43"/>
      <c r="AZ402" s="43"/>
      <c r="BA402" s="48">
        <f t="shared" si="200"/>
        <v>3543.23025</v>
      </c>
      <c r="BB402" s="27"/>
      <c r="BC402" s="27"/>
      <c r="BD402" s="51"/>
      <c r="BE402" s="52"/>
      <c r="BF402" s="27" t="s">
        <v>1428</v>
      </c>
      <c r="BG402" s="53">
        <v>0.0</v>
      </c>
      <c r="BH402" s="53" t="str">
        <f>'[1]2023'!Q543</f>
        <v>#REF!</v>
      </c>
      <c r="BI402" s="27"/>
      <c r="BJ402" s="27"/>
      <c r="BK402" s="27" t="s">
        <v>76</v>
      </c>
      <c r="BL402" s="27"/>
    </row>
    <row r="403" ht="14.25" customHeight="1">
      <c r="A403" s="26" t="s">
        <v>55</v>
      </c>
      <c r="B403" s="26" t="s">
        <v>56</v>
      </c>
      <c r="C403" s="26" t="s">
        <v>57</v>
      </c>
      <c r="D403" s="26" t="s">
        <v>81</v>
      </c>
      <c r="E403" s="27" t="s">
        <v>1430</v>
      </c>
      <c r="F403" s="28" t="s">
        <v>1431</v>
      </c>
      <c r="G403" s="29" t="s">
        <v>1427</v>
      </c>
      <c r="H403" s="30">
        <v>45063.0</v>
      </c>
      <c r="I403" s="30">
        <v>45428.0</v>
      </c>
      <c r="J403" s="31">
        <v>0.0</v>
      </c>
      <c r="K403" s="26" t="s">
        <v>427</v>
      </c>
      <c r="L403" s="73" t="s">
        <v>75</v>
      </c>
      <c r="M403" s="33">
        <v>17119.0</v>
      </c>
      <c r="N403" s="34">
        <v>18269.02</v>
      </c>
      <c r="O403" s="27" t="s">
        <v>76</v>
      </c>
      <c r="P403" s="35" t="s">
        <v>430</v>
      </c>
      <c r="Q403" s="35" t="s">
        <v>90</v>
      </c>
      <c r="R403" s="36" t="e">
        <v>#VALUE!</v>
      </c>
      <c r="S403" s="35" t="s">
        <v>86</v>
      </c>
      <c r="T403" s="35">
        <v>0.0</v>
      </c>
      <c r="U403" s="37" t="s">
        <v>67</v>
      </c>
      <c r="V403" s="38"/>
      <c r="W403" s="38"/>
      <c r="X403" s="27"/>
      <c r="Y403" s="39"/>
      <c r="Z403" s="39" t="s">
        <v>1432</v>
      </c>
      <c r="AA403" s="39"/>
      <c r="AB403" s="40"/>
      <c r="AC403" s="27">
        <f t="shared" si="276"/>
        <v>0</v>
      </c>
      <c r="AD403" s="41">
        <f t="shared" si="291"/>
        <v>2567.85</v>
      </c>
      <c r="AE403" s="42"/>
      <c r="AF403" s="27"/>
      <c r="AG403" s="43">
        <f t="shared" si="286"/>
        <v>4391.0235</v>
      </c>
      <c r="AH403" s="29"/>
      <c r="AI403" s="29"/>
      <c r="AJ403" s="29"/>
      <c r="AK403" s="75"/>
      <c r="AL403" s="27"/>
      <c r="AM403" s="44"/>
      <c r="AN403" s="115"/>
      <c r="AO403" s="76"/>
      <c r="AP403" s="47"/>
      <c r="AQ403" s="43">
        <f t="shared" si="287"/>
        <v>4622.13</v>
      </c>
      <c r="AR403" s="43">
        <f t="shared" si="2"/>
        <v>231.1065</v>
      </c>
      <c r="AS403" s="43">
        <f t="shared" si="3"/>
        <v>808.87275</v>
      </c>
      <c r="AT403" s="48">
        <f t="shared" si="4"/>
        <v>3582.15075</v>
      </c>
      <c r="AU403" s="49">
        <f t="shared" si="283"/>
        <v>3582.15075</v>
      </c>
      <c r="AV403" s="48"/>
      <c r="AW403" s="34">
        <f t="shared" si="280"/>
        <v>15701.17</v>
      </c>
      <c r="AX403" s="50">
        <f t="shared" si="248"/>
        <v>1014.30075</v>
      </c>
      <c r="AY403" s="43"/>
      <c r="AZ403" s="43"/>
      <c r="BA403" s="48">
        <f t="shared" si="200"/>
        <v>3582.15075</v>
      </c>
      <c r="BB403" s="27"/>
      <c r="BC403" s="27"/>
      <c r="BD403" s="51"/>
      <c r="BE403" s="52"/>
      <c r="BF403" s="80" t="s">
        <v>1430</v>
      </c>
      <c r="BG403" s="53">
        <v>0.0</v>
      </c>
      <c r="BH403" s="53" t="str">
        <f>'[1]2023'!Q594</f>
        <v>#REF!</v>
      </c>
      <c r="BI403" s="27"/>
      <c r="BJ403" s="27"/>
      <c r="BK403" s="27" t="s">
        <v>76</v>
      </c>
      <c r="BL403" s="27"/>
    </row>
    <row r="404" ht="14.25" customHeight="1">
      <c r="A404" s="26" t="s">
        <v>111</v>
      </c>
      <c r="B404" s="26" t="s">
        <v>56</v>
      </c>
      <c r="C404" s="26" t="s">
        <v>57</v>
      </c>
      <c r="D404" s="26" t="s">
        <v>71</v>
      </c>
      <c r="E404" s="27" t="s">
        <v>1433</v>
      </c>
      <c r="F404" s="28" t="s">
        <v>1434</v>
      </c>
      <c r="G404" s="29" t="s">
        <v>1427</v>
      </c>
      <c r="H404" s="30">
        <v>45063.0</v>
      </c>
      <c r="I404" s="30">
        <v>45428.0</v>
      </c>
      <c r="J404" s="31" t="s">
        <v>1435</v>
      </c>
      <c r="K404" s="26" t="s">
        <v>427</v>
      </c>
      <c r="L404" s="32" t="s">
        <v>75</v>
      </c>
      <c r="M404" s="33">
        <v>24309.92</v>
      </c>
      <c r="N404" s="34">
        <v>26000.0</v>
      </c>
      <c r="O404" s="27" t="s">
        <v>76</v>
      </c>
      <c r="P404" s="35" t="s">
        <v>89</v>
      </c>
      <c r="Q404" s="35" t="s">
        <v>114</v>
      </c>
      <c r="R404" s="36" t="e">
        <v>#VALUE!</v>
      </c>
      <c r="S404" s="35" t="s">
        <v>66</v>
      </c>
      <c r="T404" s="35">
        <v>0.0</v>
      </c>
      <c r="U404" s="37" t="s">
        <v>115</v>
      </c>
      <c r="V404" s="38">
        <v>1000000.0</v>
      </c>
      <c r="W404" s="38"/>
      <c r="X404" s="27"/>
      <c r="Y404" s="39"/>
      <c r="Z404" s="79" t="s">
        <v>1436</v>
      </c>
      <c r="AA404" s="39"/>
      <c r="AB404" s="40"/>
      <c r="AC404" s="27">
        <f t="shared" si="276"/>
        <v>0</v>
      </c>
      <c r="AD404" s="41">
        <f>IF(AND(S404="0",O404="Paid"),(M404*15%)-AC404,0)</f>
        <v>0</v>
      </c>
      <c r="AE404" s="42"/>
      <c r="AF404" s="27"/>
      <c r="AG404" s="43">
        <f>IF(O404="Paid",IF(A404="Alwataniya",(M404*21%)-((M404*21%)*5%),IF((A404="GIG"),(M404*25%)-((M404*25%)*5%),IF((A404="Allianz"),(M404*27%)-((M404*27%)*20%),0))),0)</f>
        <v>5773.606</v>
      </c>
      <c r="AH404" s="29" t="s">
        <v>1351</v>
      </c>
      <c r="AI404" s="61" t="s">
        <v>1344</v>
      </c>
      <c r="AJ404" s="40"/>
      <c r="AK404" s="62" t="s">
        <v>63</v>
      </c>
      <c r="AL404" s="27"/>
      <c r="AM404" s="138">
        <f>((M404*25%)-((M404*25%)*22.5%))*30%</f>
        <v>1413.0141</v>
      </c>
      <c r="AN404" s="120" t="s">
        <v>1038</v>
      </c>
      <c r="AO404" s="76"/>
      <c r="AP404" s="47"/>
      <c r="AQ404" s="43">
        <f t="shared" si="287"/>
        <v>6077.48</v>
      </c>
      <c r="AR404" s="43">
        <f t="shared" si="2"/>
        <v>303.874</v>
      </c>
      <c r="AS404" s="43">
        <f t="shared" si="3"/>
        <v>1063.559</v>
      </c>
      <c r="AT404" s="48">
        <f t="shared" si="4"/>
        <v>4710.047</v>
      </c>
      <c r="AU404" s="49">
        <f t="shared" si="283"/>
        <v>4710.047</v>
      </c>
      <c r="AV404" s="48"/>
      <c r="AW404" s="34">
        <f t="shared" si="280"/>
        <v>26000</v>
      </c>
      <c r="AX404" s="50">
        <f t="shared" si="248"/>
        <v>3297.0329</v>
      </c>
      <c r="AY404" s="43"/>
      <c r="AZ404" s="43"/>
      <c r="BA404" s="48">
        <f t="shared" si="200"/>
        <v>3297.0329</v>
      </c>
      <c r="BB404" s="27"/>
      <c r="BC404" s="27"/>
      <c r="BD404" s="51"/>
      <c r="BE404" s="52" t="s">
        <v>440</v>
      </c>
      <c r="BF404" s="27" t="s">
        <v>1433</v>
      </c>
      <c r="BG404" s="58" t="s">
        <v>1437</v>
      </c>
      <c r="BH404" s="53" t="str">
        <f>'[1]2023'!Q660</f>
        <v>#REF!</v>
      </c>
      <c r="BI404" s="27"/>
      <c r="BJ404" s="27"/>
      <c r="BK404" s="27" t="s">
        <v>76</v>
      </c>
      <c r="BL404" s="27"/>
    </row>
    <row r="405" ht="14.25" customHeight="1">
      <c r="A405" s="26" t="s">
        <v>55</v>
      </c>
      <c r="B405" s="26" t="s">
        <v>56</v>
      </c>
      <c r="C405" s="26" t="s">
        <v>57</v>
      </c>
      <c r="D405" s="26" t="s">
        <v>58</v>
      </c>
      <c r="E405" s="27" t="s">
        <v>1438</v>
      </c>
      <c r="F405" s="28" t="s">
        <v>1439</v>
      </c>
      <c r="G405" s="29" t="s">
        <v>1427</v>
      </c>
      <c r="H405" s="30">
        <v>45063.0</v>
      </c>
      <c r="I405" s="30">
        <v>45428.0</v>
      </c>
      <c r="J405" s="31" t="s">
        <v>1418</v>
      </c>
      <c r="K405" s="26" t="s">
        <v>427</v>
      </c>
      <c r="L405" s="32" t="s">
        <v>75</v>
      </c>
      <c r="M405" s="33">
        <v>5017.56</v>
      </c>
      <c r="N405" s="34">
        <v>5313.61</v>
      </c>
      <c r="O405" s="27" t="s">
        <v>76</v>
      </c>
      <c r="P405" s="35" t="s">
        <v>430</v>
      </c>
      <c r="Q405" s="35">
        <v>0.0</v>
      </c>
      <c r="R405" s="36" t="e">
        <v>#VALUE!</v>
      </c>
      <c r="S405" s="35" t="s">
        <v>86</v>
      </c>
      <c r="T405" s="35">
        <v>0.0</v>
      </c>
      <c r="U405" s="37" t="s">
        <v>67</v>
      </c>
      <c r="V405" s="38"/>
      <c r="W405" s="38"/>
      <c r="X405" s="27"/>
      <c r="Y405" s="39"/>
      <c r="Z405" s="39"/>
      <c r="AA405" s="39"/>
      <c r="AB405" s="40"/>
      <c r="AC405" s="27">
        <f t="shared" si="276"/>
        <v>0</v>
      </c>
      <c r="AD405" s="41">
        <f t="shared" ref="AD405:AD407" si="292">IF(AND(S405="0",O405="Paid"),M405*15%,0)</f>
        <v>752.634</v>
      </c>
      <c r="AE405" s="42"/>
      <c r="AF405" s="27"/>
      <c r="AG405" s="43">
        <f t="shared" ref="AG405:AG418" si="293">IF(O405="Paid",IF(A405="Alwataniya",(M405*21%)-((M405*21%)*5%),IF((A405="GIG"),(M405*25%)-((M405*25%)*5%),IF((A405="Allianz"),(M405*27%)-((M405*27%)*5%),0))),0)</f>
        <v>1287.00414</v>
      </c>
      <c r="AH405" s="29"/>
      <c r="AI405" s="29"/>
      <c r="AJ405" s="29"/>
      <c r="AK405" s="29"/>
      <c r="AL405" s="27"/>
      <c r="AM405" s="44"/>
      <c r="AN405" s="115"/>
      <c r="AO405" s="76"/>
      <c r="AP405" s="47"/>
      <c r="AQ405" s="43">
        <f t="shared" si="287"/>
        <v>1354.7412</v>
      </c>
      <c r="AR405" s="43">
        <f t="shared" si="2"/>
        <v>67.73706</v>
      </c>
      <c r="AS405" s="43">
        <f t="shared" si="3"/>
        <v>237.07971</v>
      </c>
      <c r="AT405" s="48">
        <f t="shared" si="4"/>
        <v>1049.92443</v>
      </c>
      <c r="AU405" s="49">
        <f t="shared" si="283"/>
        <v>1049.92443</v>
      </c>
      <c r="AV405" s="48"/>
      <c r="AW405" s="34">
        <f t="shared" si="280"/>
        <v>4560.976</v>
      </c>
      <c r="AX405" s="50">
        <f t="shared" si="248"/>
        <v>297.29043</v>
      </c>
      <c r="AY405" s="43"/>
      <c r="AZ405" s="43"/>
      <c r="BA405" s="48">
        <f t="shared" si="200"/>
        <v>1049.92443</v>
      </c>
      <c r="BB405" s="27"/>
      <c r="BC405" s="27"/>
      <c r="BD405" s="51"/>
      <c r="BE405" s="52"/>
      <c r="BF405" s="27" t="s">
        <v>1438</v>
      </c>
      <c r="BG405" s="53">
        <v>0.0</v>
      </c>
      <c r="BH405" s="53" t="str">
        <f>'[1]2023'!Q679</f>
        <v>#REF!</v>
      </c>
      <c r="BI405" s="27"/>
      <c r="BJ405" s="27"/>
      <c r="BK405" s="27" t="s">
        <v>76</v>
      </c>
      <c r="BL405" s="27"/>
    </row>
    <row r="406" ht="14.25" customHeight="1">
      <c r="A406" s="26" t="s">
        <v>55</v>
      </c>
      <c r="B406" s="26" t="s">
        <v>56</v>
      </c>
      <c r="C406" s="26" t="s">
        <v>57</v>
      </c>
      <c r="D406" s="26" t="s">
        <v>81</v>
      </c>
      <c r="E406" s="27" t="s">
        <v>1440</v>
      </c>
      <c r="F406" s="28" t="s">
        <v>1441</v>
      </c>
      <c r="G406" s="29" t="s">
        <v>1442</v>
      </c>
      <c r="H406" s="30">
        <v>45064.0</v>
      </c>
      <c r="I406" s="30">
        <v>45429.0</v>
      </c>
      <c r="J406" s="31">
        <v>0.0</v>
      </c>
      <c r="K406" s="26" t="s">
        <v>427</v>
      </c>
      <c r="L406" s="32" t="s">
        <v>75</v>
      </c>
      <c r="M406" s="33">
        <v>20598.38</v>
      </c>
      <c r="N406" s="34">
        <v>21954.69</v>
      </c>
      <c r="O406" s="27" t="s">
        <v>76</v>
      </c>
      <c r="P406" s="35" t="s">
        <v>142</v>
      </c>
      <c r="Q406" s="35" t="s">
        <v>90</v>
      </c>
      <c r="R406" s="36" t="e">
        <v>#VALUE!</v>
      </c>
      <c r="S406" s="35" t="s">
        <v>86</v>
      </c>
      <c r="T406" s="35">
        <v>0.0</v>
      </c>
      <c r="U406" s="37" t="s">
        <v>67</v>
      </c>
      <c r="V406" s="38"/>
      <c r="W406" s="38"/>
      <c r="X406" s="27"/>
      <c r="Y406" s="39"/>
      <c r="Z406" s="79" t="s">
        <v>208</v>
      </c>
      <c r="AA406" s="39"/>
      <c r="AB406" s="40"/>
      <c r="AC406" s="27">
        <f t="shared" si="276"/>
        <v>0</v>
      </c>
      <c r="AD406" s="41">
        <f t="shared" si="292"/>
        <v>3089.757</v>
      </c>
      <c r="AE406" s="42"/>
      <c r="AF406" s="27" t="s">
        <v>306</v>
      </c>
      <c r="AG406" s="43">
        <f t="shared" si="293"/>
        <v>5283.48447</v>
      </c>
      <c r="AH406" s="29"/>
      <c r="AI406" s="29"/>
      <c r="AJ406" s="29"/>
      <c r="AK406" s="75"/>
      <c r="AL406" s="27"/>
      <c r="AM406" s="44"/>
      <c r="AN406" s="115"/>
      <c r="AO406" s="46"/>
      <c r="AP406" s="47"/>
      <c r="AQ406" s="43">
        <f t="shared" si="287"/>
        <v>5561.5626</v>
      </c>
      <c r="AR406" s="43">
        <f t="shared" si="2"/>
        <v>278.07813</v>
      </c>
      <c r="AS406" s="43">
        <f t="shared" si="3"/>
        <v>973.273455</v>
      </c>
      <c r="AT406" s="48">
        <f t="shared" si="4"/>
        <v>4310.211015</v>
      </c>
      <c r="AU406" s="49">
        <f t="shared" si="283"/>
        <v>4310.211015</v>
      </c>
      <c r="AV406" s="48"/>
      <c r="AW406" s="34">
        <f t="shared" si="280"/>
        <v>18864.933</v>
      </c>
      <c r="AX406" s="50">
        <f t="shared" si="248"/>
        <v>1220.454015</v>
      </c>
      <c r="AY406" s="43"/>
      <c r="AZ406" s="43"/>
      <c r="BA406" s="48">
        <f t="shared" si="200"/>
        <v>4310.211015</v>
      </c>
      <c r="BB406" s="27"/>
      <c r="BC406" s="27"/>
      <c r="BD406" s="51"/>
      <c r="BE406" s="52"/>
      <c r="BF406" s="27" t="s">
        <v>1440</v>
      </c>
      <c r="BG406" s="53">
        <v>0.0</v>
      </c>
      <c r="BH406" s="53" t="str">
        <f t="shared" ref="BH406:BH407" si="294">'[1]2023'!Q567</f>
        <v>#REF!</v>
      </c>
      <c r="BI406" s="27"/>
      <c r="BJ406" s="27"/>
      <c r="BK406" s="27" t="s">
        <v>76</v>
      </c>
      <c r="BL406" s="27"/>
    </row>
    <row r="407" ht="14.25" customHeight="1">
      <c r="A407" s="26" t="s">
        <v>55</v>
      </c>
      <c r="B407" s="26" t="s">
        <v>56</v>
      </c>
      <c r="C407" s="26" t="s">
        <v>57</v>
      </c>
      <c r="D407" s="26" t="s">
        <v>81</v>
      </c>
      <c r="E407" s="27" t="s">
        <v>1443</v>
      </c>
      <c r="F407" s="28" t="s">
        <v>1444</v>
      </c>
      <c r="G407" s="29" t="s">
        <v>1442</v>
      </c>
      <c r="H407" s="30">
        <v>45064.0</v>
      </c>
      <c r="I407" s="30">
        <v>45429.0</v>
      </c>
      <c r="J407" s="31">
        <v>0.0</v>
      </c>
      <c r="K407" s="26" t="s">
        <v>427</v>
      </c>
      <c r="L407" s="32" t="s">
        <v>75</v>
      </c>
      <c r="M407" s="33">
        <v>20650.0</v>
      </c>
      <c r="N407" s="34">
        <v>22009.35</v>
      </c>
      <c r="O407" s="27" t="s">
        <v>76</v>
      </c>
      <c r="P407" s="35" t="s">
        <v>122</v>
      </c>
      <c r="Q407" s="35" t="s">
        <v>90</v>
      </c>
      <c r="R407" s="36" t="e">
        <v>#VALUE!</v>
      </c>
      <c r="S407" s="35" t="s">
        <v>86</v>
      </c>
      <c r="T407" s="35">
        <v>0.0</v>
      </c>
      <c r="U407" s="37" t="s">
        <v>67</v>
      </c>
      <c r="V407" s="38"/>
      <c r="W407" s="38"/>
      <c r="X407" s="27"/>
      <c r="Y407" s="39"/>
      <c r="Z407" s="79" t="s">
        <v>208</v>
      </c>
      <c r="AA407" s="39"/>
      <c r="AB407" s="40"/>
      <c r="AC407" s="27">
        <f t="shared" si="276"/>
        <v>0</v>
      </c>
      <c r="AD407" s="41">
        <f t="shared" si="292"/>
        <v>3097.5</v>
      </c>
      <c r="AE407" s="42"/>
      <c r="AF407" s="27"/>
      <c r="AG407" s="43">
        <f t="shared" si="293"/>
        <v>5296.725</v>
      </c>
      <c r="AH407" s="29"/>
      <c r="AI407" s="29"/>
      <c r="AJ407" s="29"/>
      <c r="AK407" s="29"/>
      <c r="AL407" s="27"/>
      <c r="AM407" s="44"/>
      <c r="AN407" s="115"/>
      <c r="AO407" s="46"/>
      <c r="AP407" s="47"/>
      <c r="AQ407" s="43">
        <f t="shared" si="287"/>
        <v>5575.5</v>
      </c>
      <c r="AR407" s="43">
        <f t="shared" si="2"/>
        <v>278.775</v>
      </c>
      <c r="AS407" s="43">
        <f t="shared" si="3"/>
        <v>975.7125</v>
      </c>
      <c r="AT407" s="48">
        <f t="shared" si="4"/>
        <v>4321.0125</v>
      </c>
      <c r="AU407" s="49">
        <f t="shared" si="283"/>
        <v>4321.0125</v>
      </c>
      <c r="AV407" s="48"/>
      <c r="AW407" s="34">
        <f t="shared" si="280"/>
        <v>18911.85</v>
      </c>
      <c r="AX407" s="50">
        <f t="shared" si="248"/>
        <v>1223.5125</v>
      </c>
      <c r="AY407" s="43"/>
      <c r="AZ407" s="43"/>
      <c r="BA407" s="48">
        <f t="shared" si="200"/>
        <v>4321.0125</v>
      </c>
      <c r="BB407" s="27"/>
      <c r="BC407" s="27"/>
      <c r="BD407" s="51"/>
      <c r="BE407" s="52"/>
      <c r="BF407" s="27" t="s">
        <v>1443</v>
      </c>
      <c r="BG407" s="53">
        <v>0.0</v>
      </c>
      <c r="BH407" s="53" t="str">
        <f t="shared" si="294"/>
        <v>#REF!</v>
      </c>
      <c r="BI407" s="27"/>
      <c r="BJ407" s="27"/>
      <c r="BK407" s="27" t="s">
        <v>76</v>
      </c>
      <c r="BL407" s="27"/>
    </row>
    <row r="408" ht="14.25" customHeight="1">
      <c r="A408" s="26" t="s">
        <v>55</v>
      </c>
      <c r="B408" s="26" t="s">
        <v>56</v>
      </c>
      <c r="C408" s="26" t="s">
        <v>57</v>
      </c>
      <c r="D408" s="26" t="s">
        <v>81</v>
      </c>
      <c r="E408" s="27" t="s">
        <v>1445</v>
      </c>
      <c r="F408" s="28" t="s">
        <v>1446</v>
      </c>
      <c r="G408" s="29" t="s">
        <v>1442</v>
      </c>
      <c r="H408" s="30">
        <v>45064.0</v>
      </c>
      <c r="I408" s="30">
        <v>45429.0</v>
      </c>
      <c r="J408" s="31">
        <v>0.0</v>
      </c>
      <c r="K408" s="26" t="s">
        <v>427</v>
      </c>
      <c r="L408" s="32" t="s">
        <v>75</v>
      </c>
      <c r="M408" s="33">
        <v>19760.0</v>
      </c>
      <c r="N408" s="34">
        <v>21069.84</v>
      </c>
      <c r="O408" s="27" t="s">
        <v>76</v>
      </c>
      <c r="P408" s="35" t="s">
        <v>122</v>
      </c>
      <c r="Q408" s="35" t="s">
        <v>65</v>
      </c>
      <c r="R408" s="36" t="e">
        <v>#VALUE!</v>
      </c>
      <c r="S408" s="35" t="s">
        <v>86</v>
      </c>
      <c r="T408" s="35">
        <v>0.0</v>
      </c>
      <c r="U408" s="37" t="s">
        <v>67</v>
      </c>
      <c r="V408" s="38"/>
      <c r="W408" s="38"/>
      <c r="X408" s="27"/>
      <c r="Y408" s="39"/>
      <c r="Z408" s="39"/>
      <c r="AA408" s="39"/>
      <c r="AB408" s="40"/>
      <c r="AC408" s="27">
        <f t="shared" si="276"/>
        <v>0</v>
      </c>
      <c r="AD408" s="41"/>
      <c r="AE408" s="42"/>
      <c r="AF408" s="27"/>
      <c r="AG408" s="43">
        <f t="shared" si="293"/>
        <v>5068.44</v>
      </c>
      <c r="AH408" s="29"/>
      <c r="AI408" s="29"/>
      <c r="AJ408" s="29"/>
      <c r="AK408" s="29"/>
      <c r="AL408" s="27"/>
      <c r="AM408" s="44"/>
      <c r="AN408" s="115"/>
      <c r="AO408" s="46"/>
      <c r="AP408" s="47"/>
      <c r="AQ408" s="43">
        <f t="shared" si="287"/>
        <v>5335.2</v>
      </c>
      <c r="AR408" s="43">
        <f t="shared" si="2"/>
        <v>266.76</v>
      </c>
      <c r="AS408" s="43">
        <f t="shared" si="3"/>
        <v>933.66</v>
      </c>
      <c r="AT408" s="48">
        <f t="shared" si="4"/>
        <v>4134.78</v>
      </c>
      <c r="AU408" s="49">
        <f t="shared" si="283"/>
        <v>4134.78</v>
      </c>
      <c r="AV408" s="48"/>
      <c r="AW408" s="34">
        <f t="shared" si="280"/>
        <v>21069.84</v>
      </c>
      <c r="AX408" s="50">
        <f t="shared" si="248"/>
        <v>4134.78</v>
      </c>
      <c r="AY408" s="43"/>
      <c r="AZ408" s="43"/>
      <c r="BA408" s="48">
        <f t="shared" si="200"/>
        <v>4134.78</v>
      </c>
      <c r="BB408" s="27"/>
      <c r="BC408" s="27"/>
      <c r="BD408" s="51"/>
      <c r="BE408" s="52"/>
      <c r="BF408" s="27" t="s">
        <v>1445</v>
      </c>
      <c r="BG408" s="53">
        <v>0.0</v>
      </c>
      <c r="BH408" s="53" t="str">
        <f>'[1]2023'!Q595</f>
        <v>#REF!</v>
      </c>
      <c r="BI408" s="27"/>
      <c r="BJ408" s="27"/>
      <c r="BK408" s="27" t="s">
        <v>76</v>
      </c>
      <c r="BL408" s="27"/>
    </row>
    <row r="409" ht="14.25" customHeight="1">
      <c r="A409" s="26" t="s">
        <v>55</v>
      </c>
      <c r="B409" s="26" t="s">
        <v>56</v>
      </c>
      <c r="C409" s="26" t="s">
        <v>57</v>
      </c>
      <c r="D409" s="26" t="s">
        <v>81</v>
      </c>
      <c r="E409" s="27" t="s">
        <v>1447</v>
      </c>
      <c r="F409" s="28" t="s">
        <v>1448</v>
      </c>
      <c r="G409" s="29" t="s">
        <v>1442</v>
      </c>
      <c r="H409" s="30">
        <v>45064.0</v>
      </c>
      <c r="I409" s="30">
        <v>45429.0</v>
      </c>
      <c r="J409" s="31">
        <v>0.0</v>
      </c>
      <c r="K409" s="26" t="s">
        <v>427</v>
      </c>
      <c r="L409" s="32" t="s">
        <v>305</v>
      </c>
      <c r="M409" s="33">
        <v>15470.0</v>
      </c>
      <c r="N409" s="34">
        <v>16524.73</v>
      </c>
      <c r="O409" s="27" t="s">
        <v>76</v>
      </c>
      <c r="P409" s="35" t="s">
        <v>142</v>
      </c>
      <c r="Q409" s="35" t="s">
        <v>90</v>
      </c>
      <c r="R409" s="36" t="e">
        <v>#VALUE!</v>
      </c>
      <c r="S409" s="35" t="s">
        <v>86</v>
      </c>
      <c r="T409" s="35">
        <v>0.0</v>
      </c>
      <c r="U409" s="37" t="s">
        <v>67</v>
      </c>
      <c r="V409" s="38"/>
      <c r="W409" s="38"/>
      <c r="X409" s="27"/>
      <c r="Y409" s="39"/>
      <c r="Z409" s="79" t="s">
        <v>764</v>
      </c>
      <c r="AA409" s="39"/>
      <c r="AB409" s="40"/>
      <c r="AC409" s="27">
        <f t="shared" si="276"/>
        <v>0</v>
      </c>
      <c r="AD409" s="41">
        <f>IF(AND(S409="0",O409="Paid"),M409*15%,0)</f>
        <v>2320.5</v>
      </c>
      <c r="AE409" s="42"/>
      <c r="AF409" s="27" t="s">
        <v>306</v>
      </c>
      <c r="AG409" s="43">
        <f t="shared" si="293"/>
        <v>3968.055</v>
      </c>
      <c r="AH409" s="29"/>
      <c r="AI409" s="29"/>
      <c r="AJ409" s="29"/>
      <c r="AK409" s="29"/>
      <c r="AL409" s="27"/>
      <c r="AM409" s="44"/>
      <c r="AN409" s="115"/>
      <c r="AO409" s="46"/>
      <c r="AP409" s="47"/>
      <c r="AQ409" s="43">
        <f t="shared" si="287"/>
        <v>4176.9</v>
      </c>
      <c r="AR409" s="43">
        <f t="shared" si="2"/>
        <v>208.845</v>
      </c>
      <c r="AS409" s="43">
        <f t="shared" si="3"/>
        <v>730.9575</v>
      </c>
      <c r="AT409" s="48">
        <f t="shared" si="4"/>
        <v>3237.0975</v>
      </c>
      <c r="AU409" s="49">
        <f t="shared" si="283"/>
        <v>3237.0975</v>
      </c>
      <c r="AV409" s="48"/>
      <c r="AW409" s="82">
        <f t="shared" si="280"/>
        <v>14204.23</v>
      </c>
      <c r="AX409" s="50">
        <f t="shared" si="248"/>
        <v>916.5975</v>
      </c>
      <c r="AY409" s="43"/>
      <c r="AZ409" s="43"/>
      <c r="BA409" s="48">
        <f t="shared" si="200"/>
        <v>3237.0975</v>
      </c>
      <c r="BB409" s="27"/>
      <c r="BC409" s="27"/>
      <c r="BD409" s="51"/>
      <c r="BE409" s="52"/>
      <c r="BF409" s="27" t="s">
        <v>1447</v>
      </c>
      <c r="BG409" s="53">
        <v>0.0</v>
      </c>
      <c r="BH409" s="53" t="str">
        <f>'[1]2023'!Q635</f>
        <v>#REF!</v>
      </c>
      <c r="BI409" s="27"/>
      <c r="BJ409" s="27"/>
      <c r="BK409" s="27" t="s">
        <v>76</v>
      </c>
      <c r="BL409" s="27"/>
    </row>
    <row r="410" ht="14.25" customHeight="1">
      <c r="A410" s="26" t="s">
        <v>55</v>
      </c>
      <c r="B410" s="26" t="s">
        <v>56</v>
      </c>
      <c r="C410" s="26" t="s">
        <v>57</v>
      </c>
      <c r="D410" s="26" t="s">
        <v>58</v>
      </c>
      <c r="E410" s="27" t="s">
        <v>1449</v>
      </c>
      <c r="F410" s="28" t="s">
        <v>1450</v>
      </c>
      <c r="G410" s="29" t="s">
        <v>1442</v>
      </c>
      <c r="H410" s="30">
        <v>45064.0</v>
      </c>
      <c r="I410" s="30">
        <v>45429.0</v>
      </c>
      <c r="J410" s="31" t="s">
        <v>1451</v>
      </c>
      <c r="K410" s="26" t="s">
        <v>427</v>
      </c>
      <c r="L410" s="32" t="s">
        <v>75</v>
      </c>
      <c r="M410" s="33">
        <v>1369.45</v>
      </c>
      <c r="N410" s="34">
        <v>1450.25</v>
      </c>
      <c r="O410" s="27" t="s">
        <v>76</v>
      </c>
      <c r="P410" s="35" t="s">
        <v>430</v>
      </c>
      <c r="Q410" s="35">
        <v>0.0</v>
      </c>
      <c r="R410" s="36" t="e">
        <v>#VALUE!</v>
      </c>
      <c r="S410" s="35" t="s">
        <v>86</v>
      </c>
      <c r="T410" s="35">
        <v>0.0</v>
      </c>
      <c r="U410" s="37" t="s">
        <v>67</v>
      </c>
      <c r="V410" s="38"/>
      <c r="W410" s="38"/>
      <c r="X410" s="27"/>
      <c r="Y410" s="39"/>
      <c r="Z410" s="39"/>
      <c r="AA410" s="39"/>
      <c r="AB410" s="40"/>
      <c r="AC410" s="27">
        <f t="shared" si="276"/>
        <v>0</v>
      </c>
      <c r="AD410" s="41">
        <f>IF(AND(S410="0",O410="Paid"),(M410*15%)-AC410,0)</f>
        <v>205.4175</v>
      </c>
      <c r="AE410" s="42"/>
      <c r="AF410" s="27"/>
      <c r="AG410" s="43">
        <f t="shared" si="293"/>
        <v>351.263925</v>
      </c>
      <c r="AH410" s="29"/>
      <c r="AI410" s="29"/>
      <c r="AJ410" s="29"/>
      <c r="AK410" s="29"/>
      <c r="AL410" s="27"/>
      <c r="AM410" s="44"/>
      <c r="AN410" s="115"/>
      <c r="AO410" s="46"/>
      <c r="AP410" s="47"/>
      <c r="AQ410" s="43">
        <f t="shared" si="287"/>
        <v>369.7515</v>
      </c>
      <c r="AR410" s="43">
        <f t="shared" si="2"/>
        <v>18.487575</v>
      </c>
      <c r="AS410" s="43">
        <f t="shared" si="3"/>
        <v>64.7065125</v>
      </c>
      <c r="AT410" s="48">
        <f t="shared" si="4"/>
        <v>286.5574125</v>
      </c>
      <c r="AU410" s="49">
        <f t="shared" si="283"/>
        <v>286.5574125</v>
      </c>
      <c r="AV410" s="48"/>
      <c r="AW410" s="34">
        <f t="shared" si="280"/>
        <v>1244.8325</v>
      </c>
      <c r="AX410" s="50">
        <f t="shared" si="248"/>
        <v>81.1399125</v>
      </c>
      <c r="AY410" s="43"/>
      <c r="AZ410" s="43"/>
      <c r="BA410" s="48">
        <f t="shared" si="200"/>
        <v>286.5574125</v>
      </c>
      <c r="BB410" s="27"/>
      <c r="BC410" s="27"/>
      <c r="BD410" s="51"/>
      <c r="BE410" s="52"/>
      <c r="BF410" s="80" t="s">
        <v>1449</v>
      </c>
      <c r="BG410" s="58" t="s">
        <v>1452</v>
      </c>
      <c r="BH410" s="53" t="str">
        <f>'[1]2023'!Q668</f>
        <v>#REF!</v>
      </c>
      <c r="BI410" s="27"/>
      <c r="BJ410" s="27"/>
      <c r="BK410" s="27" t="s">
        <v>76</v>
      </c>
      <c r="BL410" s="27"/>
    </row>
    <row r="411" ht="14.25" customHeight="1">
      <c r="A411" s="26" t="s">
        <v>55</v>
      </c>
      <c r="B411" s="26" t="s">
        <v>56</v>
      </c>
      <c r="C411" s="26" t="s">
        <v>57</v>
      </c>
      <c r="D411" s="26" t="s">
        <v>58</v>
      </c>
      <c r="E411" s="27" t="s">
        <v>1453</v>
      </c>
      <c r="F411" s="28" t="s">
        <v>1454</v>
      </c>
      <c r="G411" s="29" t="s">
        <v>1442</v>
      </c>
      <c r="H411" s="30">
        <v>45064.0</v>
      </c>
      <c r="I411" s="30">
        <v>45429.0</v>
      </c>
      <c r="J411" s="31" t="s">
        <v>1455</v>
      </c>
      <c r="K411" s="26" t="s">
        <v>427</v>
      </c>
      <c r="L411" s="32" t="s">
        <v>75</v>
      </c>
      <c r="M411" s="33">
        <v>1811.25</v>
      </c>
      <c r="N411" s="34">
        <v>1918.12</v>
      </c>
      <c r="O411" s="27" t="s">
        <v>76</v>
      </c>
      <c r="P411" s="35" t="s">
        <v>430</v>
      </c>
      <c r="Q411" s="35">
        <v>0.0</v>
      </c>
      <c r="R411" s="36" t="e">
        <v>#VALUE!</v>
      </c>
      <c r="S411" s="35" t="s">
        <v>86</v>
      </c>
      <c r="T411" s="35">
        <v>0.0</v>
      </c>
      <c r="U411" s="37" t="s">
        <v>67</v>
      </c>
      <c r="V411" s="38"/>
      <c r="W411" s="38"/>
      <c r="X411" s="27"/>
      <c r="Y411" s="39"/>
      <c r="Z411" s="39"/>
      <c r="AA411" s="39"/>
      <c r="AB411" s="40"/>
      <c r="AC411" s="27">
        <f t="shared" si="276"/>
        <v>0</v>
      </c>
      <c r="AD411" s="41">
        <f t="shared" ref="AD411:AD413" si="295">IF(AND(S411="0",O411="Paid"),M411*15%,0)</f>
        <v>271.6875</v>
      </c>
      <c r="AE411" s="42"/>
      <c r="AF411" s="27"/>
      <c r="AG411" s="43">
        <f t="shared" si="293"/>
        <v>464.585625</v>
      </c>
      <c r="AH411" s="29"/>
      <c r="AI411" s="29"/>
      <c r="AJ411" s="29"/>
      <c r="AK411" s="29"/>
      <c r="AL411" s="27"/>
      <c r="AM411" s="44"/>
      <c r="AN411" s="115"/>
      <c r="AO411" s="46"/>
      <c r="AP411" s="47"/>
      <c r="AQ411" s="43">
        <f t="shared" si="287"/>
        <v>489.0375</v>
      </c>
      <c r="AR411" s="43">
        <f t="shared" si="2"/>
        <v>24.451875</v>
      </c>
      <c r="AS411" s="43">
        <f t="shared" si="3"/>
        <v>85.5815625</v>
      </c>
      <c r="AT411" s="48">
        <f t="shared" si="4"/>
        <v>379.0040625</v>
      </c>
      <c r="AU411" s="49">
        <f t="shared" si="283"/>
        <v>379.0040625</v>
      </c>
      <c r="AV411" s="48"/>
      <c r="AW411" s="34">
        <f t="shared" si="280"/>
        <v>1646.4325</v>
      </c>
      <c r="AX411" s="50">
        <f t="shared" si="248"/>
        <v>107.3165625</v>
      </c>
      <c r="AY411" s="43"/>
      <c r="AZ411" s="43"/>
      <c r="BA411" s="48">
        <f t="shared" si="200"/>
        <v>379.0040625</v>
      </c>
      <c r="BB411" s="27"/>
      <c r="BC411" s="27"/>
      <c r="BD411" s="51"/>
      <c r="BE411" s="52"/>
      <c r="BF411" s="27" t="s">
        <v>1453</v>
      </c>
      <c r="BG411" s="58" t="s">
        <v>1456</v>
      </c>
      <c r="BH411" s="53" t="str">
        <f>'[1]2023'!Q673</f>
        <v>#REF!</v>
      </c>
      <c r="BI411" s="27"/>
      <c r="BJ411" s="27"/>
      <c r="BK411" s="27" t="s">
        <v>76</v>
      </c>
      <c r="BL411" s="27"/>
    </row>
    <row r="412" ht="14.25" customHeight="1">
      <c r="A412" s="26" t="s">
        <v>55</v>
      </c>
      <c r="B412" s="26" t="s">
        <v>56</v>
      </c>
      <c r="C412" s="26" t="s">
        <v>57</v>
      </c>
      <c r="D412" s="26" t="s">
        <v>58</v>
      </c>
      <c r="E412" s="27" t="s">
        <v>1457</v>
      </c>
      <c r="F412" s="28" t="s">
        <v>1458</v>
      </c>
      <c r="G412" s="29" t="s">
        <v>1442</v>
      </c>
      <c r="H412" s="30">
        <v>45064.0</v>
      </c>
      <c r="I412" s="30">
        <v>45429.0</v>
      </c>
      <c r="J412" s="31" t="s">
        <v>1459</v>
      </c>
      <c r="K412" s="26" t="s">
        <v>427</v>
      </c>
      <c r="L412" s="32" t="s">
        <v>75</v>
      </c>
      <c r="M412" s="33">
        <v>5117.24</v>
      </c>
      <c r="N412" s="34">
        <v>5419.15</v>
      </c>
      <c r="O412" s="27" t="s">
        <v>76</v>
      </c>
      <c r="P412" s="35" t="s">
        <v>430</v>
      </c>
      <c r="Q412" s="35" t="s">
        <v>90</v>
      </c>
      <c r="R412" s="36" t="e">
        <v>#VALUE!</v>
      </c>
      <c r="S412" s="35" t="s">
        <v>86</v>
      </c>
      <c r="T412" s="35">
        <v>0.0</v>
      </c>
      <c r="U412" s="37" t="s">
        <v>67</v>
      </c>
      <c r="V412" s="38"/>
      <c r="W412" s="38"/>
      <c r="X412" s="27"/>
      <c r="Y412" s="39"/>
      <c r="Z412" s="39"/>
      <c r="AA412" s="39"/>
      <c r="AB412" s="40"/>
      <c r="AC412" s="27">
        <f t="shared" si="276"/>
        <v>0</v>
      </c>
      <c r="AD412" s="41">
        <f t="shared" si="295"/>
        <v>767.586</v>
      </c>
      <c r="AE412" s="42"/>
      <c r="AF412" s="27"/>
      <c r="AG412" s="43">
        <f t="shared" si="293"/>
        <v>1312.57206</v>
      </c>
      <c r="AH412" s="29"/>
      <c r="AI412" s="29"/>
      <c r="AJ412" s="29"/>
      <c r="AK412" s="29"/>
      <c r="AL412" s="27"/>
      <c r="AM412" s="44"/>
      <c r="AN412" s="115"/>
      <c r="AO412" s="46"/>
      <c r="AP412" s="47"/>
      <c r="AQ412" s="43">
        <f t="shared" si="287"/>
        <v>1381.6548</v>
      </c>
      <c r="AR412" s="43">
        <f t="shared" si="2"/>
        <v>69.08274</v>
      </c>
      <c r="AS412" s="43">
        <f t="shared" si="3"/>
        <v>241.78959</v>
      </c>
      <c r="AT412" s="48">
        <f t="shared" si="4"/>
        <v>1070.78247</v>
      </c>
      <c r="AU412" s="49">
        <f t="shared" si="283"/>
        <v>1070.78247</v>
      </c>
      <c r="AV412" s="48"/>
      <c r="AW412" s="34">
        <f t="shared" si="280"/>
        <v>4651.564</v>
      </c>
      <c r="AX412" s="50">
        <f t="shared" si="248"/>
        <v>303.19647</v>
      </c>
      <c r="AY412" s="43"/>
      <c r="AZ412" s="43"/>
      <c r="BA412" s="48">
        <f t="shared" si="200"/>
        <v>1070.78247</v>
      </c>
      <c r="BB412" s="27"/>
      <c r="BC412" s="27"/>
      <c r="BD412" s="51"/>
      <c r="BE412" s="52"/>
      <c r="BF412" s="27" t="s">
        <v>1457</v>
      </c>
      <c r="BG412" s="58" t="s">
        <v>1460</v>
      </c>
      <c r="BH412" s="53" t="str">
        <f t="shared" ref="BH412:BH414" si="296">'[1]2023'!Q676</f>
        <v>#REF!</v>
      </c>
      <c r="BI412" s="27"/>
      <c r="BJ412" s="27"/>
      <c r="BK412" s="27" t="s">
        <v>76</v>
      </c>
      <c r="BL412" s="27"/>
    </row>
    <row r="413" ht="14.25" customHeight="1">
      <c r="A413" s="26" t="s">
        <v>55</v>
      </c>
      <c r="B413" s="26" t="s">
        <v>56</v>
      </c>
      <c r="C413" s="26" t="s">
        <v>57</v>
      </c>
      <c r="D413" s="26" t="s">
        <v>58</v>
      </c>
      <c r="E413" s="27" t="s">
        <v>1461</v>
      </c>
      <c r="F413" s="28" t="s">
        <v>1462</v>
      </c>
      <c r="G413" s="29" t="s">
        <v>1442</v>
      </c>
      <c r="H413" s="30">
        <v>45064.0</v>
      </c>
      <c r="I413" s="30">
        <v>45429.0</v>
      </c>
      <c r="J413" s="31" t="s">
        <v>1463</v>
      </c>
      <c r="K413" s="26" t="s">
        <v>427</v>
      </c>
      <c r="L413" s="32" t="s">
        <v>75</v>
      </c>
      <c r="M413" s="33">
        <v>10557.37</v>
      </c>
      <c r="N413" s="34">
        <v>11180.25</v>
      </c>
      <c r="O413" s="27" t="s">
        <v>76</v>
      </c>
      <c r="P413" s="35" t="s">
        <v>122</v>
      </c>
      <c r="Q413" s="35" t="s">
        <v>90</v>
      </c>
      <c r="R413" s="36" t="e">
        <v>#VALUE!</v>
      </c>
      <c r="S413" s="35" t="s">
        <v>86</v>
      </c>
      <c r="T413" s="35">
        <v>0.0</v>
      </c>
      <c r="U413" s="37" t="s">
        <v>67</v>
      </c>
      <c r="V413" s="38"/>
      <c r="W413" s="38"/>
      <c r="X413" s="27"/>
      <c r="Y413" s="39"/>
      <c r="Z413" s="39"/>
      <c r="AA413" s="39"/>
      <c r="AB413" s="40"/>
      <c r="AC413" s="27">
        <f t="shared" si="276"/>
        <v>0</v>
      </c>
      <c r="AD413" s="41">
        <f t="shared" si="295"/>
        <v>1583.6055</v>
      </c>
      <c r="AE413" s="42"/>
      <c r="AF413" s="27"/>
      <c r="AG413" s="43">
        <f t="shared" si="293"/>
        <v>2707.965405</v>
      </c>
      <c r="AH413" s="29"/>
      <c r="AI413" s="29"/>
      <c r="AJ413" s="29"/>
      <c r="AK413" s="29"/>
      <c r="AL413" s="27"/>
      <c r="AM413" s="44"/>
      <c r="AN413" s="115"/>
      <c r="AO413" s="46"/>
      <c r="AP413" s="47"/>
      <c r="AQ413" s="43">
        <f t="shared" si="287"/>
        <v>2850.4899</v>
      </c>
      <c r="AR413" s="43">
        <f t="shared" si="2"/>
        <v>142.524495</v>
      </c>
      <c r="AS413" s="43">
        <f t="shared" si="3"/>
        <v>498.8357325</v>
      </c>
      <c r="AT413" s="48">
        <f t="shared" si="4"/>
        <v>2209.129673</v>
      </c>
      <c r="AU413" s="49">
        <f t="shared" si="283"/>
        <v>2209.129673</v>
      </c>
      <c r="AV413" s="48"/>
      <c r="AW413" s="34">
        <f t="shared" si="280"/>
        <v>9596.6445</v>
      </c>
      <c r="AX413" s="50">
        <f t="shared" si="248"/>
        <v>625.5241725</v>
      </c>
      <c r="AY413" s="43"/>
      <c r="AZ413" s="43"/>
      <c r="BA413" s="48">
        <f t="shared" si="200"/>
        <v>2209.129673</v>
      </c>
      <c r="BB413" s="27"/>
      <c r="BC413" s="27"/>
      <c r="BD413" s="51"/>
      <c r="BE413" s="52"/>
      <c r="BF413" s="27" t="s">
        <v>1461</v>
      </c>
      <c r="BG413" s="58" t="s">
        <v>1464</v>
      </c>
      <c r="BH413" s="53" t="str">
        <f t="shared" si="296"/>
        <v>#REF!</v>
      </c>
      <c r="BI413" s="27"/>
      <c r="BJ413" s="27"/>
      <c r="BK413" s="27" t="s">
        <v>76</v>
      </c>
      <c r="BL413" s="27"/>
    </row>
    <row r="414" ht="14.25" customHeight="1">
      <c r="A414" s="26" t="s">
        <v>55</v>
      </c>
      <c r="B414" s="26" t="s">
        <v>56</v>
      </c>
      <c r="C414" s="26" t="s">
        <v>57</v>
      </c>
      <c r="D414" s="26" t="s">
        <v>58</v>
      </c>
      <c r="E414" s="27" t="s">
        <v>1465</v>
      </c>
      <c r="F414" s="28" t="s">
        <v>1466</v>
      </c>
      <c r="G414" s="29" t="s">
        <v>1442</v>
      </c>
      <c r="H414" s="30">
        <v>45064.0</v>
      </c>
      <c r="I414" s="30">
        <v>45429.0</v>
      </c>
      <c r="J414" s="31" t="s">
        <v>1467</v>
      </c>
      <c r="K414" s="26" t="s">
        <v>427</v>
      </c>
      <c r="L414" s="32" t="s">
        <v>75</v>
      </c>
      <c r="M414" s="33">
        <v>0.0</v>
      </c>
      <c r="N414" s="34">
        <v>10053.26</v>
      </c>
      <c r="O414" s="27" t="s">
        <v>76</v>
      </c>
      <c r="P414" s="35" t="s">
        <v>89</v>
      </c>
      <c r="Q414" s="35">
        <v>0.0</v>
      </c>
      <c r="R414" s="36" t="e">
        <v>#VALUE!</v>
      </c>
      <c r="S414" s="35" t="s">
        <v>86</v>
      </c>
      <c r="T414" s="35">
        <v>0.0</v>
      </c>
      <c r="U414" s="37" t="s">
        <v>67</v>
      </c>
      <c r="V414" s="38"/>
      <c r="W414" s="38"/>
      <c r="X414" s="27"/>
      <c r="Y414" s="39"/>
      <c r="Z414" s="39"/>
      <c r="AA414" s="39"/>
      <c r="AB414" s="40"/>
      <c r="AC414" s="27">
        <f t="shared" si="276"/>
        <v>0</v>
      </c>
      <c r="AD414" s="41">
        <f t="shared" ref="AD414:AD415" si="297">IF(AND(S414="0",O414="Paid"),(M414*15%)-AC414,0)</f>
        <v>0</v>
      </c>
      <c r="AE414" s="42"/>
      <c r="AF414" s="27"/>
      <c r="AG414" s="43">
        <f t="shared" si="293"/>
        <v>0</v>
      </c>
      <c r="AH414" s="29"/>
      <c r="AI414" s="29"/>
      <c r="AJ414" s="29"/>
      <c r="AK414" s="29"/>
      <c r="AL414" s="27"/>
      <c r="AM414" s="44"/>
      <c r="AN414" s="115"/>
      <c r="AO414" s="46"/>
      <c r="AP414" s="47"/>
      <c r="AQ414" s="43">
        <f t="shared" si="287"/>
        <v>0</v>
      </c>
      <c r="AR414" s="43">
        <f t="shared" si="2"/>
        <v>0</v>
      </c>
      <c r="AS414" s="43">
        <f t="shared" si="3"/>
        <v>0</v>
      </c>
      <c r="AT414" s="48">
        <f t="shared" si="4"/>
        <v>0</v>
      </c>
      <c r="AU414" s="49">
        <f t="shared" si="283"/>
        <v>0</v>
      </c>
      <c r="AV414" s="48"/>
      <c r="AW414" s="34">
        <f t="shared" si="280"/>
        <v>10053.26</v>
      </c>
      <c r="AX414" s="50">
        <f t="shared" si="248"/>
        <v>0</v>
      </c>
      <c r="AY414" s="43"/>
      <c r="AZ414" s="43"/>
      <c r="BA414" s="48">
        <f t="shared" si="200"/>
        <v>0</v>
      </c>
      <c r="BB414" s="27"/>
      <c r="BC414" s="27"/>
      <c r="BD414" s="51"/>
      <c r="BE414" s="52"/>
      <c r="BF414" s="27" t="s">
        <v>1465</v>
      </c>
      <c r="BG414" s="58" t="s">
        <v>1468</v>
      </c>
      <c r="BH414" s="53" t="str">
        <f t="shared" si="296"/>
        <v>#REF!</v>
      </c>
      <c r="BI414" s="27"/>
      <c r="BJ414" s="27"/>
      <c r="BK414" s="27" t="s">
        <v>76</v>
      </c>
      <c r="BL414" s="27"/>
    </row>
    <row r="415" ht="14.25" customHeight="1">
      <c r="A415" s="26" t="s">
        <v>55</v>
      </c>
      <c r="B415" s="26" t="s">
        <v>56</v>
      </c>
      <c r="C415" s="26" t="s">
        <v>57</v>
      </c>
      <c r="D415" s="26" t="s">
        <v>58</v>
      </c>
      <c r="E415" s="27" t="s">
        <v>1469</v>
      </c>
      <c r="F415" s="28" t="s">
        <v>1470</v>
      </c>
      <c r="G415" s="29" t="s">
        <v>1442</v>
      </c>
      <c r="H415" s="30">
        <v>45064.0</v>
      </c>
      <c r="I415" s="30">
        <v>45429.0</v>
      </c>
      <c r="J415" s="31" t="s">
        <v>1471</v>
      </c>
      <c r="K415" s="26" t="s">
        <v>427</v>
      </c>
      <c r="L415" s="32" t="s">
        <v>75</v>
      </c>
      <c r="M415" s="33">
        <v>0.0</v>
      </c>
      <c r="N415" s="34">
        <v>5340.84</v>
      </c>
      <c r="O415" s="27" t="s">
        <v>76</v>
      </c>
      <c r="P415" s="35" t="s">
        <v>122</v>
      </c>
      <c r="Q415" s="35">
        <v>0.0</v>
      </c>
      <c r="R415" s="36" t="e">
        <v>#VALUE!</v>
      </c>
      <c r="S415" s="35" t="s">
        <v>86</v>
      </c>
      <c r="T415" s="35">
        <v>0.0</v>
      </c>
      <c r="U415" s="37" t="s">
        <v>67</v>
      </c>
      <c r="V415" s="38"/>
      <c r="W415" s="38"/>
      <c r="X415" s="27"/>
      <c r="Y415" s="39"/>
      <c r="Z415" s="39"/>
      <c r="AA415" s="39"/>
      <c r="AB415" s="40"/>
      <c r="AC415" s="27">
        <f t="shared" si="276"/>
        <v>0</v>
      </c>
      <c r="AD415" s="41">
        <f t="shared" si="297"/>
        <v>0</v>
      </c>
      <c r="AE415" s="42"/>
      <c r="AF415" s="27"/>
      <c r="AG415" s="43">
        <f t="shared" si="293"/>
        <v>0</v>
      </c>
      <c r="AH415" s="29"/>
      <c r="AI415" s="29"/>
      <c r="AJ415" s="29"/>
      <c r="AK415" s="29"/>
      <c r="AL415" s="27"/>
      <c r="AM415" s="44"/>
      <c r="AN415" s="115"/>
      <c r="AO415" s="46"/>
      <c r="AP415" s="47"/>
      <c r="AQ415" s="43">
        <f t="shared" si="287"/>
        <v>0</v>
      </c>
      <c r="AR415" s="43">
        <f t="shared" si="2"/>
        <v>0</v>
      </c>
      <c r="AS415" s="43">
        <f t="shared" si="3"/>
        <v>0</v>
      </c>
      <c r="AT415" s="48">
        <f t="shared" si="4"/>
        <v>0</v>
      </c>
      <c r="AU415" s="49">
        <f t="shared" si="283"/>
        <v>0</v>
      </c>
      <c r="AV415" s="48"/>
      <c r="AW415" s="34">
        <f t="shared" si="280"/>
        <v>5340.84</v>
      </c>
      <c r="AX415" s="50">
        <f t="shared" si="248"/>
        <v>0</v>
      </c>
      <c r="AY415" s="43"/>
      <c r="AZ415" s="43"/>
      <c r="BA415" s="48">
        <f t="shared" si="200"/>
        <v>0</v>
      </c>
      <c r="BB415" s="27"/>
      <c r="BC415" s="27"/>
      <c r="BD415" s="51"/>
      <c r="BE415" s="52"/>
      <c r="BF415" s="27" t="s">
        <v>1469</v>
      </c>
      <c r="BG415" s="53">
        <v>0.0</v>
      </c>
      <c r="BH415" s="53" t="str">
        <f>'[1]2023'!Q680</f>
        <v>#REF!</v>
      </c>
      <c r="BI415" s="27"/>
      <c r="BJ415" s="27"/>
      <c r="BK415" s="27" t="s">
        <v>76</v>
      </c>
      <c r="BL415" s="27"/>
    </row>
    <row r="416" ht="14.25" customHeight="1">
      <c r="A416" s="26" t="s">
        <v>55</v>
      </c>
      <c r="B416" s="26" t="s">
        <v>56</v>
      </c>
      <c r="C416" s="26" t="s">
        <v>57</v>
      </c>
      <c r="D416" s="26" t="s">
        <v>58</v>
      </c>
      <c r="E416" s="27" t="s">
        <v>1472</v>
      </c>
      <c r="F416" s="28" t="s">
        <v>1473</v>
      </c>
      <c r="G416" s="29" t="s">
        <v>1442</v>
      </c>
      <c r="H416" s="30">
        <v>45064.0</v>
      </c>
      <c r="I416" s="30">
        <v>45429.0</v>
      </c>
      <c r="J416" s="31" t="s">
        <v>1474</v>
      </c>
      <c r="K416" s="26" t="s">
        <v>427</v>
      </c>
      <c r="L416" s="32" t="s">
        <v>75</v>
      </c>
      <c r="M416" s="33">
        <v>7257.73</v>
      </c>
      <c r="N416" s="34">
        <v>7685.95</v>
      </c>
      <c r="O416" s="27" t="s">
        <v>76</v>
      </c>
      <c r="P416" s="35" t="s">
        <v>89</v>
      </c>
      <c r="Q416" s="35">
        <v>0.0</v>
      </c>
      <c r="R416" s="36" t="e">
        <v>#VALUE!</v>
      </c>
      <c r="S416" s="35" t="s">
        <v>86</v>
      </c>
      <c r="T416" s="35">
        <v>0.0</v>
      </c>
      <c r="U416" s="37" t="s">
        <v>67</v>
      </c>
      <c r="V416" s="38"/>
      <c r="W416" s="38"/>
      <c r="X416" s="27"/>
      <c r="Y416" s="39"/>
      <c r="Z416" s="39"/>
      <c r="AA416" s="39"/>
      <c r="AB416" s="40"/>
      <c r="AC416" s="27">
        <f t="shared" si="276"/>
        <v>0</v>
      </c>
      <c r="AD416" s="41">
        <f>IF(AND(S416="0",O416="Paid"),M416*15%,0)</f>
        <v>1088.6595</v>
      </c>
      <c r="AE416" s="42"/>
      <c r="AF416" s="27"/>
      <c r="AG416" s="43">
        <f t="shared" si="293"/>
        <v>1861.607745</v>
      </c>
      <c r="AH416" s="29"/>
      <c r="AI416" s="29"/>
      <c r="AJ416" s="29"/>
      <c r="AK416" s="29"/>
      <c r="AL416" s="27"/>
      <c r="AM416" s="44"/>
      <c r="AN416" s="115"/>
      <c r="AO416" s="76"/>
      <c r="AP416" s="47"/>
      <c r="AQ416" s="43">
        <f t="shared" si="287"/>
        <v>1959.5871</v>
      </c>
      <c r="AR416" s="43">
        <f t="shared" si="2"/>
        <v>97.979355</v>
      </c>
      <c r="AS416" s="43">
        <f t="shared" si="3"/>
        <v>342.9277425</v>
      </c>
      <c r="AT416" s="48">
        <f t="shared" si="4"/>
        <v>1518.680003</v>
      </c>
      <c r="AU416" s="49">
        <f t="shared" si="283"/>
        <v>1518.680003</v>
      </c>
      <c r="AV416" s="48"/>
      <c r="AW416" s="34">
        <f t="shared" si="280"/>
        <v>6597.2905</v>
      </c>
      <c r="AX416" s="50">
        <f t="shared" si="248"/>
        <v>430.0205025</v>
      </c>
      <c r="AY416" s="43"/>
      <c r="AZ416" s="43"/>
      <c r="BA416" s="48">
        <f t="shared" si="200"/>
        <v>1518.680003</v>
      </c>
      <c r="BB416" s="27"/>
      <c r="BC416" s="27"/>
      <c r="BD416" s="51"/>
      <c r="BE416" s="52"/>
      <c r="BF416" s="27" t="s">
        <v>1472</v>
      </c>
      <c r="BG416" s="58" t="s">
        <v>1475</v>
      </c>
      <c r="BH416" s="53" t="str">
        <f t="shared" ref="BH416:BH417" si="298">'[1]2023'!Q682</f>
        <v>#REF!</v>
      </c>
      <c r="BI416" s="27"/>
      <c r="BJ416" s="27"/>
      <c r="BK416" s="27" t="s">
        <v>76</v>
      </c>
      <c r="BL416" s="27"/>
    </row>
    <row r="417" ht="14.25" customHeight="1">
      <c r="A417" s="26" t="s">
        <v>55</v>
      </c>
      <c r="B417" s="26" t="s">
        <v>56</v>
      </c>
      <c r="C417" s="26" t="s">
        <v>57</v>
      </c>
      <c r="D417" s="26" t="s">
        <v>58</v>
      </c>
      <c r="E417" s="27" t="s">
        <v>1476</v>
      </c>
      <c r="F417" s="28" t="s">
        <v>1477</v>
      </c>
      <c r="G417" s="29" t="s">
        <v>1442</v>
      </c>
      <c r="H417" s="30">
        <v>45064.0</v>
      </c>
      <c r="I417" s="30">
        <v>45429.0</v>
      </c>
      <c r="J417" s="31" t="s">
        <v>1478</v>
      </c>
      <c r="K417" s="26" t="s">
        <v>427</v>
      </c>
      <c r="L417" s="32" t="s">
        <v>75</v>
      </c>
      <c r="M417" s="33">
        <v>0.0</v>
      </c>
      <c r="N417" s="34">
        <v>4724.59</v>
      </c>
      <c r="O417" s="27" t="s">
        <v>76</v>
      </c>
      <c r="P417" s="35" t="s">
        <v>430</v>
      </c>
      <c r="Q417" s="35">
        <v>0.0</v>
      </c>
      <c r="R417" s="36" t="e">
        <v>#VALUE!</v>
      </c>
      <c r="S417" s="35" t="s">
        <v>86</v>
      </c>
      <c r="T417" s="35">
        <v>0.0</v>
      </c>
      <c r="U417" s="37" t="s">
        <v>67</v>
      </c>
      <c r="V417" s="38"/>
      <c r="W417" s="38"/>
      <c r="X417" s="27"/>
      <c r="Y417" s="39"/>
      <c r="Z417" s="39"/>
      <c r="AA417" s="39"/>
      <c r="AB417" s="40"/>
      <c r="AC417" s="27">
        <f t="shared" si="276"/>
        <v>0</v>
      </c>
      <c r="AD417" s="41">
        <f t="shared" ref="AD417:AD418" si="299">IF(AND(S417="0",O417="Paid"),(M417*15%)-AC417,0)</f>
        <v>0</v>
      </c>
      <c r="AE417" s="42"/>
      <c r="AF417" s="27"/>
      <c r="AG417" s="43">
        <f t="shared" si="293"/>
        <v>0</v>
      </c>
      <c r="AH417" s="29"/>
      <c r="AI417" s="29"/>
      <c r="AJ417" s="29"/>
      <c r="AK417" s="29"/>
      <c r="AL417" s="27"/>
      <c r="AM417" s="44"/>
      <c r="AN417" s="115"/>
      <c r="AO417" s="46"/>
      <c r="AP417" s="47"/>
      <c r="AQ417" s="43">
        <f t="shared" si="287"/>
        <v>0</v>
      </c>
      <c r="AR417" s="43">
        <f t="shared" si="2"/>
        <v>0</v>
      </c>
      <c r="AS417" s="43">
        <f t="shared" si="3"/>
        <v>0</v>
      </c>
      <c r="AT417" s="48">
        <f t="shared" si="4"/>
        <v>0</v>
      </c>
      <c r="AU417" s="49">
        <f t="shared" si="283"/>
        <v>0</v>
      </c>
      <c r="AV417" s="48"/>
      <c r="AW417" s="34">
        <f t="shared" si="280"/>
        <v>4724.59</v>
      </c>
      <c r="AX417" s="50">
        <f t="shared" si="248"/>
        <v>0</v>
      </c>
      <c r="AY417" s="43"/>
      <c r="AZ417" s="43"/>
      <c r="BA417" s="48">
        <f t="shared" si="200"/>
        <v>0</v>
      </c>
      <c r="BB417" s="27"/>
      <c r="BC417" s="27"/>
      <c r="BD417" s="51"/>
      <c r="BE417" s="52"/>
      <c r="BF417" s="27" t="s">
        <v>1476</v>
      </c>
      <c r="BG417" s="58" t="s">
        <v>1479</v>
      </c>
      <c r="BH417" s="53" t="str">
        <f t="shared" si="298"/>
        <v>#REF!</v>
      </c>
      <c r="BI417" s="27"/>
      <c r="BJ417" s="27"/>
      <c r="BK417" s="27" t="s">
        <v>76</v>
      </c>
      <c r="BL417" s="27"/>
    </row>
    <row r="418" ht="14.25" customHeight="1">
      <c r="A418" s="26" t="s">
        <v>55</v>
      </c>
      <c r="B418" s="26" t="s">
        <v>56</v>
      </c>
      <c r="C418" s="26" t="s">
        <v>57</v>
      </c>
      <c r="D418" s="26" t="s">
        <v>58</v>
      </c>
      <c r="E418" s="27" t="s">
        <v>1480</v>
      </c>
      <c r="F418" s="28" t="s">
        <v>1481</v>
      </c>
      <c r="G418" s="29" t="s">
        <v>1442</v>
      </c>
      <c r="H418" s="30">
        <v>45064.0</v>
      </c>
      <c r="I418" s="30">
        <v>45429.0</v>
      </c>
      <c r="J418" s="31" t="s">
        <v>1482</v>
      </c>
      <c r="K418" s="26" t="s">
        <v>427</v>
      </c>
      <c r="L418" s="73" t="s">
        <v>75</v>
      </c>
      <c r="M418" s="33">
        <v>0.0</v>
      </c>
      <c r="N418" s="34">
        <v>4421.6</v>
      </c>
      <c r="O418" s="27" t="s">
        <v>76</v>
      </c>
      <c r="P418" s="35" t="s">
        <v>89</v>
      </c>
      <c r="Q418" s="35">
        <v>0.0</v>
      </c>
      <c r="R418" s="36" t="e">
        <v>#VALUE!</v>
      </c>
      <c r="S418" s="35" t="s">
        <v>86</v>
      </c>
      <c r="T418" s="35">
        <v>0.0</v>
      </c>
      <c r="U418" s="37" t="s">
        <v>67</v>
      </c>
      <c r="V418" s="38"/>
      <c r="W418" s="38"/>
      <c r="X418" s="27"/>
      <c r="Y418" s="39"/>
      <c r="Z418" s="39"/>
      <c r="AA418" s="39"/>
      <c r="AB418" s="40"/>
      <c r="AC418" s="27">
        <f t="shared" si="276"/>
        <v>0</v>
      </c>
      <c r="AD418" s="41">
        <f t="shared" si="299"/>
        <v>0</v>
      </c>
      <c r="AE418" s="42"/>
      <c r="AF418" s="27"/>
      <c r="AG418" s="43">
        <f t="shared" si="293"/>
        <v>0</v>
      </c>
      <c r="AH418" s="29"/>
      <c r="AI418" s="29"/>
      <c r="AJ418" s="29"/>
      <c r="AK418" s="75"/>
      <c r="AL418" s="27"/>
      <c r="AM418" s="27"/>
      <c r="AN418" s="93"/>
      <c r="AO418" s="46"/>
      <c r="AP418" s="47"/>
      <c r="AQ418" s="43">
        <f t="shared" si="287"/>
        <v>0</v>
      </c>
      <c r="AR418" s="43">
        <f t="shared" si="2"/>
        <v>0</v>
      </c>
      <c r="AS418" s="43">
        <f t="shared" si="3"/>
        <v>0</v>
      </c>
      <c r="AT418" s="48">
        <f t="shared" si="4"/>
        <v>0</v>
      </c>
      <c r="AU418" s="49">
        <f t="shared" si="283"/>
        <v>0</v>
      </c>
      <c r="AV418" s="48"/>
      <c r="AW418" s="34">
        <f t="shared" si="280"/>
        <v>4421.6</v>
      </c>
      <c r="AX418" s="50">
        <f t="shared" si="248"/>
        <v>0</v>
      </c>
      <c r="AY418" s="43"/>
      <c r="AZ418" s="43"/>
      <c r="BA418" s="48">
        <f t="shared" si="200"/>
        <v>0</v>
      </c>
      <c r="BB418" s="27"/>
      <c r="BC418" s="27"/>
      <c r="BD418" s="51"/>
      <c r="BE418" s="52"/>
      <c r="BF418" s="27" t="s">
        <v>1480</v>
      </c>
      <c r="BG418" s="58" t="s">
        <v>1483</v>
      </c>
      <c r="BH418" s="53" t="str">
        <f>'[1]2023'!Q687</f>
        <v>#REF!</v>
      </c>
      <c r="BI418" s="27"/>
      <c r="BJ418" s="27"/>
      <c r="BK418" s="27" t="s">
        <v>76</v>
      </c>
      <c r="BL418" s="27"/>
    </row>
    <row r="419" ht="14.25" customHeight="1">
      <c r="A419" s="26" t="s">
        <v>68</v>
      </c>
      <c r="B419" s="26" t="s">
        <v>56</v>
      </c>
      <c r="C419" s="26" t="s">
        <v>57</v>
      </c>
      <c r="D419" s="26" t="s">
        <v>71</v>
      </c>
      <c r="E419" s="27" t="s">
        <v>1484</v>
      </c>
      <c r="F419" s="28" t="s">
        <v>1485</v>
      </c>
      <c r="G419" s="29" t="s">
        <v>1442</v>
      </c>
      <c r="H419" s="30">
        <v>45064.0</v>
      </c>
      <c r="I419" s="30">
        <v>45429.0</v>
      </c>
      <c r="J419" s="31" t="s">
        <v>1486</v>
      </c>
      <c r="K419" s="26" t="s">
        <v>427</v>
      </c>
      <c r="L419" s="32" t="s">
        <v>75</v>
      </c>
      <c r="M419" s="33">
        <v>15760.89</v>
      </c>
      <c r="N419" s="34">
        <v>16875.0</v>
      </c>
      <c r="O419" s="27" t="s">
        <v>76</v>
      </c>
      <c r="P419" s="35" t="s">
        <v>430</v>
      </c>
      <c r="Q419" s="35">
        <v>0.0</v>
      </c>
      <c r="R419" s="36" t="e">
        <v>#VALUE!</v>
      </c>
      <c r="S419" s="35" t="s">
        <v>78</v>
      </c>
      <c r="T419" s="54" t="s">
        <v>510</v>
      </c>
      <c r="U419" s="37" t="s">
        <v>68</v>
      </c>
      <c r="V419" s="38">
        <v>750000.0</v>
      </c>
      <c r="W419" s="38"/>
      <c r="X419" s="27"/>
      <c r="Y419" s="39"/>
      <c r="Z419" s="79" t="s">
        <v>1487</v>
      </c>
      <c r="AA419" s="39"/>
      <c r="AB419" s="40"/>
      <c r="AC419" s="27">
        <f t="shared" si="276"/>
        <v>0</v>
      </c>
      <c r="AD419" s="41"/>
      <c r="AE419" s="42"/>
      <c r="AF419" s="27"/>
      <c r="AG419" s="43">
        <f t="shared" ref="AG419:AG420" si="300">IF(O419="Paid",IF(A419="Wethaq",(M419*28%)-((M419*28%)*5%)))</f>
        <v>4192.39674</v>
      </c>
      <c r="AH419" s="29" t="s">
        <v>75</v>
      </c>
      <c r="AI419" s="29">
        <v>45266.0</v>
      </c>
      <c r="AJ419" s="55">
        <v>0.28</v>
      </c>
      <c r="AK419" s="75">
        <v>45052.0</v>
      </c>
      <c r="AL419" s="27"/>
      <c r="AM419" s="44"/>
      <c r="AN419" s="104"/>
      <c r="AO419" s="95">
        <f>M419*AJ419-((M419*AJ419)*22.5%)</f>
        <v>3420.11313</v>
      </c>
      <c r="AP419" s="47" t="s">
        <v>905</v>
      </c>
      <c r="AQ419" s="43">
        <f t="shared" si="287"/>
        <v>4413.0492</v>
      </c>
      <c r="AR419" s="43">
        <f t="shared" si="2"/>
        <v>220.65246</v>
      </c>
      <c r="AS419" s="43">
        <f t="shared" si="3"/>
        <v>772.28361</v>
      </c>
      <c r="AT419" s="48">
        <f t="shared" si="4"/>
        <v>3420.11313</v>
      </c>
      <c r="AU419" s="49">
        <f t="shared" si="283"/>
        <v>3420.11313</v>
      </c>
      <c r="AV419" s="48"/>
      <c r="AW419" s="34">
        <f t="shared" si="280"/>
        <v>16875</v>
      </c>
      <c r="AX419" s="50">
        <f t="shared" si="248"/>
        <v>0</v>
      </c>
      <c r="AY419" s="107"/>
      <c r="AZ419" s="43">
        <f t="shared" ref="AZ419:AZ420" si="301">IF(AJ419&lt;28%,M419*(28%-AJ419)-((M419*(28%-AJ419))*5%),0)</f>
        <v>0</v>
      </c>
      <c r="BA419" s="48" t="str">
        <f>IF(S419&lt;&gt;0,AU419-#REF!-AM419,(AG419-AD419-AE419-AS419))</f>
        <v>#REF!</v>
      </c>
      <c r="BB419" s="27"/>
      <c r="BC419" s="27"/>
      <c r="BD419" s="51"/>
      <c r="BE419" s="52"/>
      <c r="BF419" s="27" t="s">
        <v>1484</v>
      </c>
      <c r="BG419" s="53">
        <v>0.0</v>
      </c>
      <c r="BH419" s="53" t="str">
        <f>'[1]2023'!Q699</f>
        <v>#REF!</v>
      </c>
      <c r="BI419" s="27"/>
      <c r="BJ419" s="27"/>
      <c r="BK419" s="27" t="s">
        <v>76</v>
      </c>
      <c r="BL419" s="27"/>
    </row>
    <row r="420" ht="14.25" customHeight="1">
      <c r="A420" s="26" t="s">
        <v>68</v>
      </c>
      <c r="B420" s="26" t="s">
        <v>56</v>
      </c>
      <c r="C420" s="26" t="s">
        <v>57</v>
      </c>
      <c r="D420" s="26" t="s">
        <v>71</v>
      </c>
      <c r="E420" s="27" t="s">
        <v>1488</v>
      </c>
      <c r="F420" s="28" t="s">
        <v>1489</v>
      </c>
      <c r="G420" s="29" t="s">
        <v>1442</v>
      </c>
      <c r="H420" s="30">
        <v>45064.0</v>
      </c>
      <c r="I420" s="30">
        <v>45429.0</v>
      </c>
      <c r="J420" s="31" t="s">
        <v>1490</v>
      </c>
      <c r="K420" s="26" t="s">
        <v>427</v>
      </c>
      <c r="L420" s="73" t="s">
        <v>75</v>
      </c>
      <c r="M420" s="33">
        <v>16861.89</v>
      </c>
      <c r="N420" s="34">
        <v>17975.0</v>
      </c>
      <c r="O420" s="27" t="s">
        <v>76</v>
      </c>
      <c r="P420" s="35" t="s">
        <v>430</v>
      </c>
      <c r="Q420" s="35">
        <v>0.0</v>
      </c>
      <c r="R420" s="36" t="e">
        <v>#VALUE!</v>
      </c>
      <c r="S420" s="35" t="s">
        <v>676</v>
      </c>
      <c r="T420" s="54" t="s">
        <v>1385</v>
      </c>
      <c r="U420" s="37" t="s">
        <v>68</v>
      </c>
      <c r="V420" s="38">
        <v>650000.0</v>
      </c>
      <c r="W420" s="38"/>
      <c r="X420" s="27"/>
      <c r="Y420" s="39"/>
      <c r="Z420" s="39" t="s">
        <v>1491</v>
      </c>
      <c r="AA420" s="39"/>
      <c r="AB420" s="40"/>
      <c r="AC420" s="27">
        <f t="shared" si="276"/>
        <v>0</v>
      </c>
      <c r="AD420" s="41"/>
      <c r="AE420" s="42"/>
      <c r="AF420" s="27"/>
      <c r="AG420" s="43">
        <f t="shared" si="300"/>
        <v>4485.26274</v>
      </c>
      <c r="AH420" s="29" t="s">
        <v>75</v>
      </c>
      <c r="AI420" s="29">
        <v>45266.0</v>
      </c>
      <c r="AJ420" s="55">
        <v>0.28</v>
      </c>
      <c r="AK420" s="75">
        <v>45052.0</v>
      </c>
      <c r="AL420" s="43"/>
      <c r="AM420" s="49">
        <f>(AQ420-AR420-AS420-(M420*15%))*30%</f>
        <v>338.923989</v>
      </c>
      <c r="AN420" s="139">
        <v>45083.0</v>
      </c>
      <c r="AO420" s="46">
        <f>(M420*15%)-AC420</f>
        <v>2529.2835</v>
      </c>
      <c r="AP420" s="57">
        <v>45113.0</v>
      </c>
      <c r="AQ420" s="43">
        <f>M420*28%</f>
        <v>4721.3292</v>
      </c>
      <c r="AR420" s="43">
        <f t="shared" si="2"/>
        <v>236.06646</v>
      </c>
      <c r="AS420" s="43">
        <f t="shared" si="3"/>
        <v>826.23261</v>
      </c>
      <c r="AT420" s="48">
        <f t="shared" si="4"/>
        <v>3659.03013</v>
      </c>
      <c r="AU420" s="48">
        <f>AQ420-AR420-AS420</f>
        <v>3659.03013</v>
      </c>
      <c r="AV420" s="106">
        <f>BA420*10%</f>
        <v>79.0822641</v>
      </c>
      <c r="AW420" s="34">
        <f t="shared" si="280"/>
        <v>17975</v>
      </c>
      <c r="AX420" s="50">
        <f t="shared" si="248"/>
        <v>711.7403769</v>
      </c>
      <c r="AY420" s="107"/>
      <c r="AZ420" s="43">
        <f t="shared" si="301"/>
        <v>0</v>
      </c>
      <c r="BA420" s="48">
        <f t="shared" ref="BA420:BA464" si="302">IF(S420&lt;&gt;0,AU420-AO420-AM420,(AG420-AD420-AE420-AS420))</f>
        <v>790.822641</v>
      </c>
      <c r="BB420" s="27"/>
      <c r="BC420" s="27"/>
      <c r="BD420" s="51"/>
      <c r="BE420" s="52"/>
      <c r="BF420" s="27" t="s">
        <v>1488</v>
      </c>
      <c r="BG420" s="53">
        <v>0.0</v>
      </c>
      <c r="BH420" s="53" t="str">
        <f>'[1]2023'!Q729</f>
        <v>#REF!</v>
      </c>
      <c r="BI420" s="27"/>
      <c r="BJ420" s="27"/>
      <c r="BK420" s="27" t="s">
        <v>76</v>
      </c>
      <c r="BL420" s="27"/>
    </row>
    <row r="421" ht="14.25" customHeight="1">
      <c r="A421" s="26" t="s">
        <v>55</v>
      </c>
      <c r="B421" s="26" t="s">
        <v>56</v>
      </c>
      <c r="C421" s="26" t="s">
        <v>57</v>
      </c>
      <c r="D421" s="26" t="s">
        <v>58</v>
      </c>
      <c r="E421" s="27" t="s">
        <v>1492</v>
      </c>
      <c r="F421" s="28" t="s">
        <v>1493</v>
      </c>
      <c r="G421" s="29" t="s">
        <v>1442</v>
      </c>
      <c r="H421" s="30">
        <v>45064.0</v>
      </c>
      <c r="I421" s="30">
        <v>45429.0</v>
      </c>
      <c r="J421" s="31" t="s">
        <v>1494</v>
      </c>
      <c r="K421" s="26" t="s">
        <v>427</v>
      </c>
      <c r="L421" s="32" t="s">
        <v>63</v>
      </c>
      <c r="M421" s="33">
        <v>33234.01</v>
      </c>
      <c r="N421" s="34">
        <v>35194.81</v>
      </c>
      <c r="O421" s="27" t="s">
        <v>64</v>
      </c>
      <c r="P421" s="35">
        <v>0.0</v>
      </c>
      <c r="Q421" s="35">
        <v>0.0</v>
      </c>
      <c r="R421" s="36" t="e">
        <v>#VALUE!</v>
      </c>
      <c r="S421" s="35" t="s">
        <v>86</v>
      </c>
      <c r="T421" s="35">
        <v>0.0</v>
      </c>
      <c r="U421" s="37" t="s">
        <v>58</v>
      </c>
      <c r="V421" s="38"/>
      <c r="W421" s="38"/>
      <c r="X421" s="27"/>
      <c r="Y421" s="39"/>
      <c r="Z421" s="39"/>
      <c r="AA421" s="39"/>
      <c r="AB421" s="40"/>
      <c r="AC421" s="27">
        <f t="shared" si="276"/>
        <v>0</v>
      </c>
      <c r="AD421" s="41">
        <f>IF(AND(S421="0",O421="Paid"),(M421*15%)-AC421,0)</f>
        <v>0</v>
      </c>
      <c r="AE421" s="42"/>
      <c r="AF421" s="27"/>
      <c r="AG421" s="43">
        <f>IF(O421="Paid",IF(A421="Alwataniya",(M421*21%)-((M421*21%)*5%),IF((A421="GIG"),(M421*25%)-((M421*25%)*5%),IF((A421="Allianz"),(M421*27%)-((M421*27%)*20%),0))),0)</f>
        <v>0</v>
      </c>
      <c r="AH421" s="29"/>
      <c r="AI421" s="29"/>
      <c r="AJ421" s="29"/>
      <c r="AK421" s="29"/>
      <c r="AL421" s="27"/>
      <c r="AM421" s="44"/>
      <c r="AN421" s="45"/>
      <c r="AO421" s="46"/>
      <c r="AP421" s="47"/>
      <c r="AQ421" s="43" t="b">
        <f>IF(O421="Paid",IF(U421="Motor Plus",(M421*27%),IF(U421="Motor One",(M421*22%),(IF(U421="Golden",(M421*25%),(IF(U421="Classic",(M421*15%),(IF(U421="Wethaq",(M421*28%),IF(U421="Alwataniya",(M421*21%))*0)))))))))</f>
        <v>0</v>
      </c>
      <c r="AR421" s="43">
        <f t="shared" si="2"/>
        <v>0</v>
      </c>
      <c r="AS421" s="43">
        <f t="shared" si="3"/>
        <v>0</v>
      </c>
      <c r="AT421" s="48">
        <f t="shared" si="4"/>
        <v>0</v>
      </c>
      <c r="AU421" s="49">
        <f t="shared" ref="AU421:AU426" si="303">AQ421-AR421-AS421-AC421</f>
        <v>0</v>
      </c>
      <c r="AV421" s="48"/>
      <c r="AW421" s="34">
        <f t="shared" si="280"/>
        <v>35194.81</v>
      </c>
      <c r="AX421" s="50">
        <f t="shared" si="248"/>
        <v>0</v>
      </c>
      <c r="AY421" s="43"/>
      <c r="AZ421" s="43"/>
      <c r="BA421" s="48">
        <f t="shared" si="302"/>
        <v>0</v>
      </c>
      <c r="BB421" s="27"/>
      <c r="BC421" s="27"/>
      <c r="BD421" s="51"/>
      <c r="BE421" s="52"/>
      <c r="BF421" s="27" t="s">
        <v>1492</v>
      </c>
      <c r="BG421" s="58" t="s">
        <v>1495</v>
      </c>
      <c r="BH421" s="53" t="str">
        <f>'[1]2023'!Q750</f>
        <v>#REF!</v>
      </c>
      <c r="BI421" s="27"/>
      <c r="BJ421" s="27"/>
      <c r="BK421" s="27" t="s">
        <v>64</v>
      </c>
      <c r="BL421" s="27"/>
    </row>
    <row r="422" ht="14.25" customHeight="1">
      <c r="A422" s="26" t="s">
        <v>55</v>
      </c>
      <c r="B422" s="26" t="s">
        <v>56</v>
      </c>
      <c r="C422" s="26" t="s">
        <v>57</v>
      </c>
      <c r="D422" s="26" t="s">
        <v>58</v>
      </c>
      <c r="E422" s="27" t="s">
        <v>1496</v>
      </c>
      <c r="F422" s="28" t="s">
        <v>1497</v>
      </c>
      <c r="G422" s="29" t="s">
        <v>1442</v>
      </c>
      <c r="H422" s="30">
        <v>45064.0</v>
      </c>
      <c r="I422" s="30">
        <v>45429.0</v>
      </c>
      <c r="J422" s="31">
        <v>0.0</v>
      </c>
      <c r="K422" s="26" t="s">
        <v>427</v>
      </c>
      <c r="L422" s="32" t="s">
        <v>1498</v>
      </c>
      <c r="M422" s="33">
        <v>6106.66</v>
      </c>
      <c r="N422" s="34">
        <v>6466.95</v>
      </c>
      <c r="O422" s="27" t="s">
        <v>76</v>
      </c>
      <c r="P422" s="35" t="s">
        <v>77</v>
      </c>
      <c r="Q422" s="35" t="s">
        <v>65</v>
      </c>
      <c r="R422" s="36" t="e">
        <v>#VALUE!</v>
      </c>
      <c r="S422" s="35" t="s">
        <v>86</v>
      </c>
      <c r="T422" s="35">
        <v>0.0</v>
      </c>
      <c r="U422" s="37" t="s">
        <v>157</v>
      </c>
      <c r="V422" s="38"/>
      <c r="W422" s="38"/>
      <c r="X422" s="27"/>
      <c r="Y422" s="39"/>
      <c r="Z422" s="39"/>
      <c r="AA422" s="39"/>
      <c r="AB422" s="40"/>
      <c r="AC422" s="27">
        <f t="shared" si="276"/>
        <v>0</v>
      </c>
      <c r="AD422" s="41"/>
      <c r="AE422" s="42"/>
      <c r="AF422" s="27"/>
      <c r="AG422" s="43">
        <f t="shared" ref="AG422:AG426" si="304">IF(O422="Paid",IF(A422="Alwataniya",(M422*21%)-((M422*21%)*5%),IF((A422="GIG"),(M422*25%)-((M422*25%)*5%),IF((A422="Allianz"),(M422*27%)-((M422*27%)*5%),0))),0)</f>
        <v>1566.35829</v>
      </c>
      <c r="AH422" s="29"/>
      <c r="AI422" s="29"/>
      <c r="AJ422" s="29"/>
      <c r="AK422" s="29"/>
      <c r="AL422" s="27"/>
      <c r="AM422" s="44"/>
      <c r="AN422" s="45"/>
      <c r="AO422" s="46"/>
      <c r="AP422" s="47"/>
      <c r="AQ422" s="43">
        <f t="shared" ref="AQ422:AQ432" si="305">IF(U422="Motor Plus",(M422*27%),IF(U422="Motor One",(M422*22%),(IF(U422="Golden",(M422*25%),(IF(U422="Classic",(M422*15%),(IF(U422="Wethaq",(M422*28%),IF(U422="Alwataniya",(M422*21%))*0))))))))</f>
        <v>1343.4652</v>
      </c>
      <c r="AR422" s="43">
        <f t="shared" si="2"/>
        <v>67.17326</v>
      </c>
      <c r="AS422" s="43">
        <f t="shared" si="3"/>
        <v>235.10641</v>
      </c>
      <c r="AT422" s="48">
        <f t="shared" si="4"/>
        <v>1041.18553</v>
      </c>
      <c r="AU422" s="49">
        <f t="shared" si="303"/>
        <v>1041.18553</v>
      </c>
      <c r="AV422" s="48"/>
      <c r="AW422" s="34">
        <f t="shared" si="280"/>
        <v>6466.95</v>
      </c>
      <c r="AX422" s="50">
        <f t="shared" si="248"/>
        <v>1331.25188</v>
      </c>
      <c r="AY422" s="43"/>
      <c r="AZ422" s="43"/>
      <c r="BA422" s="48">
        <f t="shared" si="302"/>
        <v>1041.18553</v>
      </c>
      <c r="BB422" s="27"/>
      <c r="BC422" s="27"/>
      <c r="BD422" s="51"/>
      <c r="BE422" s="52"/>
      <c r="BF422" s="27" t="s">
        <v>1496</v>
      </c>
      <c r="BG422" s="53">
        <v>0.0</v>
      </c>
      <c r="BH422" s="53" t="str">
        <f>'[1]2023'!Q804</f>
        <v>#REF!</v>
      </c>
      <c r="BI422" s="27"/>
      <c r="BJ422" s="27"/>
      <c r="BK422" s="27" t="s">
        <v>76</v>
      </c>
      <c r="BL422" s="64" t="s">
        <v>1499</v>
      </c>
    </row>
    <row r="423" ht="14.25" customHeight="1">
      <c r="A423" s="26" t="s">
        <v>55</v>
      </c>
      <c r="B423" s="26" t="s">
        <v>56</v>
      </c>
      <c r="C423" s="26" t="s">
        <v>57</v>
      </c>
      <c r="D423" s="26" t="s">
        <v>58</v>
      </c>
      <c r="E423" s="27" t="s">
        <v>1500</v>
      </c>
      <c r="F423" s="28" t="s">
        <v>1501</v>
      </c>
      <c r="G423" s="29" t="s">
        <v>1442</v>
      </c>
      <c r="H423" s="30">
        <v>45064.0</v>
      </c>
      <c r="I423" s="30">
        <v>45429.0</v>
      </c>
      <c r="J423" s="31" t="s">
        <v>1502</v>
      </c>
      <c r="K423" s="26" t="s">
        <v>427</v>
      </c>
      <c r="L423" s="32" t="s">
        <v>75</v>
      </c>
      <c r="M423" s="33">
        <v>2138.77</v>
      </c>
      <c r="N423" s="34">
        <v>2264.96</v>
      </c>
      <c r="O423" s="27" t="s">
        <v>76</v>
      </c>
      <c r="P423" s="35" t="s">
        <v>89</v>
      </c>
      <c r="Q423" s="35" t="s">
        <v>65</v>
      </c>
      <c r="R423" s="36" t="e">
        <v>#VALUE!</v>
      </c>
      <c r="S423" s="35" t="s">
        <v>86</v>
      </c>
      <c r="T423" s="35">
        <v>0.0</v>
      </c>
      <c r="U423" s="37" t="s">
        <v>67</v>
      </c>
      <c r="V423" s="38"/>
      <c r="W423" s="38"/>
      <c r="X423" s="27"/>
      <c r="Y423" s="39"/>
      <c r="Z423" s="39"/>
      <c r="AA423" s="39"/>
      <c r="AB423" s="40"/>
      <c r="AC423" s="27">
        <f t="shared" si="276"/>
        <v>0</v>
      </c>
      <c r="AD423" s="41"/>
      <c r="AE423" s="42"/>
      <c r="AF423" s="27"/>
      <c r="AG423" s="43">
        <f t="shared" si="304"/>
        <v>548.594505</v>
      </c>
      <c r="AH423" s="29"/>
      <c r="AI423" s="29"/>
      <c r="AJ423" s="29"/>
      <c r="AK423" s="29"/>
      <c r="AL423" s="27"/>
      <c r="AM423" s="44"/>
      <c r="AN423" s="45"/>
      <c r="AO423" s="46"/>
      <c r="AP423" s="47"/>
      <c r="AQ423" s="43">
        <f t="shared" si="305"/>
        <v>577.4679</v>
      </c>
      <c r="AR423" s="43">
        <f t="shared" si="2"/>
        <v>28.873395</v>
      </c>
      <c r="AS423" s="43">
        <f t="shared" si="3"/>
        <v>101.0568825</v>
      </c>
      <c r="AT423" s="48">
        <f t="shared" si="4"/>
        <v>447.5376225</v>
      </c>
      <c r="AU423" s="49">
        <f t="shared" si="303"/>
        <v>447.5376225</v>
      </c>
      <c r="AV423" s="48"/>
      <c r="AW423" s="34">
        <f t="shared" si="280"/>
        <v>2264.96</v>
      </c>
      <c r="AX423" s="50">
        <f t="shared" si="248"/>
        <v>447.5376225</v>
      </c>
      <c r="AY423" s="43"/>
      <c r="AZ423" s="43"/>
      <c r="BA423" s="48">
        <f t="shared" si="302"/>
        <v>447.5376225</v>
      </c>
      <c r="BB423" s="27"/>
      <c r="BC423" s="27"/>
      <c r="BD423" s="51"/>
      <c r="BE423" s="52"/>
      <c r="BF423" s="27" t="s">
        <v>1500</v>
      </c>
      <c r="BG423" s="58" t="s">
        <v>1503</v>
      </c>
      <c r="BH423" s="53" t="str">
        <f>'[1]2023'!Q876</f>
        <v>#REF!</v>
      </c>
      <c r="BI423" s="27"/>
      <c r="BJ423" s="27"/>
      <c r="BK423" s="27" t="s">
        <v>76</v>
      </c>
      <c r="BL423" s="27"/>
    </row>
    <row r="424" ht="14.25" customHeight="1">
      <c r="A424" s="26" t="s">
        <v>55</v>
      </c>
      <c r="B424" s="26" t="s">
        <v>56</v>
      </c>
      <c r="C424" s="26" t="s">
        <v>57</v>
      </c>
      <c r="D424" s="26" t="s">
        <v>58</v>
      </c>
      <c r="E424" s="27" t="s">
        <v>1504</v>
      </c>
      <c r="F424" s="28" t="s">
        <v>1505</v>
      </c>
      <c r="G424" s="29" t="s">
        <v>1442</v>
      </c>
      <c r="H424" s="30">
        <v>45064.0</v>
      </c>
      <c r="I424" s="30">
        <v>45429.0</v>
      </c>
      <c r="J424" s="31">
        <v>0.0</v>
      </c>
      <c r="K424" s="26" t="s">
        <v>427</v>
      </c>
      <c r="L424" s="32" t="s">
        <v>75</v>
      </c>
      <c r="M424" s="33">
        <v>3501.2</v>
      </c>
      <c r="N424" s="34">
        <v>3707.77</v>
      </c>
      <c r="O424" s="27" t="s">
        <v>76</v>
      </c>
      <c r="P424" s="35" t="s">
        <v>122</v>
      </c>
      <c r="Q424" s="35" t="s">
        <v>90</v>
      </c>
      <c r="R424" s="36" t="e">
        <v>#VALUE!</v>
      </c>
      <c r="S424" s="35" t="s">
        <v>86</v>
      </c>
      <c r="T424" s="35">
        <v>0.0</v>
      </c>
      <c r="U424" s="37" t="s">
        <v>67</v>
      </c>
      <c r="V424" s="38"/>
      <c r="W424" s="38"/>
      <c r="X424" s="27"/>
      <c r="Y424" s="39"/>
      <c r="Z424" s="39"/>
      <c r="AA424" s="39"/>
      <c r="AB424" s="40"/>
      <c r="AC424" s="27">
        <f t="shared" si="276"/>
        <v>0</v>
      </c>
      <c r="AD424" s="41">
        <f>IF(AND(S424="0",O424="Paid"),(M424*15%)-AC424,0)</f>
        <v>525.18</v>
      </c>
      <c r="AE424" s="42"/>
      <c r="AF424" s="27"/>
      <c r="AG424" s="43">
        <f t="shared" si="304"/>
        <v>898.0578</v>
      </c>
      <c r="AH424" s="29"/>
      <c r="AI424" s="29"/>
      <c r="AJ424" s="29"/>
      <c r="AK424" s="29"/>
      <c r="AL424" s="27"/>
      <c r="AM424" s="44"/>
      <c r="AN424" s="45"/>
      <c r="AO424" s="46"/>
      <c r="AP424" s="47"/>
      <c r="AQ424" s="43">
        <f t="shared" si="305"/>
        <v>945.324</v>
      </c>
      <c r="AR424" s="43">
        <f t="shared" si="2"/>
        <v>47.2662</v>
      </c>
      <c r="AS424" s="43">
        <f t="shared" si="3"/>
        <v>165.4317</v>
      </c>
      <c r="AT424" s="48">
        <f t="shared" si="4"/>
        <v>732.6261</v>
      </c>
      <c r="AU424" s="49">
        <f t="shared" si="303"/>
        <v>732.6261</v>
      </c>
      <c r="AV424" s="48"/>
      <c r="AW424" s="34">
        <f t="shared" si="280"/>
        <v>3182.59</v>
      </c>
      <c r="AX424" s="50">
        <f t="shared" si="248"/>
        <v>207.4461</v>
      </c>
      <c r="AY424" s="43"/>
      <c r="AZ424" s="43"/>
      <c r="BA424" s="48">
        <f t="shared" si="302"/>
        <v>732.6261</v>
      </c>
      <c r="BB424" s="27"/>
      <c r="BC424" s="27"/>
      <c r="BD424" s="51"/>
      <c r="BE424" s="52"/>
      <c r="BF424" s="27" t="s">
        <v>1504</v>
      </c>
      <c r="BG424" s="53">
        <v>0.0</v>
      </c>
      <c r="BH424" s="53" t="str">
        <f>'[1]2023'!Q878</f>
        <v>#REF!</v>
      </c>
      <c r="BI424" s="27"/>
      <c r="BJ424" s="27"/>
      <c r="BK424" s="27" t="s">
        <v>76</v>
      </c>
      <c r="BL424" s="27"/>
    </row>
    <row r="425" ht="14.25" customHeight="1">
      <c r="A425" s="26" t="s">
        <v>55</v>
      </c>
      <c r="B425" s="26" t="s">
        <v>56</v>
      </c>
      <c r="C425" s="26" t="s">
        <v>57</v>
      </c>
      <c r="D425" s="26" t="s">
        <v>81</v>
      </c>
      <c r="E425" s="27" t="s">
        <v>1506</v>
      </c>
      <c r="F425" s="28" t="s">
        <v>1507</v>
      </c>
      <c r="G425" s="29" t="s">
        <v>1508</v>
      </c>
      <c r="H425" s="30">
        <v>45065.0</v>
      </c>
      <c r="I425" s="30">
        <v>45430.0</v>
      </c>
      <c r="J425" s="31">
        <v>0.0</v>
      </c>
      <c r="K425" s="26" t="s">
        <v>427</v>
      </c>
      <c r="L425" s="32" t="s">
        <v>75</v>
      </c>
      <c r="M425" s="33">
        <v>22125.0</v>
      </c>
      <c r="N425" s="34">
        <v>23571.38</v>
      </c>
      <c r="O425" s="27" t="s">
        <v>76</v>
      </c>
      <c r="P425" s="35" t="s">
        <v>89</v>
      </c>
      <c r="Q425" s="35" t="s">
        <v>65</v>
      </c>
      <c r="R425" s="36" t="e">
        <v>#VALUE!</v>
      </c>
      <c r="S425" s="35" t="s">
        <v>86</v>
      </c>
      <c r="T425" s="35">
        <v>0.0</v>
      </c>
      <c r="U425" s="37" t="s">
        <v>67</v>
      </c>
      <c r="V425" s="38"/>
      <c r="W425" s="38"/>
      <c r="X425" s="27"/>
      <c r="Y425" s="39"/>
      <c r="Z425" s="39"/>
      <c r="AA425" s="39"/>
      <c r="AB425" s="40"/>
      <c r="AC425" s="27">
        <f t="shared" si="276"/>
        <v>0</v>
      </c>
      <c r="AD425" s="41"/>
      <c r="AE425" s="42"/>
      <c r="AF425" s="27"/>
      <c r="AG425" s="43">
        <f t="shared" si="304"/>
        <v>5675.0625</v>
      </c>
      <c r="AH425" s="29"/>
      <c r="AI425" s="29"/>
      <c r="AJ425" s="29"/>
      <c r="AK425" s="29"/>
      <c r="AL425" s="27"/>
      <c r="AM425" s="44"/>
      <c r="AN425" s="115"/>
      <c r="AO425" s="46"/>
      <c r="AP425" s="47"/>
      <c r="AQ425" s="43">
        <f t="shared" si="305"/>
        <v>5973.75</v>
      </c>
      <c r="AR425" s="43">
        <f t="shared" si="2"/>
        <v>298.6875</v>
      </c>
      <c r="AS425" s="43">
        <f t="shared" si="3"/>
        <v>1045.40625</v>
      </c>
      <c r="AT425" s="48">
        <f t="shared" si="4"/>
        <v>4629.65625</v>
      </c>
      <c r="AU425" s="49">
        <f t="shared" si="303"/>
        <v>4629.65625</v>
      </c>
      <c r="AV425" s="48"/>
      <c r="AW425" s="34">
        <f t="shared" si="280"/>
        <v>23571.38</v>
      </c>
      <c r="AX425" s="50">
        <f t="shared" si="248"/>
        <v>4629.65625</v>
      </c>
      <c r="AY425" s="43"/>
      <c r="AZ425" s="43"/>
      <c r="BA425" s="48">
        <f t="shared" si="302"/>
        <v>4629.65625</v>
      </c>
      <c r="BB425" s="27"/>
      <c r="BC425" s="27"/>
      <c r="BD425" s="51"/>
      <c r="BE425" s="52"/>
      <c r="BF425" s="27" t="s">
        <v>1506</v>
      </c>
      <c r="BG425" s="53">
        <v>0.0</v>
      </c>
      <c r="BH425" s="53" t="str">
        <f>'[1]2023'!Q556</f>
        <v>#REF!</v>
      </c>
      <c r="BI425" s="27"/>
      <c r="BJ425" s="27"/>
      <c r="BK425" s="27" t="s">
        <v>76</v>
      </c>
      <c r="BL425" s="27"/>
    </row>
    <row r="426" ht="14.25" customHeight="1">
      <c r="A426" s="26" t="s">
        <v>55</v>
      </c>
      <c r="B426" s="26" t="s">
        <v>56</v>
      </c>
      <c r="C426" s="26" t="s">
        <v>57</v>
      </c>
      <c r="D426" s="26" t="s">
        <v>81</v>
      </c>
      <c r="E426" s="27" t="s">
        <v>1509</v>
      </c>
      <c r="F426" s="28" t="s">
        <v>1510</v>
      </c>
      <c r="G426" s="29" t="s">
        <v>1508</v>
      </c>
      <c r="H426" s="30">
        <v>45065.0</v>
      </c>
      <c r="I426" s="30">
        <v>45430.0</v>
      </c>
      <c r="J426" s="31">
        <v>0.0</v>
      </c>
      <c r="K426" s="26" t="s">
        <v>427</v>
      </c>
      <c r="L426" s="73" t="s">
        <v>75</v>
      </c>
      <c r="M426" s="33">
        <v>23747.5</v>
      </c>
      <c r="N426" s="34">
        <v>25289.62</v>
      </c>
      <c r="O426" s="27" t="s">
        <v>76</v>
      </c>
      <c r="P426" s="35" t="s">
        <v>142</v>
      </c>
      <c r="Q426" s="35" t="s">
        <v>90</v>
      </c>
      <c r="R426" s="36" t="e">
        <v>#VALUE!</v>
      </c>
      <c r="S426" s="35" t="s">
        <v>86</v>
      </c>
      <c r="T426" s="35">
        <v>0.0</v>
      </c>
      <c r="U426" s="37" t="s">
        <v>67</v>
      </c>
      <c r="V426" s="38"/>
      <c r="W426" s="38"/>
      <c r="X426" s="27"/>
      <c r="Y426" s="39"/>
      <c r="Z426" s="79" t="s">
        <v>476</v>
      </c>
      <c r="AA426" s="39"/>
      <c r="AB426" s="40"/>
      <c r="AC426" s="27">
        <f t="shared" si="276"/>
        <v>0</v>
      </c>
      <c r="AD426" s="41">
        <f t="shared" ref="AD426:AD429" si="306">IF(AND(S426="0",O426="Paid"),M426*15%,0)</f>
        <v>3562.125</v>
      </c>
      <c r="AE426" s="42"/>
      <c r="AF426" s="27" t="s">
        <v>306</v>
      </c>
      <c r="AG426" s="43">
        <f t="shared" si="304"/>
        <v>6091.23375</v>
      </c>
      <c r="AH426" s="29"/>
      <c r="AI426" s="29"/>
      <c r="AJ426" s="29"/>
      <c r="AK426" s="75"/>
      <c r="AL426" s="27"/>
      <c r="AM426" s="27"/>
      <c r="AN426" s="93"/>
      <c r="AO426" s="46"/>
      <c r="AP426" s="47"/>
      <c r="AQ426" s="43">
        <f t="shared" si="305"/>
        <v>6411.825</v>
      </c>
      <c r="AR426" s="43">
        <f t="shared" si="2"/>
        <v>320.59125</v>
      </c>
      <c r="AS426" s="43">
        <f t="shared" si="3"/>
        <v>1122.069375</v>
      </c>
      <c r="AT426" s="48">
        <f t="shared" si="4"/>
        <v>4969.164375</v>
      </c>
      <c r="AU426" s="103">
        <f t="shared" si="303"/>
        <v>4969.164375</v>
      </c>
      <c r="AV426" s="48"/>
      <c r="AW426" s="34">
        <f t="shared" si="280"/>
        <v>21727.495</v>
      </c>
      <c r="AX426" s="50">
        <f t="shared" si="248"/>
        <v>1407.039375</v>
      </c>
      <c r="AY426" s="43"/>
      <c r="AZ426" s="43"/>
      <c r="BA426" s="48">
        <f t="shared" si="302"/>
        <v>4969.164375</v>
      </c>
      <c r="BB426" s="27"/>
      <c r="BC426" s="27"/>
      <c r="BD426" s="51"/>
      <c r="BE426" s="52"/>
      <c r="BF426" s="27" t="s">
        <v>1509</v>
      </c>
      <c r="BG426" s="53">
        <v>0.0</v>
      </c>
      <c r="BH426" s="53" t="str">
        <f>'[1]2023'!Q636</f>
        <v>#REF!</v>
      </c>
      <c r="BI426" s="27"/>
      <c r="BJ426" s="27"/>
      <c r="BK426" s="27" t="s">
        <v>76</v>
      </c>
      <c r="BL426" s="27"/>
    </row>
    <row r="427" ht="14.25" customHeight="1">
      <c r="A427" s="26" t="s">
        <v>55</v>
      </c>
      <c r="B427" s="26" t="s">
        <v>56</v>
      </c>
      <c r="C427" s="26" t="s">
        <v>57</v>
      </c>
      <c r="D427" s="26" t="s">
        <v>71</v>
      </c>
      <c r="E427" s="27" t="s">
        <v>1511</v>
      </c>
      <c r="F427" s="28" t="s">
        <v>1512</v>
      </c>
      <c r="G427" s="29" t="s">
        <v>1508</v>
      </c>
      <c r="H427" s="30">
        <v>45065.0</v>
      </c>
      <c r="I427" s="30">
        <v>45430.0</v>
      </c>
      <c r="J427" s="31">
        <v>0.0</v>
      </c>
      <c r="K427" s="26" t="s">
        <v>427</v>
      </c>
      <c r="L427" s="32" t="s">
        <v>75</v>
      </c>
      <c r="M427" s="33">
        <v>59557.0</v>
      </c>
      <c r="N427" s="34">
        <v>63213.0</v>
      </c>
      <c r="O427" s="27" t="s">
        <v>76</v>
      </c>
      <c r="P427" s="35" t="s">
        <v>430</v>
      </c>
      <c r="Q427" s="35" t="s">
        <v>85</v>
      </c>
      <c r="R427" s="36" t="e">
        <v>#VALUE!</v>
      </c>
      <c r="S427" s="35" t="s">
        <v>66</v>
      </c>
      <c r="T427" s="35">
        <v>0.0</v>
      </c>
      <c r="U427" s="37" t="s">
        <v>67</v>
      </c>
      <c r="V427" s="38"/>
      <c r="W427" s="38"/>
      <c r="X427" s="27"/>
      <c r="Y427" s="39"/>
      <c r="Z427" s="39"/>
      <c r="AA427" s="39"/>
      <c r="AB427" s="40"/>
      <c r="AC427" s="27">
        <f t="shared" si="276"/>
        <v>0</v>
      </c>
      <c r="AD427" s="41">
        <f t="shared" si="306"/>
        <v>0</v>
      </c>
      <c r="AE427" s="42"/>
      <c r="AF427" s="94">
        <v>45052.0</v>
      </c>
      <c r="AG427" s="43">
        <f>IF(O427="Paid",IF(A427="Wethaq",(M427*28%)-((M427*28%)*5%),IF((A427="GIG"),(M427*25%)-((M427*25%)*5%),IF((A427="Allianz"),(M427*27%)-((M427*27%)*5%),0))),0)</f>
        <v>15276.3705</v>
      </c>
      <c r="AH427" s="29"/>
      <c r="AI427" s="29"/>
      <c r="AJ427" s="29"/>
      <c r="AK427" s="29"/>
      <c r="AL427" s="27"/>
      <c r="AM427" s="140">
        <f>AU427*30%</f>
        <v>3738.690675</v>
      </c>
      <c r="AN427" s="115"/>
      <c r="AO427" s="46"/>
      <c r="AP427" s="47"/>
      <c r="AQ427" s="43">
        <f t="shared" si="305"/>
        <v>16080.39</v>
      </c>
      <c r="AR427" s="43">
        <f t="shared" si="2"/>
        <v>804.0195</v>
      </c>
      <c r="AS427" s="43">
        <f t="shared" si="3"/>
        <v>2814.06825</v>
      </c>
      <c r="AT427" s="48">
        <f t="shared" si="4"/>
        <v>12462.30225</v>
      </c>
      <c r="AU427" s="49">
        <f>AQ427-AR427-AS427-AC427-AO427</f>
        <v>12462.30225</v>
      </c>
      <c r="AV427" s="48"/>
      <c r="AW427" s="34">
        <f>BI427-AD427-AE427-AC427</f>
        <v>0</v>
      </c>
      <c r="AX427" s="50">
        <f t="shared" si="248"/>
        <v>8723.611575</v>
      </c>
      <c r="AY427" s="43"/>
      <c r="AZ427" s="43"/>
      <c r="BA427" s="48">
        <f t="shared" si="302"/>
        <v>8723.611575</v>
      </c>
      <c r="BB427" s="27"/>
      <c r="BC427" s="27"/>
      <c r="BD427" s="51"/>
      <c r="BE427" s="52"/>
      <c r="BF427" s="27" t="s">
        <v>1511</v>
      </c>
      <c r="BG427" s="141" t="s">
        <v>1513</v>
      </c>
      <c r="BH427" s="53" t="str">
        <f>'[1]2023'!Q640</f>
        <v>#REF!</v>
      </c>
      <c r="BI427" s="34"/>
      <c r="BJ427" s="27"/>
      <c r="BK427" s="27" t="s">
        <v>76</v>
      </c>
      <c r="BL427" s="64" t="s">
        <v>1514</v>
      </c>
    </row>
    <row r="428" ht="14.25" customHeight="1">
      <c r="A428" s="26" t="s">
        <v>55</v>
      </c>
      <c r="B428" s="26" t="s">
        <v>56</v>
      </c>
      <c r="C428" s="26" t="s">
        <v>57</v>
      </c>
      <c r="D428" s="26" t="s">
        <v>81</v>
      </c>
      <c r="E428" s="27" t="s">
        <v>1515</v>
      </c>
      <c r="F428" s="28" t="s">
        <v>1516</v>
      </c>
      <c r="G428" s="29" t="s">
        <v>1508</v>
      </c>
      <c r="H428" s="30">
        <v>45065.0</v>
      </c>
      <c r="I428" s="30">
        <v>45430.0</v>
      </c>
      <c r="J428" s="31">
        <v>0.0</v>
      </c>
      <c r="K428" s="26" t="s">
        <v>427</v>
      </c>
      <c r="L428" s="32" t="s">
        <v>75</v>
      </c>
      <c r="M428" s="33">
        <v>16815.0</v>
      </c>
      <c r="N428" s="34">
        <v>17948.09</v>
      </c>
      <c r="O428" s="27" t="s">
        <v>76</v>
      </c>
      <c r="P428" s="35" t="s">
        <v>122</v>
      </c>
      <c r="Q428" s="35" t="s">
        <v>108</v>
      </c>
      <c r="R428" s="36" t="e">
        <v>#VALUE!</v>
      </c>
      <c r="S428" s="35" t="s">
        <v>86</v>
      </c>
      <c r="T428" s="35">
        <v>0.0</v>
      </c>
      <c r="U428" s="37" t="s">
        <v>67</v>
      </c>
      <c r="V428" s="38"/>
      <c r="W428" s="38"/>
      <c r="X428" s="27"/>
      <c r="Y428" s="39"/>
      <c r="Z428" s="39"/>
      <c r="AA428" s="39"/>
      <c r="AB428" s="40"/>
      <c r="AC428" s="27">
        <f t="shared" si="276"/>
        <v>0</v>
      </c>
      <c r="AD428" s="41">
        <f t="shared" si="306"/>
        <v>2522.25</v>
      </c>
      <c r="AE428" s="42"/>
      <c r="AF428" s="27" t="s">
        <v>880</v>
      </c>
      <c r="AG428" s="43">
        <f t="shared" ref="AG428:AG432" si="307">IF(O428="Paid",IF(A428="Alwataniya",(M428*21%)-((M428*21%)*5%),IF((A428="GIG"),(M428*25%)-((M428*25%)*5%),IF((A428="Allianz"),(M428*27%)-((M428*27%)*5%),0))),0)</f>
        <v>4313.0475</v>
      </c>
      <c r="AH428" s="29"/>
      <c r="AI428" s="29"/>
      <c r="AJ428" s="29"/>
      <c r="AK428" s="29"/>
      <c r="AL428" s="27"/>
      <c r="AM428" s="44"/>
      <c r="AN428" s="115"/>
      <c r="AO428" s="46"/>
      <c r="AP428" s="47"/>
      <c r="AQ428" s="43">
        <f t="shared" si="305"/>
        <v>4540.05</v>
      </c>
      <c r="AR428" s="43">
        <f t="shared" si="2"/>
        <v>227.0025</v>
      </c>
      <c r="AS428" s="43">
        <f t="shared" si="3"/>
        <v>794.50875</v>
      </c>
      <c r="AT428" s="48">
        <f t="shared" si="4"/>
        <v>3518.53875</v>
      </c>
      <c r="AU428" s="49">
        <f t="shared" ref="AU428:AU441" si="308">AQ428-AR428-AS428-AC428</f>
        <v>3518.53875</v>
      </c>
      <c r="AV428" s="48"/>
      <c r="AW428" s="34">
        <f t="shared" ref="AW428:AW444" si="309">N428-AD428-AE428-AC428</f>
        <v>15425.84</v>
      </c>
      <c r="AX428" s="50">
        <f t="shared" si="248"/>
        <v>996.28875</v>
      </c>
      <c r="AY428" s="43"/>
      <c r="AZ428" s="43"/>
      <c r="BA428" s="48">
        <f t="shared" si="302"/>
        <v>3518.53875</v>
      </c>
      <c r="BB428" s="27"/>
      <c r="BC428" s="27"/>
      <c r="BD428" s="51"/>
      <c r="BE428" s="52"/>
      <c r="BF428" s="27" t="s">
        <v>1515</v>
      </c>
      <c r="BG428" s="58" t="s">
        <v>562</v>
      </c>
      <c r="BH428" s="53" t="str">
        <f>'[1]2023'!Q661</f>
        <v>#REF!</v>
      </c>
      <c r="BI428" s="27"/>
      <c r="BJ428" s="27"/>
      <c r="BK428" s="27" t="s">
        <v>76</v>
      </c>
      <c r="BL428" s="27"/>
    </row>
    <row r="429" ht="14.25" customHeight="1">
      <c r="A429" s="26" t="s">
        <v>55</v>
      </c>
      <c r="B429" s="26" t="s">
        <v>56</v>
      </c>
      <c r="C429" s="26" t="s">
        <v>57</v>
      </c>
      <c r="D429" s="26" t="s">
        <v>81</v>
      </c>
      <c r="E429" s="27" t="s">
        <v>1517</v>
      </c>
      <c r="F429" s="28" t="s">
        <v>1518</v>
      </c>
      <c r="G429" s="29" t="s">
        <v>1508</v>
      </c>
      <c r="H429" s="30">
        <v>45065.0</v>
      </c>
      <c r="I429" s="30">
        <v>45430.0</v>
      </c>
      <c r="J429" s="31">
        <v>0.0</v>
      </c>
      <c r="K429" s="26" t="s">
        <v>427</v>
      </c>
      <c r="L429" s="32" t="s">
        <v>75</v>
      </c>
      <c r="M429" s="33">
        <v>11700.0</v>
      </c>
      <c r="N429" s="34">
        <v>12531.3</v>
      </c>
      <c r="O429" s="27" t="s">
        <v>76</v>
      </c>
      <c r="P429" s="35" t="s">
        <v>89</v>
      </c>
      <c r="Q429" s="35">
        <v>0.0</v>
      </c>
      <c r="R429" s="36" t="e">
        <v>#VALUE!</v>
      </c>
      <c r="S429" s="35" t="s">
        <v>86</v>
      </c>
      <c r="T429" s="35">
        <v>0.0</v>
      </c>
      <c r="U429" s="37" t="s">
        <v>67</v>
      </c>
      <c r="V429" s="38"/>
      <c r="W429" s="38"/>
      <c r="X429" s="27"/>
      <c r="Y429" s="39"/>
      <c r="Z429" s="39"/>
      <c r="AA429" s="39"/>
      <c r="AB429" s="40"/>
      <c r="AC429" s="27">
        <f t="shared" si="276"/>
        <v>0</v>
      </c>
      <c r="AD429" s="41">
        <f t="shared" si="306"/>
        <v>1755</v>
      </c>
      <c r="AE429" s="42"/>
      <c r="AF429" s="27"/>
      <c r="AG429" s="43">
        <f t="shared" si="307"/>
        <v>3001.05</v>
      </c>
      <c r="AH429" s="29"/>
      <c r="AI429" s="29"/>
      <c r="AJ429" s="29"/>
      <c r="AK429" s="29"/>
      <c r="AL429" s="27"/>
      <c r="AM429" s="44"/>
      <c r="AN429" s="115"/>
      <c r="AO429" s="46"/>
      <c r="AP429" s="47"/>
      <c r="AQ429" s="43">
        <f t="shared" si="305"/>
        <v>3159</v>
      </c>
      <c r="AR429" s="43">
        <f t="shared" si="2"/>
        <v>157.95</v>
      </c>
      <c r="AS429" s="43">
        <f t="shared" si="3"/>
        <v>552.825</v>
      </c>
      <c r="AT429" s="48">
        <f t="shared" si="4"/>
        <v>2448.225</v>
      </c>
      <c r="AU429" s="49">
        <f t="shared" si="308"/>
        <v>2448.225</v>
      </c>
      <c r="AV429" s="48"/>
      <c r="AW429" s="34">
        <f t="shared" si="309"/>
        <v>10776.3</v>
      </c>
      <c r="AX429" s="50">
        <f t="shared" si="248"/>
        <v>693.225</v>
      </c>
      <c r="AY429" s="43"/>
      <c r="AZ429" s="43"/>
      <c r="BA429" s="48">
        <f t="shared" si="302"/>
        <v>2448.225</v>
      </c>
      <c r="BB429" s="27"/>
      <c r="BC429" s="27"/>
      <c r="BD429" s="51"/>
      <c r="BE429" s="52"/>
      <c r="BF429" s="27" t="s">
        <v>1517</v>
      </c>
      <c r="BG429" s="53">
        <v>0.0</v>
      </c>
      <c r="BH429" s="53" t="str">
        <f>'[1]2023'!Q697</f>
        <v>#REF!</v>
      </c>
      <c r="BI429" s="27"/>
      <c r="BJ429" s="27"/>
      <c r="BK429" s="27" t="s">
        <v>76</v>
      </c>
      <c r="BL429" s="27"/>
    </row>
    <row r="430" ht="14.25" customHeight="1">
      <c r="A430" s="26" t="s">
        <v>55</v>
      </c>
      <c r="B430" s="26" t="s">
        <v>56</v>
      </c>
      <c r="C430" s="26" t="s">
        <v>57</v>
      </c>
      <c r="D430" s="26" t="s">
        <v>81</v>
      </c>
      <c r="E430" s="27" t="s">
        <v>1519</v>
      </c>
      <c r="F430" s="28" t="s">
        <v>1520</v>
      </c>
      <c r="G430" s="29" t="s">
        <v>1521</v>
      </c>
      <c r="H430" s="30">
        <v>45066.0</v>
      </c>
      <c r="I430" s="30">
        <v>45431.0</v>
      </c>
      <c r="J430" s="31">
        <v>0.0</v>
      </c>
      <c r="K430" s="26" t="s">
        <v>427</v>
      </c>
      <c r="L430" s="32" t="s">
        <v>75</v>
      </c>
      <c r="M430" s="33">
        <v>16900.0</v>
      </c>
      <c r="N430" s="34">
        <v>18038.1</v>
      </c>
      <c r="O430" s="27" t="s">
        <v>76</v>
      </c>
      <c r="P430" s="35" t="s">
        <v>122</v>
      </c>
      <c r="Q430" s="35" t="s">
        <v>65</v>
      </c>
      <c r="R430" s="36" t="e">
        <v>#VALUE!</v>
      </c>
      <c r="S430" s="35" t="s">
        <v>86</v>
      </c>
      <c r="T430" s="35">
        <v>0.0</v>
      </c>
      <c r="U430" s="37" t="s">
        <v>67</v>
      </c>
      <c r="V430" s="38"/>
      <c r="W430" s="38"/>
      <c r="X430" s="27"/>
      <c r="Y430" s="39"/>
      <c r="Z430" s="39"/>
      <c r="AA430" s="39"/>
      <c r="AB430" s="40"/>
      <c r="AC430" s="27">
        <f t="shared" si="276"/>
        <v>0</v>
      </c>
      <c r="AD430" s="41"/>
      <c r="AE430" s="42"/>
      <c r="AF430" s="27"/>
      <c r="AG430" s="43">
        <f t="shared" si="307"/>
        <v>4334.85</v>
      </c>
      <c r="AH430" s="29"/>
      <c r="AI430" s="29"/>
      <c r="AJ430" s="29"/>
      <c r="AK430" s="29"/>
      <c r="AL430" s="27"/>
      <c r="AM430" s="44"/>
      <c r="AN430" s="115"/>
      <c r="AO430" s="46"/>
      <c r="AP430" s="47"/>
      <c r="AQ430" s="43">
        <f t="shared" si="305"/>
        <v>4563</v>
      </c>
      <c r="AR430" s="43">
        <f t="shared" si="2"/>
        <v>228.15</v>
      </c>
      <c r="AS430" s="43">
        <f t="shared" si="3"/>
        <v>798.525</v>
      </c>
      <c r="AT430" s="48">
        <f t="shared" si="4"/>
        <v>3536.325</v>
      </c>
      <c r="AU430" s="49">
        <f t="shared" si="308"/>
        <v>3536.325</v>
      </c>
      <c r="AV430" s="48"/>
      <c r="AW430" s="34">
        <f t="shared" si="309"/>
        <v>18038.1</v>
      </c>
      <c r="AX430" s="50">
        <f t="shared" si="248"/>
        <v>3536.325</v>
      </c>
      <c r="AY430" s="43"/>
      <c r="AZ430" s="43"/>
      <c r="BA430" s="48">
        <f t="shared" si="302"/>
        <v>3536.325</v>
      </c>
      <c r="BB430" s="27"/>
      <c r="BC430" s="27"/>
      <c r="BD430" s="51"/>
      <c r="BE430" s="52"/>
      <c r="BF430" s="27" t="s">
        <v>1519</v>
      </c>
      <c r="BG430" s="53">
        <v>0.0</v>
      </c>
      <c r="BH430" s="53" t="str">
        <f>'[1]2023'!Q557</f>
        <v>#REF!</v>
      </c>
      <c r="BI430" s="27"/>
      <c r="BJ430" s="27"/>
      <c r="BK430" s="27" t="s">
        <v>76</v>
      </c>
      <c r="BL430" s="27"/>
    </row>
    <row r="431" ht="14.25" customHeight="1">
      <c r="A431" s="26" t="s">
        <v>55</v>
      </c>
      <c r="B431" s="26" t="s">
        <v>56</v>
      </c>
      <c r="C431" s="26" t="s">
        <v>57</v>
      </c>
      <c r="D431" s="26" t="s">
        <v>81</v>
      </c>
      <c r="E431" s="27" t="s">
        <v>1522</v>
      </c>
      <c r="F431" s="28" t="s">
        <v>1523</v>
      </c>
      <c r="G431" s="29" t="s">
        <v>1521</v>
      </c>
      <c r="H431" s="30">
        <v>45066.0</v>
      </c>
      <c r="I431" s="30">
        <v>45431.0</v>
      </c>
      <c r="J431" s="31">
        <v>0.0</v>
      </c>
      <c r="K431" s="26" t="s">
        <v>427</v>
      </c>
      <c r="L431" s="32" t="s">
        <v>75</v>
      </c>
      <c r="M431" s="33">
        <v>16815.0</v>
      </c>
      <c r="N431" s="34">
        <v>17948.09</v>
      </c>
      <c r="O431" s="27" t="s">
        <v>76</v>
      </c>
      <c r="P431" s="35" t="s">
        <v>122</v>
      </c>
      <c r="Q431" s="35" t="s">
        <v>65</v>
      </c>
      <c r="R431" s="36" t="e">
        <v>#VALUE!</v>
      </c>
      <c r="S431" s="35" t="s">
        <v>86</v>
      </c>
      <c r="T431" s="35">
        <v>0.0</v>
      </c>
      <c r="U431" s="37" t="s">
        <v>67</v>
      </c>
      <c r="V431" s="38"/>
      <c r="W431" s="38"/>
      <c r="X431" s="27"/>
      <c r="Y431" s="39"/>
      <c r="Z431" s="39"/>
      <c r="AA431" s="39"/>
      <c r="AB431" s="40"/>
      <c r="AC431" s="27">
        <f t="shared" si="276"/>
        <v>0</v>
      </c>
      <c r="AD431" s="41"/>
      <c r="AE431" s="42"/>
      <c r="AF431" s="27"/>
      <c r="AG431" s="43">
        <f t="shared" si="307"/>
        <v>4313.0475</v>
      </c>
      <c r="AH431" s="29"/>
      <c r="AI431" s="29"/>
      <c r="AJ431" s="29"/>
      <c r="AK431" s="29"/>
      <c r="AL431" s="27"/>
      <c r="AM431" s="44"/>
      <c r="AN431" s="115"/>
      <c r="AO431" s="46"/>
      <c r="AP431" s="47"/>
      <c r="AQ431" s="43">
        <f t="shared" si="305"/>
        <v>4540.05</v>
      </c>
      <c r="AR431" s="43">
        <f t="shared" si="2"/>
        <v>227.0025</v>
      </c>
      <c r="AS431" s="43">
        <f t="shared" si="3"/>
        <v>794.50875</v>
      </c>
      <c r="AT431" s="48">
        <f t="shared" si="4"/>
        <v>3518.53875</v>
      </c>
      <c r="AU431" s="49">
        <f t="shared" si="308"/>
        <v>3518.53875</v>
      </c>
      <c r="AV431" s="48"/>
      <c r="AW431" s="34">
        <f t="shared" si="309"/>
        <v>17948.09</v>
      </c>
      <c r="AX431" s="50">
        <f t="shared" si="248"/>
        <v>3518.53875</v>
      </c>
      <c r="AY431" s="43"/>
      <c r="AZ431" s="43"/>
      <c r="BA431" s="48">
        <f t="shared" si="302"/>
        <v>3518.53875</v>
      </c>
      <c r="BB431" s="27"/>
      <c r="BC431" s="27"/>
      <c r="BD431" s="51"/>
      <c r="BE431" s="52"/>
      <c r="BF431" s="27" t="s">
        <v>1522</v>
      </c>
      <c r="BG431" s="53">
        <v>0.0</v>
      </c>
      <c r="BH431" s="53" t="str">
        <f>'[1]2023'!Q578</f>
        <v>#REF!</v>
      </c>
      <c r="BI431" s="27"/>
      <c r="BJ431" s="27"/>
      <c r="BK431" s="27" t="s">
        <v>76</v>
      </c>
      <c r="BL431" s="27"/>
    </row>
    <row r="432" ht="14.25" customHeight="1">
      <c r="A432" s="26" t="s">
        <v>55</v>
      </c>
      <c r="B432" s="26" t="s">
        <v>56</v>
      </c>
      <c r="C432" s="26" t="s">
        <v>57</v>
      </c>
      <c r="D432" s="26" t="s">
        <v>81</v>
      </c>
      <c r="E432" s="27" t="s">
        <v>1524</v>
      </c>
      <c r="F432" s="28" t="s">
        <v>1525</v>
      </c>
      <c r="G432" s="29" t="s">
        <v>1526</v>
      </c>
      <c r="H432" s="30">
        <v>45067.0</v>
      </c>
      <c r="I432" s="30">
        <v>45432.0</v>
      </c>
      <c r="J432" s="31">
        <v>0.0</v>
      </c>
      <c r="K432" s="26" t="s">
        <v>427</v>
      </c>
      <c r="L432" s="69">
        <v>45022.0</v>
      </c>
      <c r="M432" s="33">
        <v>15694.0</v>
      </c>
      <c r="N432" s="34">
        <v>16764.94</v>
      </c>
      <c r="O432" s="27" t="s">
        <v>76</v>
      </c>
      <c r="P432" s="35" t="s">
        <v>89</v>
      </c>
      <c r="Q432" s="35">
        <v>0.0</v>
      </c>
      <c r="R432" s="36" t="e">
        <v>#VALUE!</v>
      </c>
      <c r="S432" s="35" t="s">
        <v>86</v>
      </c>
      <c r="T432" s="35">
        <v>0.0</v>
      </c>
      <c r="U432" s="37" t="s">
        <v>67</v>
      </c>
      <c r="V432" s="38"/>
      <c r="W432" s="38"/>
      <c r="X432" s="27"/>
      <c r="Y432" s="39"/>
      <c r="Z432" s="39"/>
      <c r="AA432" s="39"/>
      <c r="AB432" s="40"/>
      <c r="AC432" s="27">
        <f t="shared" si="276"/>
        <v>0</v>
      </c>
      <c r="AD432" s="41">
        <f t="shared" ref="AD432:AD434" si="310">IF(AND(S432="0",O432="Paid"),(M432*15%)-AC432,0)</f>
        <v>2354.1</v>
      </c>
      <c r="AE432" s="42"/>
      <c r="AF432" s="27"/>
      <c r="AG432" s="43">
        <f t="shared" si="307"/>
        <v>4025.511</v>
      </c>
      <c r="AH432" s="29"/>
      <c r="AI432" s="29"/>
      <c r="AJ432" s="29"/>
      <c r="AK432" s="29"/>
      <c r="AL432" s="27"/>
      <c r="AM432" s="44"/>
      <c r="AN432" s="115"/>
      <c r="AO432" s="46"/>
      <c r="AP432" s="47"/>
      <c r="AQ432" s="43">
        <f t="shared" si="305"/>
        <v>4237.38</v>
      </c>
      <c r="AR432" s="43">
        <f t="shared" si="2"/>
        <v>211.869</v>
      </c>
      <c r="AS432" s="43">
        <f t="shared" si="3"/>
        <v>741.5415</v>
      </c>
      <c r="AT432" s="48">
        <f t="shared" si="4"/>
        <v>3283.9695</v>
      </c>
      <c r="AU432" s="49">
        <f t="shared" si="308"/>
        <v>3283.9695</v>
      </c>
      <c r="AV432" s="48"/>
      <c r="AW432" s="34">
        <f t="shared" si="309"/>
        <v>14410.84</v>
      </c>
      <c r="AX432" s="50">
        <f t="shared" si="248"/>
        <v>929.8695</v>
      </c>
      <c r="AY432" s="43"/>
      <c r="AZ432" s="43"/>
      <c r="BA432" s="48">
        <f t="shared" si="302"/>
        <v>3283.9695</v>
      </c>
      <c r="BB432" s="27"/>
      <c r="BC432" s="27"/>
      <c r="BD432" s="51"/>
      <c r="BE432" s="52"/>
      <c r="BF432" s="27" t="s">
        <v>1524</v>
      </c>
      <c r="BG432" s="58" t="s">
        <v>1527</v>
      </c>
      <c r="BH432" s="53" t="str">
        <f>'[1]2023'!Q558</f>
        <v>#REF!</v>
      </c>
      <c r="BI432" s="27"/>
      <c r="BJ432" s="27"/>
      <c r="BK432" s="27" t="s">
        <v>76</v>
      </c>
      <c r="BL432" s="27"/>
    </row>
    <row r="433" ht="14.25" customHeight="1">
      <c r="A433" s="26" t="s">
        <v>55</v>
      </c>
      <c r="B433" s="26" t="s">
        <v>56</v>
      </c>
      <c r="C433" s="26" t="s">
        <v>57</v>
      </c>
      <c r="D433" s="26" t="s">
        <v>81</v>
      </c>
      <c r="E433" s="27" t="s">
        <v>1528</v>
      </c>
      <c r="F433" s="28" t="s">
        <v>1529</v>
      </c>
      <c r="G433" s="29" t="s">
        <v>1526</v>
      </c>
      <c r="H433" s="30">
        <v>45067.0</v>
      </c>
      <c r="I433" s="30">
        <v>45432.0</v>
      </c>
      <c r="J433" s="31">
        <v>0.0</v>
      </c>
      <c r="K433" s="26" t="s">
        <v>427</v>
      </c>
      <c r="L433" s="32" t="s">
        <v>63</v>
      </c>
      <c r="M433" s="33">
        <v>16770.0</v>
      </c>
      <c r="N433" s="34">
        <v>17904.43</v>
      </c>
      <c r="O433" s="27" t="s">
        <v>64</v>
      </c>
      <c r="P433" s="35">
        <v>0.0</v>
      </c>
      <c r="Q433" s="35" t="s">
        <v>65</v>
      </c>
      <c r="R433" s="36" t="e">
        <v>#VALUE!</v>
      </c>
      <c r="S433" s="35" t="s">
        <v>86</v>
      </c>
      <c r="T433" s="35">
        <v>0.0</v>
      </c>
      <c r="U433" s="37">
        <v>0.0</v>
      </c>
      <c r="V433" s="38"/>
      <c r="W433" s="38"/>
      <c r="X433" s="27"/>
      <c r="Y433" s="39"/>
      <c r="Z433" s="39"/>
      <c r="AA433" s="39"/>
      <c r="AB433" s="40"/>
      <c r="AC433" s="27">
        <f t="shared" si="276"/>
        <v>0</v>
      </c>
      <c r="AD433" s="41">
        <f t="shared" si="310"/>
        <v>0</v>
      </c>
      <c r="AE433" s="42"/>
      <c r="AF433" s="27"/>
      <c r="AG433" s="43">
        <f t="shared" ref="AG433:AG435" si="311">IF(O433="Paid",IF(A433="Alwataniya",(M433*21%)-((M433*21%)*5%),IF((A433="GIG"),(M433*25%)-((M433*25%)*5%),IF((A433="Allianz"),(M433*27%)-((M433*27%)*20%),0))),0)</f>
        <v>0</v>
      </c>
      <c r="AH433" s="29"/>
      <c r="AI433" s="29"/>
      <c r="AJ433" s="29"/>
      <c r="AK433" s="29"/>
      <c r="AL433" s="27"/>
      <c r="AM433" s="44"/>
      <c r="AN433" s="115"/>
      <c r="AO433" s="46"/>
      <c r="AP433" s="47"/>
      <c r="AQ433" s="43" t="b">
        <f>IF(O433="Paid",IF(U433="Motor Plus",(M433*27%),IF(U433="Motor One",(M433*22%),(IF(U433="Golden",(M433*25%),(IF(U433="Classic",(M433*15%),(IF(U433="Wethaq",(M433*28%),IF(U433="Alwataniya",(M433*21%))*0)))))))))</f>
        <v>0</v>
      </c>
      <c r="AR433" s="43">
        <f t="shared" si="2"/>
        <v>0</v>
      </c>
      <c r="AS433" s="43">
        <f t="shared" si="3"/>
        <v>0</v>
      </c>
      <c r="AT433" s="48">
        <f t="shared" si="4"/>
        <v>0</v>
      </c>
      <c r="AU433" s="49">
        <f t="shared" si="308"/>
        <v>0</v>
      </c>
      <c r="AV433" s="48"/>
      <c r="AW433" s="34">
        <f t="shared" si="309"/>
        <v>17904.43</v>
      </c>
      <c r="AX433" s="50">
        <f t="shared" si="248"/>
        <v>0</v>
      </c>
      <c r="AY433" s="43"/>
      <c r="AZ433" s="43"/>
      <c r="BA433" s="48">
        <f t="shared" si="302"/>
        <v>0</v>
      </c>
      <c r="BB433" s="27"/>
      <c r="BC433" s="27"/>
      <c r="BD433" s="51"/>
      <c r="BE433" s="52"/>
      <c r="BF433" s="27" t="s">
        <v>1528</v>
      </c>
      <c r="BG433" s="53">
        <v>0.0</v>
      </c>
      <c r="BH433" s="53" t="str">
        <f>'[1]2023'!Q611</f>
        <v>#REF!</v>
      </c>
      <c r="BI433" s="27"/>
      <c r="BJ433" s="27"/>
      <c r="BK433" s="27" t="s">
        <v>64</v>
      </c>
      <c r="BL433" s="27"/>
    </row>
    <row r="434" ht="14.25" customHeight="1">
      <c r="A434" s="26" t="s">
        <v>111</v>
      </c>
      <c r="B434" s="26" t="s">
        <v>56</v>
      </c>
      <c r="C434" s="26" t="s">
        <v>57</v>
      </c>
      <c r="D434" s="26" t="s">
        <v>71</v>
      </c>
      <c r="E434" s="27" t="s">
        <v>1530</v>
      </c>
      <c r="F434" s="28" t="s">
        <v>1531</v>
      </c>
      <c r="G434" s="29" t="s">
        <v>1526</v>
      </c>
      <c r="H434" s="30">
        <v>45067.0</v>
      </c>
      <c r="I434" s="30">
        <v>45432.0</v>
      </c>
      <c r="J434" s="31" t="s">
        <v>1532</v>
      </c>
      <c r="K434" s="26" t="s">
        <v>440</v>
      </c>
      <c r="L434" s="32" t="s">
        <v>75</v>
      </c>
      <c r="M434" s="33">
        <v>16944.48</v>
      </c>
      <c r="N434" s="34">
        <v>18200.0</v>
      </c>
      <c r="O434" s="27" t="s">
        <v>76</v>
      </c>
      <c r="P434" s="35" t="s">
        <v>89</v>
      </c>
      <c r="Q434" s="35" t="s">
        <v>114</v>
      </c>
      <c r="R434" s="36" t="e">
        <v>#VALUE!</v>
      </c>
      <c r="S434" s="35" t="s">
        <v>848</v>
      </c>
      <c r="T434" s="35">
        <v>0.0</v>
      </c>
      <c r="U434" s="37" t="s">
        <v>115</v>
      </c>
      <c r="V434" s="38">
        <v>700000.0</v>
      </c>
      <c r="W434" s="38"/>
      <c r="X434" s="27"/>
      <c r="Y434" s="39"/>
      <c r="Z434" s="79" t="s">
        <v>1533</v>
      </c>
      <c r="AA434" s="39"/>
      <c r="AB434" s="40">
        <v>0.0658</v>
      </c>
      <c r="AC434" s="27">
        <f t="shared" si="276"/>
        <v>1114.946784</v>
      </c>
      <c r="AD434" s="41">
        <f t="shared" si="310"/>
        <v>0</v>
      </c>
      <c r="AE434" s="42"/>
      <c r="AF434" s="27"/>
      <c r="AG434" s="43">
        <f t="shared" si="311"/>
        <v>4024.314</v>
      </c>
      <c r="AH434" s="29">
        <v>45144.0</v>
      </c>
      <c r="AI434" s="29" t="s">
        <v>902</v>
      </c>
      <c r="AJ434" s="40"/>
      <c r="AK434" s="62" t="s">
        <v>63</v>
      </c>
      <c r="AL434" s="27"/>
      <c r="AM434" s="142">
        <f>AU434*10%</f>
        <v>216.8046216</v>
      </c>
      <c r="AN434" s="68" t="s">
        <v>75</v>
      </c>
      <c r="AO434" s="46"/>
      <c r="AP434" s="47"/>
      <c r="AQ434" s="43">
        <f>M434*25%</f>
        <v>4236.12</v>
      </c>
      <c r="AR434" s="43">
        <f t="shared" si="2"/>
        <v>211.806</v>
      </c>
      <c r="AS434" s="43">
        <f t="shared" si="3"/>
        <v>741.321</v>
      </c>
      <c r="AT434" s="48">
        <f t="shared" si="4"/>
        <v>3282.993</v>
      </c>
      <c r="AU434" s="48">
        <f t="shared" si="308"/>
        <v>2168.046216</v>
      </c>
      <c r="AV434" s="106">
        <f>BA434*10%</f>
        <v>195.1241594</v>
      </c>
      <c r="AW434" s="34">
        <f t="shared" si="309"/>
        <v>17085.05322</v>
      </c>
      <c r="AX434" s="50">
        <f t="shared" si="248"/>
        <v>2871.064219</v>
      </c>
      <c r="AY434" s="43">
        <f>AG434-(AG434*22.5%)</f>
        <v>3118.84335</v>
      </c>
      <c r="AZ434" s="43"/>
      <c r="BA434" s="48">
        <f t="shared" si="302"/>
        <v>1951.241594</v>
      </c>
      <c r="BB434" s="27"/>
      <c r="BC434" s="27"/>
      <c r="BD434" s="51">
        <v>1.0</v>
      </c>
      <c r="BE434" s="52" t="s">
        <v>440</v>
      </c>
      <c r="BF434" s="27" t="s">
        <v>1530</v>
      </c>
      <c r="BG434" s="58" t="s">
        <v>1534</v>
      </c>
      <c r="BH434" s="53" t="str">
        <f>'[1]2023'!Q666</f>
        <v>#REF!</v>
      </c>
      <c r="BI434" s="27"/>
      <c r="BJ434" s="27"/>
      <c r="BK434" s="27" t="s">
        <v>76</v>
      </c>
      <c r="BL434" s="64" t="s">
        <v>1535</v>
      </c>
    </row>
    <row r="435" ht="14.25" customHeight="1">
      <c r="A435" s="26" t="s">
        <v>111</v>
      </c>
      <c r="B435" s="26" t="s">
        <v>56</v>
      </c>
      <c r="C435" s="26" t="s">
        <v>57</v>
      </c>
      <c r="D435" s="26" t="s">
        <v>71</v>
      </c>
      <c r="E435" s="27" t="s">
        <v>1536</v>
      </c>
      <c r="F435" s="28" t="s">
        <v>1537</v>
      </c>
      <c r="G435" s="29" t="s">
        <v>1526</v>
      </c>
      <c r="H435" s="30">
        <v>45067.0</v>
      </c>
      <c r="I435" s="30">
        <v>45432.0</v>
      </c>
      <c r="J435" s="31" t="s">
        <v>1538</v>
      </c>
      <c r="K435" s="26" t="s">
        <v>427</v>
      </c>
      <c r="L435" s="32" t="s">
        <v>434</v>
      </c>
      <c r="M435" s="33">
        <v>48370.35</v>
      </c>
      <c r="N435" s="34">
        <v>51480.0</v>
      </c>
      <c r="O435" s="27" t="s">
        <v>76</v>
      </c>
      <c r="P435" s="35" t="s">
        <v>142</v>
      </c>
      <c r="Q435" s="35" t="s">
        <v>108</v>
      </c>
      <c r="R435" s="36" t="e">
        <v>#VALUE!</v>
      </c>
      <c r="S435" s="35" t="s">
        <v>86</v>
      </c>
      <c r="T435" s="35">
        <v>0.0</v>
      </c>
      <c r="U435" s="37" t="s">
        <v>115</v>
      </c>
      <c r="V435" s="38">
        <v>1980000.0</v>
      </c>
      <c r="W435" s="38"/>
      <c r="X435" s="27"/>
      <c r="Y435" s="39"/>
      <c r="Z435" s="79" t="s">
        <v>1539</v>
      </c>
      <c r="AA435" s="39"/>
      <c r="AB435" s="40"/>
      <c r="AC435" s="27">
        <f t="shared" si="276"/>
        <v>0</v>
      </c>
      <c r="AD435" s="41">
        <f>IF(AND(S435="0",O435="Paid"),M435*15%,0)</f>
        <v>7255.5525</v>
      </c>
      <c r="AE435" s="42">
        <v>900.0</v>
      </c>
      <c r="AF435" s="27" t="s">
        <v>880</v>
      </c>
      <c r="AG435" s="43">
        <f t="shared" si="311"/>
        <v>11487.95813</v>
      </c>
      <c r="AH435" s="29" t="s">
        <v>905</v>
      </c>
      <c r="AI435" s="29" t="s">
        <v>902</v>
      </c>
      <c r="AJ435" s="40"/>
      <c r="AK435" s="62" t="s">
        <v>63</v>
      </c>
      <c r="AL435" s="27"/>
      <c r="AM435" s="44"/>
      <c r="AN435" s="115"/>
      <c r="AO435" s="46"/>
      <c r="AP435" s="47"/>
      <c r="AQ435" s="43">
        <f t="shared" ref="AQ435:AQ436" si="312">IF(U435="Motor Plus",(M435*27%),IF(U435="Motor One",(M435*22%),(IF(U435="Golden",(M435*25%),(IF(U435="Classic",(M435*15%),(IF(U435="Wethaq",(M435*28%),IF(U435="Alwataniya",(M435*21%))*0))))))))</f>
        <v>12092.5875</v>
      </c>
      <c r="AR435" s="43">
        <f t="shared" si="2"/>
        <v>604.629375</v>
      </c>
      <c r="AS435" s="43">
        <f t="shared" si="3"/>
        <v>2116.202813</v>
      </c>
      <c r="AT435" s="48">
        <f t="shared" si="4"/>
        <v>9371.755313</v>
      </c>
      <c r="AU435" s="49">
        <f t="shared" si="308"/>
        <v>9371.755313</v>
      </c>
      <c r="AV435" s="48"/>
      <c r="AW435" s="34">
        <f t="shared" si="309"/>
        <v>43324.4475</v>
      </c>
      <c r="AX435" s="50">
        <f t="shared" si="248"/>
        <v>1216.202813</v>
      </c>
      <c r="AY435" s="43"/>
      <c r="AZ435" s="43"/>
      <c r="BA435" s="48">
        <f t="shared" si="302"/>
        <v>9371.755313</v>
      </c>
      <c r="BB435" s="27"/>
      <c r="BC435" s="27"/>
      <c r="BD435" s="51"/>
      <c r="BE435" s="52"/>
      <c r="BF435" s="27" t="s">
        <v>1536</v>
      </c>
      <c r="BG435" s="58" t="s">
        <v>1437</v>
      </c>
      <c r="BH435" s="53" t="str">
        <f>'[1]2023'!Q694</f>
        <v>#REF!</v>
      </c>
      <c r="BI435" s="27"/>
      <c r="BJ435" s="27"/>
      <c r="BK435" s="27" t="s">
        <v>76</v>
      </c>
      <c r="BL435" s="27"/>
    </row>
    <row r="436" ht="14.25" customHeight="1">
      <c r="A436" s="26" t="s">
        <v>55</v>
      </c>
      <c r="B436" s="26" t="s">
        <v>1099</v>
      </c>
      <c r="C436" s="26" t="s">
        <v>57</v>
      </c>
      <c r="D436" s="26" t="s">
        <v>71</v>
      </c>
      <c r="E436" s="27" t="s">
        <v>1540</v>
      </c>
      <c r="F436" s="28" t="s">
        <v>1541</v>
      </c>
      <c r="G436" s="29" t="s">
        <v>1526</v>
      </c>
      <c r="H436" s="30">
        <v>45067.0</v>
      </c>
      <c r="I436" s="30">
        <v>45432.0</v>
      </c>
      <c r="J436" s="88" t="s">
        <v>1542</v>
      </c>
      <c r="K436" s="26" t="s">
        <v>427</v>
      </c>
      <c r="L436" s="32" t="s">
        <v>75</v>
      </c>
      <c r="M436" s="33">
        <v>0.0</v>
      </c>
      <c r="N436" s="34">
        <v>32819.0</v>
      </c>
      <c r="O436" s="27" t="s">
        <v>76</v>
      </c>
      <c r="P436" s="35" t="s">
        <v>89</v>
      </c>
      <c r="Q436" s="35">
        <v>0.0</v>
      </c>
      <c r="R436" s="36" t="e">
        <v>#VALUE!</v>
      </c>
      <c r="S436" s="35" t="s">
        <v>86</v>
      </c>
      <c r="T436" s="35">
        <v>0.0</v>
      </c>
      <c r="U436" s="37" t="s">
        <v>1099</v>
      </c>
      <c r="V436" s="38"/>
      <c r="W436" s="38"/>
      <c r="X436" s="27"/>
      <c r="Y436" s="39"/>
      <c r="Z436" s="39"/>
      <c r="AA436" s="39"/>
      <c r="AB436" s="40"/>
      <c r="AC436" s="27">
        <f t="shared" si="276"/>
        <v>0</v>
      </c>
      <c r="AD436" s="41">
        <f t="shared" ref="AD436:AD438" si="313">IF(AND(S436="0",O436="Paid"),(M436*15%)-AC436,0)</f>
        <v>0</v>
      </c>
      <c r="AE436" s="42"/>
      <c r="AF436" s="27"/>
      <c r="AG436" s="43">
        <f>IF(O436="Paid",IF(A436="Alwataniya",(M436*21%)-((M436*21%)*5%),IF((A436="GIG"),(M436*25%)-((M436*25%)*5%),IF((A436="Allianz"),(M436*27%)-((M436*27%)*5%),0))),0)</f>
        <v>0</v>
      </c>
      <c r="AH436" s="29"/>
      <c r="AI436" s="29"/>
      <c r="AJ436" s="29"/>
      <c r="AK436" s="29"/>
      <c r="AL436" s="27"/>
      <c r="AM436" s="44"/>
      <c r="AN436" s="115"/>
      <c r="AO436" s="46"/>
      <c r="AP436" s="47"/>
      <c r="AQ436" s="43">
        <f t="shared" si="312"/>
        <v>0</v>
      </c>
      <c r="AR436" s="43">
        <f t="shared" si="2"/>
        <v>0</v>
      </c>
      <c r="AS436" s="43">
        <f t="shared" si="3"/>
        <v>0</v>
      </c>
      <c r="AT436" s="48">
        <f t="shared" si="4"/>
        <v>0</v>
      </c>
      <c r="AU436" s="49">
        <f t="shared" si="308"/>
        <v>0</v>
      </c>
      <c r="AV436" s="48"/>
      <c r="AW436" s="34">
        <f t="shared" si="309"/>
        <v>32819</v>
      </c>
      <c r="AX436" s="50">
        <f t="shared" si="248"/>
        <v>0</v>
      </c>
      <c r="AY436" s="43"/>
      <c r="AZ436" s="43"/>
      <c r="BA436" s="48">
        <f t="shared" si="302"/>
        <v>0</v>
      </c>
      <c r="BB436" s="27"/>
      <c r="BC436" s="27"/>
      <c r="BD436" s="51"/>
      <c r="BE436" s="52"/>
      <c r="BF436" s="27" t="s">
        <v>1540</v>
      </c>
      <c r="BG436" s="53">
        <v>0.0</v>
      </c>
      <c r="BH436" s="53" t="str">
        <f>'[1]2023'!Q696</f>
        <v>#REF!</v>
      </c>
      <c r="BI436" s="27"/>
      <c r="BJ436" s="27"/>
      <c r="BK436" s="27" t="s">
        <v>76</v>
      </c>
      <c r="BL436" s="27"/>
    </row>
    <row r="437" ht="14.25" customHeight="1">
      <c r="A437" s="26" t="s">
        <v>68</v>
      </c>
      <c r="B437" s="26" t="s">
        <v>56</v>
      </c>
      <c r="C437" s="26" t="s">
        <v>57</v>
      </c>
      <c r="D437" s="26" t="s">
        <v>71</v>
      </c>
      <c r="E437" s="27" t="s">
        <v>1543</v>
      </c>
      <c r="F437" s="28" t="s">
        <v>1544</v>
      </c>
      <c r="G437" s="29" t="s">
        <v>1526</v>
      </c>
      <c r="H437" s="30">
        <v>45067.0</v>
      </c>
      <c r="I437" s="30">
        <v>45432.0</v>
      </c>
      <c r="J437" s="31">
        <v>0.0</v>
      </c>
      <c r="K437" s="26" t="s">
        <v>427</v>
      </c>
      <c r="L437" s="32" t="s">
        <v>63</v>
      </c>
      <c r="M437" s="33">
        <v>50676.16</v>
      </c>
      <c r="N437" s="34">
        <v>54000.0</v>
      </c>
      <c r="O437" s="27" t="s">
        <v>64</v>
      </c>
      <c r="P437" s="35">
        <v>0.0</v>
      </c>
      <c r="Q437" s="35">
        <v>0.0</v>
      </c>
      <c r="R437" s="36" t="e">
        <v>#VALUE!</v>
      </c>
      <c r="S437" s="35" t="s">
        <v>78</v>
      </c>
      <c r="T437" s="54" t="s">
        <v>510</v>
      </c>
      <c r="U437" s="37">
        <v>0.0</v>
      </c>
      <c r="V437" s="38">
        <v>3000000.0</v>
      </c>
      <c r="W437" s="38"/>
      <c r="X437" s="27"/>
      <c r="Y437" s="39"/>
      <c r="Z437" s="39" t="s">
        <v>1545</v>
      </c>
      <c r="AA437" s="39"/>
      <c r="AB437" s="40"/>
      <c r="AC437" s="27">
        <f t="shared" si="276"/>
        <v>0</v>
      </c>
      <c r="AD437" s="41">
        <f t="shared" si="313"/>
        <v>0</v>
      </c>
      <c r="AE437" s="42"/>
      <c r="AF437" s="27"/>
      <c r="AG437" s="43" t="b">
        <f>IF(O437="Paid",IF(A437="Wethaq",(M437*28%)-((M437*28%)*5%)))</f>
        <v>0</v>
      </c>
      <c r="AH437" s="29"/>
      <c r="AI437" s="29"/>
      <c r="AJ437" s="29"/>
      <c r="AK437" s="29"/>
      <c r="AL437" s="27"/>
      <c r="AM437" s="44"/>
      <c r="AN437" s="95"/>
      <c r="AO437" s="48"/>
      <c r="AP437" s="43"/>
      <c r="AQ437" s="43" t="b">
        <f t="shared" ref="AQ437:AQ438" si="314">IF(O437="Paid",IF(U437="Motor Plus",(M437*27%),IF(U437="Motor One",(M437*22%),(IF(U437="Golden",(M437*25%),(IF(U437="Classic",(M437*15%),(IF(U437="Wethaq",(M437*28%),IF(U437="Alwataniya",(M437*21%))*0)))))))))</f>
        <v>0</v>
      </c>
      <c r="AR437" s="43">
        <f t="shared" si="2"/>
        <v>0</v>
      </c>
      <c r="AS437" s="43">
        <f t="shared" si="3"/>
        <v>0</v>
      </c>
      <c r="AT437" s="48">
        <f t="shared" si="4"/>
        <v>0</v>
      </c>
      <c r="AU437" s="49">
        <f t="shared" si="308"/>
        <v>0</v>
      </c>
      <c r="AV437" s="48"/>
      <c r="AW437" s="34">
        <f t="shared" si="309"/>
        <v>54000</v>
      </c>
      <c r="AX437" s="50">
        <f t="shared" si="248"/>
        <v>0</v>
      </c>
      <c r="AY437" s="43"/>
      <c r="AZ437" s="43"/>
      <c r="BA437" s="48">
        <f t="shared" si="302"/>
        <v>0</v>
      </c>
      <c r="BB437" s="27"/>
      <c r="BC437" s="27"/>
      <c r="BD437" s="51"/>
      <c r="BE437" s="52"/>
      <c r="BF437" s="27" t="s">
        <v>1543</v>
      </c>
      <c r="BG437" s="53">
        <v>0.0</v>
      </c>
      <c r="BH437" s="53" t="str">
        <f>'[1]2023'!Q698</f>
        <v>#REF!</v>
      </c>
      <c r="BI437" s="27"/>
      <c r="BJ437" s="27"/>
      <c r="BK437" s="27" t="s">
        <v>64</v>
      </c>
      <c r="BL437" s="64" t="s">
        <v>1546</v>
      </c>
    </row>
    <row r="438" ht="14.25" customHeight="1">
      <c r="A438" s="26" t="s">
        <v>111</v>
      </c>
      <c r="B438" s="26" t="s">
        <v>56</v>
      </c>
      <c r="C438" s="26" t="s">
        <v>57</v>
      </c>
      <c r="D438" s="26" t="s">
        <v>71</v>
      </c>
      <c r="E438" s="27" t="s">
        <v>1547</v>
      </c>
      <c r="F438" s="28" t="s">
        <v>1548</v>
      </c>
      <c r="G438" s="29" t="s">
        <v>1526</v>
      </c>
      <c r="H438" s="30">
        <v>45067.0</v>
      </c>
      <c r="I438" s="30">
        <v>45432.0</v>
      </c>
      <c r="J438" s="31" t="s">
        <v>1549</v>
      </c>
      <c r="K438" s="26" t="s">
        <v>427</v>
      </c>
      <c r="L438" s="32" t="s">
        <v>63</v>
      </c>
      <c r="M438" s="33">
        <v>24309.92</v>
      </c>
      <c r="N438" s="34">
        <v>26000.0</v>
      </c>
      <c r="O438" s="27" t="s">
        <v>64</v>
      </c>
      <c r="P438" s="35">
        <v>0.0</v>
      </c>
      <c r="Q438" s="35" t="s">
        <v>114</v>
      </c>
      <c r="R438" s="36" t="e">
        <v>#VALUE!</v>
      </c>
      <c r="S438" s="35" t="s">
        <v>66</v>
      </c>
      <c r="T438" s="35">
        <v>0.0</v>
      </c>
      <c r="U438" s="37" t="s">
        <v>115</v>
      </c>
      <c r="V438" s="38">
        <v>1000000.0</v>
      </c>
      <c r="W438" s="38"/>
      <c r="X438" s="27"/>
      <c r="Y438" s="39"/>
      <c r="Z438" s="79" t="s">
        <v>1550</v>
      </c>
      <c r="AA438" s="39"/>
      <c r="AB438" s="40"/>
      <c r="AC438" s="27">
        <f t="shared" si="276"/>
        <v>0</v>
      </c>
      <c r="AD438" s="41">
        <f t="shared" si="313"/>
        <v>0</v>
      </c>
      <c r="AE438" s="42"/>
      <c r="AF438" s="27"/>
      <c r="AG438" s="43">
        <f>IF(O438="Paid",IF(A438="Alwataniya",(M438*21%)-((M438*21%)*5%),IF((A438="GIG"),(M438*25%)-((M438*25%)*5%),IF((A438="Allianz"),(M438*27%)-((M438*27%)*20%),0))),0)</f>
        <v>0</v>
      </c>
      <c r="AH438" s="29"/>
      <c r="AI438" s="29"/>
      <c r="AJ438" s="29"/>
      <c r="AK438" s="29"/>
      <c r="AL438" s="27"/>
      <c r="AM438" s="44"/>
      <c r="AN438" s="45"/>
      <c r="AO438" s="46"/>
      <c r="AP438" s="47"/>
      <c r="AQ438" s="43" t="b">
        <f t="shared" si="314"/>
        <v>0</v>
      </c>
      <c r="AR438" s="43">
        <f t="shared" si="2"/>
        <v>0</v>
      </c>
      <c r="AS438" s="43">
        <f t="shared" si="3"/>
        <v>0</v>
      </c>
      <c r="AT438" s="48">
        <f t="shared" si="4"/>
        <v>0</v>
      </c>
      <c r="AU438" s="49">
        <f t="shared" si="308"/>
        <v>0</v>
      </c>
      <c r="AV438" s="48"/>
      <c r="AW438" s="34">
        <f t="shared" si="309"/>
        <v>26000</v>
      </c>
      <c r="AX438" s="50">
        <f t="shared" si="248"/>
        <v>0</v>
      </c>
      <c r="AY438" s="43"/>
      <c r="AZ438" s="43"/>
      <c r="BA438" s="48">
        <f t="shared" si="302"/>
        <v>0</v>
      </c>
      <c r="BB438" s="27"/>
      <c r="BC438" s="27"/>
      <c r="BD438" s="51"/>
      <c r="BE438" s="52"/>
      <c r="BF438" s="27" t="s">
        <v>1547</v>
      </c>
      <c r="BG438" s="58" t="s">
        <v>1551</v>
      </c>
      <c r="BH438" s="53" t="str">
        <f>'[1]2023'!Q701</f>
        <v>#REF!</v>
      </c>
      <c r="BI438" s="27"/>
      <c r="BJ438" s="27"/>
      <c r="BK438" s="27" t="s">
        <v>64</v>
      </c>
      <c r="BL438" s="27"/>
    </row>
    <row r="439" ht="14.25" customHeight="1">
      <c r="A439" s="26" t="s">
        <v>68</v>
      </c>
      <c r="B439" s="26" t="s">
        <v>56</v>
      </c>
      <c r="C439" s="26" t="s">
        <v>57</v>
      </c>
      <c r="D439" s="26" t="s">
        <v>71</v>
      </c>
      <c r="E439" s="27" t="s">
        <v>1552</v>
      </c>
      <c r="F439" s="28" t="s">
        <v>1553</v>
      </c>
      <c r="G439" s="29" t="s">
        <v>1526</v>
      </c>
      <c r="H439" s="30">
        <v>45067.0</v>
      </c>
      <c r="I439" s="30">
        <v>45432.0</v>
      </c>
      <c r="J439" s="31" t="s">
        <v>1044</v>
      </c>
      <c r="K439" s="26" t="s">
        <v>440</v>
      </c>
      <c r="L439" s="32" t="s">
        <v>75</v>
      </c>
      <c r="M439" s="33">
        <v>50676.16</v>
      </c>
      <c r="N439" s="34">
        <v>54000.0</v>
      </c>
      <c r="O439" s="27" t="s">
        <v>76</v>
      </c>
      <c r="P439" s="35" t="s">
        <v>89</v>
      </c>
      <c r="Q439" s="35">
        <v>0.0</v>
      </c>
      <c r="R439" s="36" t="e">
        <v>#VALUE!</v>
      </c>
      <c r="S439" s="35" t="s">
        <v>78</v>
      </c>
      <c r="T439" s="54" t="s">
        <v>1322</v>
      </c>
      <c r="U439" s="37" t="s">
        <v>68</v>
      </c>
      <c r="V439" s="38">
        <v>3000000.0</v>
      </c>
      <c r="W439" s="38"/>
      <c r="X439" s="27"/>
      <c r="Y439" s="39"/>
      <c r="Z439" s="39" t="s">
        <v>1545</v>
      </c>
      <c r="AA439" s="39"/>
      <c r="AB439" s="40"/>
      <c r="AC439" s="27">
        <f t="shared" si="276"/>
        <v>0</v>
      </c>
      <c r="AD439" s="41"/>
      <c r="AE439" s="42"/>
      <c r="AF439" s="27"/>
      <c r="AG439" s="43">
        <f>IF(O439="Paid",IF(A439="Wethaq",(M439*29.81%)-((M439*29.81%)*5%)))</f>
        <v>14351.23513</v>
      </c>
      <c r="AH439" s="29" t="s">
        <v>306</v>
      </c>
      <c r="AI439" s="29" t="s">
        <v>721</v>
      </c>
      <c r="AJ439" s="40">
        <v>0.2981</v>
      </c>
      <c r="AK439" s="29" t="s">
        <v>306</v>
      </c>
      <c r="AL439" s="90"/>
      <c r="AM439" s="44"/>
      <c r="AN439" s="45"/>
      <c r="AO439" s="135">
        <v>11300.0</v>
      </c>
      <c r="AP439" s="47" t="s">
        <v>901</v>
      </c>
      <c r="AQ439" s="43">
        <f t="shared" ref="AQ439:AQ441" si="315">IF(U439="Motor Plus",(M439*27%),IF(U439="Motor One",(M439*22%),(IF(U439="Golden",(M439*25%),(IF(U439="Classic",(M439*15%),(IF(U439="Wethaq",(M439*28%),IF(U439="Alwataniya",(M439*21%))*0))))))))</f>
        <v>14189.3248</v>
      </c>
      <c r="AR439" s="43">
        <f t="shared" si="2"/>
        <v>709.46624</v>
      </c>
      <c r="AS439" s="43">
        <f t="shared" si="3"/>
        <v>2483.13184</v>
      </c>
      <c r="AT439" s="48">
        <f t="shared" si="4"/>
        <v>10996.72672</v>
      </c>
      <c r="AU439" s="49">
        <f t="shared" si="308"/>
        <v>10996.72672</v>
      </c>
      <c r="AV439" s="48"/>
      <c r="AW439" s="34">
        <f t="shared" si="309"/>
        <v>54000</v>
      </c>
      <c r="AX439" s="113">
        <f t="shared" si="248"/>
        <v>568.1032912</v>
      </c>
      <c r="AY439" s="43"/>
      <c r="AZ439" s="43">
        <f>IF(AJ439&lt;31.81%,M439*(31.81%-AJ439),0)</f>
        <v>1013.5232</v>
      </c>
      <c r="BA439" s="48">
        <f t="shared" si="302"/>
        <v>-303.27328</v>
      </c>
      <c r="BB439" s="27"/>
      <c r="BC439" s="27"/>
      <c r="BD439" s="51"/>
      <c r="BE439" s="52"/>
      <c r="BF439" s="27" t="s">
        <v>1552</v>
      </c>
      <c r="BG439" s="58" t="s">
        <v>1554</v>
      </c>
      <c r="BH439" s="53" t="str">
        <f>'[1]2023'!Q851</f>
        <v>#REF!</v>
      </c>
      <c r="BI439" s="27"/>
      <c r="BJ439" s="27"/>
      <c r="BK439" s="27" t="s">
        <v>76</v>
      </c>
      <c r="BL439" s="27"/>
    </row>
    <row r="440" ht="14.25" customHeight="1">
      <c r="A440" s="26" t="s">
        <v>55</v>
      </c>
      <c r="B440" s="26" t="s">
        <v>56</v>
      </c>
      <c r="C440" s="26" t="s">
        <v>57</v>
      </c>
      <c r="D440" s="26" t="s">
        <v>58</v>
      </c>
      <c r="E440" s="27" t="s">
        <v>1555</v>
      </c>
      <c r="F440" s="28" t="s">
        <v>1556</v>
      </c>
      <c r="G440" s="29" t="s">
        <v>1526</v>
      </c>
      <c r="H440" s="30">
        <v>45067.0</v>
      </c>
      <c r="I440" s="30">
        <v>45432.0</v>
      </c>
      <c r="J440" s="31">
        <v>0.0</v>
      </c>
      <c r="K440" s="26" t="s">
        <v>427</v>
      </c>
      <c r="L440" s="32" t="s">
        <v>75</v>
      </c>
      <c r="M440" s="33">
        <v>7556.85</v>
      </c>
      <c r="N440" s="34">
        <v>8002.7</v>
      </c>
      <c r="O440" s="27" t="s">
        <v>76</v>
      </c>
      <c r="P440" s="35" t="s">
        <v>430</v>
      </c>
      <c r="Q440" s="35" t="s">
        <v>65</v>
      </c>
      <c r="R440" s="36" t="e">
        <v>#VALUE!</v>
      </c>
      <c r="S440" s="35" t="s">
        <v>86</v>
      </c>
      <c r="T440" s="35">
        <v>0.0</v>
      </c>
      <c r="U440" s="37" t="s">
        <v>67</v>
      </c>
      <c r="V440" s="38"/>
      <c r="W440" s="38"/>
      <c r="X440" s="27"/>
      <c r="Y440" s="39"/>
      <c r="Z440" s="39"/>
      <c r="AA440" s="39"/>
      <c r="AB440" s="40"/>
      <c r="AC440" s="27">
        <f t="shared" si="276"/>
        <v>0</v>
      </c>
      <c r="AD440" s="41"/>
      <c r="AE440" s="42"/>
      <c r="AF440" s="27"/>
      <c r="AG440" s="43">
        <f t="shared" ref="AG440:AG441" si="316">IF(O440="Paid",IF(A440="Alwataniya",(M440*21%)-((M440*21%)*5%),IF((A440="GIG"),(M440*25%)-((M440*25%)*5%),IF((A440="Allianz"),(M440*27%)-((M440*27%)*5%),0))),0)</f>
        <v>1938.332025</v>
      </c>
      <c r="AH440" s="29"/>
      <c r="AI440" s="29"/>
      <c r="AJ440" s="29"/>
      <c r="AK440" s="29"/>
      <c r="AL440" s="27"/>
      <c r="AM440" s="44"/>
      <c r="AN440" s="68"/>
      <c r="AO440" s="46"/>
      <c r="AP440" s="47"/>
      <c r="AQ440" s="43">
        <f t="shared" si="315"/>
        <v>2040.3495</v>
      </c>
      <c r="AR440" s="43">
        <f t="shared" si="2"/>
        <v>102.017475</v>
      </c>
      <c r="AS440" s="43">
        <f t="shared" si="3"/>
        <v>357.0611625</v>
      </c>
      <c r="AT440" s="48">
        <f t="shared" si="4"/>
        <v>1581.270863</v>
      </c>
      <c r="AU440" s="49">
        <f t="shared" si="308"/>
        <v>1581.270863</v>
      </c>
      <c r="AV440" s="48"/>
      <c r="AW440" s="34">
        <f t="shared" si="309"/>
        <v>8002.7</v>
      </c>
      <c r="AX440" s="50">
        <f t="shared" si="248"/>
        <v>1581.270863</v>
      </c>
      <c r="AY440" s="43"/>
      <c r="AZ440" s="43"/>
      <c r="BA440" s="48">
        <f t="shared" si="302"/>
        <v>1581.270863</v>
      </c>
      <c r="BB440" s="27"/>
      <c r="BC440" s="27"/>
      <c r="BD440" s="51"/>
      <c r="BE440" s="52"/>
      <c r="BF440" s="27" t="s">
        <v>1555</v>
      </c>
      <c r="BG440" s="53">
        <v>0.0</v>
      </c>
      <c r="BH440" s="53" t="str">
        <f t="shared" ref="BH440:BH441" si="317">'[1]2023'!Q890</f>
        <v>#REF!</v>
      </c>
      <c r="BI440" s="27"/>
      <c r="BJ440" s="27"/>
      <c r="BK440" s="27" t="s">
        <v>76</v>
      </c>
      <c r="BL440" s="27"/>
    </row>
    <row r="441" ht="14.25" customHeight="1">
      <c r="A441" s="26" t="s">
        <v>55</v>
      </c>
      <c r="B441" s="26" t="s">
        <v>56</v>
      </c>
      <c r="C441" s="26" t="s">
        <v>57</v>
      </c>
      <c r="D441" s="26" t="s">
        <v>58</v>
      </c>
      <c r="E441" s="27" t="s">
        <v>1557</v>
      </c>
      <c r="F441" s="28" t="s">
        <v>1558</v>
      </c>
      <c r="G441" s="29" t="s">
        <v>1526</v>
      </c>
      <c r="H441" s="30">
        <v>45067.0</v>
      </c>
      <c r="I441" s="30">
        <v>45432.0</v>
      </c>
      <c r="J441" s="31">
        <v>0.0</v>
      </c>
      <c r="K441" s="26" t="s">
        <v>427</v>
      </c>
      <c r="L441" s="32" t="s">
        <v>75</v>
      </c>
      <c r="M441" s="33">
        <v>1684.47</v>
      </c>
      <c r="N441" s="34">
        <v>1783.85</v>
      </c>
      <c r="O441" s="27" t="s">
        <v>76</v>
      </c>
      <c r="P441" s="35" t="s">
        <v>95</v>
      </c>
      <c r="Q441" s="35">
        <v>0.0</v>
      </c>
      <c r="R441" s="36" t="e">
        <v>#VALUE!</v>
      </c>
      <c r="S441" s="35" t="s">
        <v>86</v>
      </c>
      <c r="T441" s="35">
        <v>0.0</v>
      </c>
      <c r="U441" s="37" t="s">
        <v>67</v>
      </c>
      <c r="V441" s="38"/>
      <c r="W441" s="38"/>
      <c r="X441" s="27"/>
      <c r="Y441" s="39"/>
      <c r="Z441" s="39"/>
      <c r="AA441" s="39"/>
      <c r="AB441" s="40"/>
      <c r="AC441" s="27">
        <f t="shared" si="276"/>
        <v>0</v>
      </c>
      <c r="AD441" s="41">
        <f t="shared" ref="AD441:AD443" si="318">IF(AND(S441="0",O441="Paid"),(M441*15%)-AC441,0)</f>
        <v>252.6705</v>
      </c>
      <c r="AE441" s="42"/>
      <c r="AF441" s="27"/>
      <c r="AG441" s="43">
        <f t="shared" si="316"/>
        <v>432.066555</v>
      </c>
      <c r="AH441" s="29"/>
      <c r="AI441" s="29"/>
      <c r="AJ441" s="29"/>
      <c r="AK441" s="29"/>
      <c r="AL441" s="27"/>
      <c r="AM441" s="44"/>
      <c r="AN441" s="68"/>
      <c r="AO441" s="46"/>
      <c r="AP441" s="47"/>
      <c r="AQ441" s="43">
        <f t="shared" si="315"/>
        <v>454.8069</v>
      </c>
      <c r="AR441" s="43">
        <f t="shared" si="2"/>
        <v>22.740345</v>
      </c>
      <c r="AS441" s="43">
        <f t="shared" si="3"/>
        <v>79.5912075</v>
      </c>
      <c r="AT441" s="48">
        <f t="shared" si="4"/>
        <v>352.4753475</v>
      </c>
      <c r="AU441" s="49">
        <f t="shared" si="308"/>
        <v>352.4753475</v>
      </c>
      <c r="AV441" s="48"/>
      <c r="AW441" s="34">
        <f t="shared" si="309"/>
        <v>1531.1795</v>
      </c>
      <c r="AX441" s="50">
        <f t="shared" si="248"/>
        <v>99.8048475</v>
      </c>
      <c r="AY441" s="43"/>
      <c r="AZ441" s="43"/>
      <c r="BA441" s="48">
        <f t="shared" si="302"/>
        <v>352.4753475</v>
      </c>
      <c r="BB441" s="27"/>
      <c r="BC441" s="27"/>
      <c r="BD441" s="51"/>
      <c r="BE441" s="52"/>
      <c r="BF441" s="27" t="s">
        <v>1557</v>
      </c>
      <c r="BG441" s="53">
        <v>0.0</v>
      </c>
      <c r="BH441" s="53" t="str">
        <f t="shared" si="317"/>
        <v>#REF!</v>
      </c>
      <c r="BI441" s="27"/>
      <c r="BJ441" s="27"/>
      <c r="BK441" s="27" t="s">
        <v>76</v>
      </c>
      <c r="BL441" s="27"/>
    </row>
    <row r="442" ht="14.25" customHeight="1">
      <c r="A442" s="26" t="s">
        <v>68</v>
      </c>
      <c r="B442" s="26" t="s">
        <v>56</v>
      </c>
      <c r="C442" s="26" t="s">
        <v>57</v>
      </c>
      <c r="D442" s="26" t="s">
        <v>58</v>
      </c>
      <c r="E442" s="27" t="s">
        <v>1559</v>
      </c>
      <c r="F442" s="28" t="s">
        <v>1560</v>
      </c>
      <c r="G442" s="29" t="s">
        <v>1526</v>
      </c>
      <c r="H442" s="30">
        <v>45067.0</v>
      </c>
      <c r="I442" s="30">
        <v>45432.0</v>
      </c>
      <c r="J442" s="31">
        <v>0.0</v>
      </c>
      <c r="K442" s="26" t="s">
        <v>63</v>
      </c>
      <c r="L442" s="32" t="s">
        <v>63</v>
      </c>
      <c r="M442" s="33">
        <v>0.0</v>
      </c>
      <c r="N442" s="34">
        <v>980.0</v>
      </c>
      <c r="O442" s="27" t="s">
        <v>64</v>
      </c>
      <c r="P442" s="35">
        <v>0.0</v>
      </c>
      <c r="Q442" s="35">
        <v>0.0</v>
      </c>
      <c r="R442" s="36" t="e">
        <v>#VALUE!</v>
      </c>
      <c r="S442" s="35" t="s">
        <v>86</v>
      </c>
      <c r="T442" s="35">
        <v>0.0</v>
      </c>
      <c r="U442" s="37" t="s">
        <v>68</v>
      </c>
      <c r="V442" s="38"/>
      <c r="W442" s="38"/>
      <c r="X442" s="27"/>
      <c r="Y442" s="39"/>
      <c r="Z442" s="39"/>
      <c r="AA442" s="39"/>
      <c r="AB442" s="40"/>
      <c r="AC442" s="27">
        <f t="shared" si="276"/>
        <v>0</v>
      </c>
      <c r="AD442" s="41">
        <f t="shared" si="318"/>
        <v>0</v>
      </c>
      <c r="AE442" s="42"/>
      <c r="AF442" s="27"/>
      <c r="AG442" s="43">
        <f>IF(O442="Paid",IF(A442="Alwataniya",(M442*21%)-((M442*21%)*5%),IF((A442="GIG"),(M442*25%)-((M442*25%)*5%),IF((A442="Allianz"),(M442*27%)-((M442*27%)*20%),0))),0)</f>
        <v>0</v>
      </c>
      <c r="AH442" s="29"/>
      <c r="AI442" s="29"/>
      <c r="AJ442" s="29"/>
      <c r="AK442" s="29"/>
      <c r="AL442" s="27"/>
      <c r="AM442" s="44"/>
      <c r="AN442" s="68"/>
      <c r="AO442" s="46"/>
      <c r="AP442" s="47"/>
      <c r="AQ442" s="43" t="b">
        <f t="shared" ref="AQ442:AQ443" si="319">IF(O442="Paid",IF(U442="Motor Plus",(M442*27%),IF(U442="Motor One",(M442*22%),(IF(U442="Golden",(M442*25%),(IF(U442="Classic",(M442*15%),(IF(U442="Wethaq",(M442*28%),IF(U442="Alwataniya",(M442*21%))*0)))))))))</f>
        <v>0</v>
      </c>
      <c r="AR442" s="43">
        <f t="shared" si="2"/>
        <v>0</v>
      </c>
      <c r="AS442" s="43">
        <f t="shared" si="3"/>
        <v>0</v>
      </c>
      <c r="AT442" s="48">
        <f t="shared" si="4"/>
        <v>0</v>
      </c>
      <c r="AU442" s="49">
        <f t="shared" ref="AU442:AU444" si="320">AQ442-AR442-AS442-AC442-AO442</f>
        <v>0</v>
      </c>
      <c r="AV442" s="48"/>
      <c r="AW442" s="34">
        <f t="shared" si="309"/>
        <v>980</v>
      </c>
      <c r="AX442" s="50">
        <f t="shared" si="248"/>
        <v>0</v>
      </c>
      <c r="AY442" s="43"/>
      <c r="AZ442" s="47"/>
      <c r="BA442" s="48">
        <f t="shared" si="302"/>
        <v>0</v>
      </c>
      <c r="BB442" s="27"/>
      <c r="BC442" s="27"/>
      <c r="BD442" s="51"/>
      <c r="BE442" s="52"/>
      <c r="BF442" s="27" t="s">
        <v>1559</v>
      </c>
      <c r="BG442" s="53">
        <v>0.0</v>
      </c>
      <c r="BH442" s="53" t="str">
        <f>'[1]2023'!Q1014</f>
        <v>#REF!</v>
      </c>
      <c r="BI442" s="27"/>
      <c r="BJ442" s="27"/>
      <c r="BK442" s="27" t="s">
        <v>64</v>
      </c>
      <c r="BL442" s="27"/>
    </row>
    <row r="443" ht="14.25" customHeight="1">
      <c r="A443" s="26" t="s">
        <v>55</v>
      </c>
      <c r="B443" s="26" t="s">
        <v>56</v>
      </c>
      <c r="C443" s="26" t="s">
        <v>57</v>
      </c>
      <c r="D443" s="26" t="s">
        <v>58</v>
      </c>
      <c r="E443" s="27" t="s">
        <v>1561</v>
      </c>
      <c r="F443" s="28" t="s">
        <v>1562</v>
      </c>
      <c r="G443" s="29">
        <v>45067.0</v>
      </c>
      <c r="H443" s="30">
        <v>45067.0</v>
      </c>
      <c r="I443" s="30">
        <v>45432.0</v>
      </c>
      <c r="J443" s="31">
        <v>0.0</v>
      </c>
      <c r="K443" s="26" t="s">
        <v>64</v>
      </c>
      <c r="L443" s="32" t="s">
        <v>63</v>
      </c>
      <c r="M443" s="33">
        <v>0.0</v>
      </c>
      <c r="N443" s="34">
        <v>0.0</v>
      </c>
      <c r="O443" s="27" t="s">
        <v>64</v>
      </c>
      <c r="P443" s="35">
        <v>0.0</v>
      </c>
      <c r="Q443" s="35">
        <v>0.0</v>
      </c>
      <c r="R443" s="36">
        <v>45067.0</v>
      </c>
      <c r="S443" s="35" t="s">
        <v>86</v>
      </c>
      <c r="T443" s="35">
        <v>0.0</v>
      </c>
      <c r="U443" s="37">
        <v>0.0</v>
      </c>
      <c r="V443" s="38"/>
      <c r="W443" s="38"/>
      <c r="X443" s="27"/>
      <c r="Y443" s="39"/>
      <c r="Z443" s="39"/>
      <c r="AA443" s="39"/>
      <c r="AB443" s="27"/>
      <c r="AC443" s="27">
        <f t="shared" si="276"/>
        <v>0</v>
      </c>
      <c r="AD443" s="41">
        <f t="shared" si="318"/>
        <v>0</v>
      </c>
      <c r="AE443" s="42"/>
      <c r="AF443" s="27"/>
      <c r="AG443" s="43">
        <f>IF(O443="Paid",IF(A443="Alwataniya",(M443*21%)-((M443*21%)*5%),IF((A443="GIG"),(M443*25%)-((M443*25%)*5%),IF((A443="Allianz"),(M443*27%)-((M443*27%)*5%),0))),0)</f>
        <v>0</v>
      </c>
      <c r="AH443" s="29"/>
      <c r="AI443" s="29"/>
      <c r="AJ443" s="29"/>
      <c r="AK443" s="29"/>
      <c r="AL443" s="27"/>
      <c r="AM443" s="44"/>
      <c r="AN443" s="68"/>
      <c r="AO443" s="46"/>
      <c r="AP443" s="47"/>
      <c r="AQ443" s="43" t="b">
        <f t="shared" si="319"/>
        <v>0</v>
      </c>
      <c r="AR443" s="43">
        <f t="shared" si="2"/>
        <v>0</v>
      </c>
      <c r="AS443" s="43">
        <f t="shared" si="3"/>
        <v>0</v>
      </c>
      <c r="AT443" s="48">
        <f t="shared" si="4"/>
        <v>0</v>
      </c>
      <c r="AU443" s="49">
        <f t="shared" si="320"/>
        <v>0</v>
      </c>
      <c r="AV443" s="48"/>
      <c r="AW443" s="34">
        <f t="shared" si="309"/>
        <v>0</v>
      </c>
      <c r="AX443" s="50">
        <f t="shared" si="248"/>
        <v>0</v>
      </c>
      <c r="AY443" s="43"/>
      <c r="AZ443" s="47"/>
      <c r="BA443" s="48">
        <f t="shared" si="302"/>
        <v>0</v>
      </c>
      <c r="BB443" s="27"/>
      <c r="BC443" s="27"/>
      <c r="BD443" s="51"/>
      <c r="BE443" s="52"/>
      <c r="BF443" s="27" t="s">
        <v>1561</v>
      </c>
      <c r="BG443" s="53">
        <v>0.0</v>
      </c>
      <c r="BH443" s="53" t="str">
        <f>'[1]2023'!Q1141</f>
        <v>#REF!</v>
      </c>
      <c r="BI443" s="27"/>
      <c r="BJ443" s="27"/>
      <c r="BK443" s="27" t="s">
        <v>64</v>
      </c>
      <c r="BL443" s="27"/>
    </row>
    <row r="444" ht="14.25" customHeight="1">
      <c r="A444" s="26" t="s">
        <v>68</v>
      </c>
      <c r="B444" s="26" t="s">
        <v>56</v>
      </c>
      <c r="C444" s="26" t="s">
        <v>57</v>
      </c>
      <c r="D444" s="26" t="s">
        <v>58</v>
      </c>
      <c r="E444" s="27" t="s">
        <v>1563</v>
      </c>
      <c r="F444" s="28" t="s">
        <v>1564</v>
      </c>
      <c r="G444" s="29">
        <v>45067.0</v>
      </c>
      <c r="H444" s="30">
        <v>45067.0</v>
      </c>
      <c r="I444" s="30">
        <v>45432.0</v>
      </c>
      <c r="J444" s="31">
        <v>0.0</v>
      </c>
      <c r="K444" s="26" t="s">
        <v>427</v>
      </c>
      <c r="L444" s="32" t="s">
        <v>487</v>
      </c>
      <c r="M444" s="33">
        <v>904.66</v>
      </c>
      <c r="N444" s="34">
        <v>980.0</v>
      </c>
      <c r="O444" s="27" t="s">
        <v>76</v>
      </c>
      <c r="P444" s="35" t="s">
        <v>162</v>
      </c>
      <c r="Q444" s="35">
        <v>0.0</v>
      </c>
      <c r="R444" s="36">
        <v>45086.0</v>
      </c>
      <c r="S444" s="35" t="s">
        <v>78</v>
      </c>
      <c r="T444" s="54" t="s">
        <v>1322</v>
      </c>
      <c r="U444" s="37" t="s">
        <v>68</v>
      </c>
      <c r="V444" s="38"/>
      <c r="W444" s="38"/>
      <c r="X444" s="27"/>
      <c r="Y444" s="39"/>
      <c r="Z444" s="39"/>
      <c r="AA444" s="39"/>
      <c r="AB444" s="27"/>
      <c r="AC444" s="27">
        <f t="shared" si="276"/>
        <v>0</v>
      </c>
      <c r="AD444" s="41"/>
      <c r="AE444" s="42"/>
      <c r="AF444" s="27"/>
      <c r="AG444" s="43">
        <f>M444*23%-((M444*23%))*5%</f>
        <v>197.66821</v>
      </c>
      <c r="AH444" s="29"/>
      <c r="AI444" s="29" t="s">
        <v>1324</v>
      </c>
      <c r="AJ444" s="97">
        <v>0.23</v>
      </c>
      <c r="AK444" s="29" t="s">
        <v>1325</v>
      </c>
      <c r="AL444" s="27"/>
      <c r="AM444" s="44"/>
      <c r="AN444" s="68"/>
      <c r="AO444" s="135">
        <f>N444*15%</f>
        <v>147</v>
      </c>
      <c r="AP444" s="47"/>
      <c r="AQ444" s="43">
        <f>M444*AJ444</f>
        <v>208.0718</v>
      </c>
      <c r="AR444" s="43">
        <f t="shared" si="2"/>
        <v>10.40359</v>
      </c>
      <c r="AS444" s="43">
        <f t="shared" si="3"/>
        <v>36.412565</v>
      </c>
      <c r="AT444" s="48">
        <f t="shared" si="4"/>
        <v>161.255645</v>
      </c>
      <c r="AU444" s="49">
        <f t="shared" si="320"/>
        <v>14.255645</v>
      </c>
      <c r="AV444" s="48"/>
      <c r="AW444" s="34">
        <f t="shared" si="309"/>
        <v>980</v>
      </c>
      <c r="AX444" s="113">
        <f t="shared" si="248"/>
        <v>14.255645</v>
      </c>
      <c r="AY444" s="43"/>
      <c r="AZ444" s="47"/>
      <c r="BA444" s="48">
        <f t="shared" si="302"/>
        <v>-132.744355</v>
      </c>
      <c r="BB444" s="27"/>
      <c r="BC444" s="27"/>
      <c r="BD444" s="51"/>
      <c r="BE444" s="52"/>
      <c r="BF444" s="27"/>
      <c r="BG444" s="53">
        <v>0.0</v>
      </c>
      <c r="BH444" s="53" t="str">
        <f>'[1]2023'!Q1243</f>
        <v>#REF!</v>
      </c>
      <c r="BI444" s="27"/>
      <c r="BJ444" s="27"/>
      <c r="BK444" s="27" t="s">
        <v>76</v>
      </c>
      <c r="BL444" s="27"/>
    </row>
    <row r="445" ht="14.25" customHeight="1">
      <c r="A445" s="26" t="s">
        <v>55</v>
      </c>
      <c r="B445" s="26" t="s">
        <v>56</v>
      </c>
      <c r="C445" s="26" t="s">
        <v>57</v>
      </c>
      <c r="D445" s="26" t="s">
        <v>81</v>
      </c>
      <c r="E445" s="27" t="s">
        <v>1565</v>
      </c>
      <c r="F445" s="28" t="s">
        <v>1566</v>
      </c>
      <c r="G445" s="29" t="s">
        <v>1567</v>
      </c>
      <c r="H445" s="30">
        <v>45068.0</v>
      </c>
      <c r="I445" s="30">
        <v>45433.0</v>
      </c>
      <c r="J445" s="31">
        <v>0.0</v>
      </c>
      <c r="K445" s="26" t="s">
        <v>427</v>
      </c>
      <c r="L445" s="69">
        <v>45084.0</v>
      </c>
      <c r="M445" s="33">
        <v>44840.0</v>
      </c>
      <c r="N445" s="34">
        <v>47626.56</v>
      </c>
      <c r="O445" s="27" t="s">
        <v>76</v>
      </c>
      <c r="P445" s="35" t="s">
        <v>162</v>
      </c>
      <c r="Q445" s="35" t="s">
        <v>108</v>
      </c>
      <c r="R445" s="36" t="e">
        <v>#VALUE!</v>
      </c>
      <c r="S445" s="35" t="s">
        <v>86</v>
      </c>
      <c r="T445" s="35">
        <v>0.0</v>
      </c>
      <c r="U445" s="37" t="s">
        <v>67</v>
      </c>
      <c r="V445" s="38"/>
      <c r="W445" s="38"/>
      <c r="X445" s="27"/>
      <c r="Y445" s="39"/>
      <c r="Z445" s="39"/>
      <c r="AA445" s="39"/>
      <c r="AB445" s="40">
        <v>0.1</v>
      </c>
      <c r="AC445" s="27">
        <v>4485.0</v>
      </c>
      <c r="AD445" s="41">
        <f>IF(AND(S445="0",O445="Paid"),(M445*15%)-AC445,0)</f>
        <v>2241</v>
      </c>
      <c r="AE445" s="42"/>
      <c r="AF445" s="29">
        <v>45144.0</v>
      </c>
      <c r="AG445" s="43">
        <f t="shared" ref="AG445:AG448" si="321">IF(O445="Paid",IF(A445="Alwataniya",(M445*21%)-((M445*21%)*5%),IF((A445="GIG"),(M445*25%)-((M445*25%)*5%),IF((A445="Allianz"),(M445*27%)-((M445*27%)*5%),0))),0)</f>
        <v>11501.46</v>
      </c>
      <c r="AH445" s="29"/>
      <c r="AI445" s="29"/>
      <c r="AJ445" s="29"/>
      <c r="AK445" s="29"/>
      <c r="AL445" s="34"/>
      <c r="AM445" s="44"/>
      <c r="AN445" s="115"/>
      <c r="AO445" s="46"/>
      <c r="AP445" s="47"/>
      <c r="AQ445" s="43">
        <f t="shared" ref="AQ445:AQ448" si="322">IF(U445="Motor Plus",(M445*27%),IF(U445="Motor One",(M445*22%),(IF(U445="Golden",(M445*25%),(IF(U445="Classic",(M445*15%),(IF(U445="Wethaq",(M445*28%),IF(U445="Alwataniya",(M445*21%))*0))))))))</f>
        <v>12106.8</v>
      </c>
      <c r="AR445" s="43">
        <f t="shared" si="2"/>
        <v>605.34</v>
      </c>
      <c r="AS445" s="43">
        <f t="shared" si="3"/>
        <v>2118.69</v>
      </c>
      <c r="AT445" s="48">
        <f t="shared" si="4"/>
        <v>9382.77</v>
      </c>
      <c r="AU445" s="49">
        <f t="shared" ref="AU445:AU457" si="323">AQ445-AR445-AS445-AC445</f>
        <v>4897.77</v>
      </c>
      <c r="AV445" s="48"/>
      <c r="AW445" s="34">
        <f>M445-AC445</f>
        <v>40355</v>
      </c>
      <c r="AX445" s="50">
        <f t="shared" si="248"/>
        <v>7141.77</v>
      </c>
      <c r="AY445" s="43"/>
      <c r="AZ445" s="43"/>
      <c r="BA445" s="48">
        <f t="shared" si="302"/>
        <v>4897.77</v>
      </c>
      <c r="BB445" s="27"/>
      <c r="BC445" s="27"/>
      <c r="BD445" s="51"/>
      <c r="BE445" s="52"/>
      <c r="BF445" s="27" t="s">
        <v>1565</v>
      </c>
      <c r="BG445" s="53">
        <v>0.0</v>
      </c>
      <c r="BH445" s="53" t="str">
        <f>'[1]2023'!Q576</f>
        <v>#REF!</v>
      </c>
      <c r="BI445" s="27"/>
      <c r="BJ445" s="27"/>
      <c r="BK445" s="27" t="s">
        <v>76</v>
      </c>
      <c r="BL445" s="27"/>
    </row>
    <row r="446" ht="14.25" customHeight="1">
      <c r="A446" s="26" t="s">
        <v>55</v>
      </c>
      <c r="B446" s="26" t="s">
        <v>56</v>
      </c>
      <c r="C446" s="26" t="s">
        <v>57</v>
      </c>
      <c r="D446" s="26" t="s">
        <v>58</v>
      </c>
      <c r="E446" s="27" t="s">
        <v>1568</v>
      </c>
      <c r="F446" s="28" t="s">
        <v>1569</v>
      </c>
      <c r="G446" s="29" t="s">
        <v>1567</v>
      </c>
      <c r="H446" s="30">
        <v>45068.0</v>
      </c>
      <c r="I446" s="30">
        <v>45433.0</v>
      </c>
      <c r="J446" s="31" t="s">
        <v>1570</v>
      </c>
      <c r="K446" s="26" t="s">
        <v>427</v>
      </c>
      <c r="L446" s="32" t="s">
        <v>75</v>
      </c>
      <c r="M446" s="33">
        <v>2818.46</v>
      </c>
      <c r="N446" s="34">
        <v>2984.75</v>
      </c>
      <c r="O446" s="27" t="s">
        <v>76</v>
      </c>
      <c r="P446" s="35" t="s">
        <v>89</v>
      </c>
      <c r="Q446" s="35" t="s">
        <v>65</v>
      </c>
      <c r="R446" s="36" t="e">
        <v>#VALUE!</v>
      </c>
      <c r="S446" s="35" t="s">
        <v>86</v>
      </c>
      <c r="T446" s="35">
        <v>0.0</v>
      </c>
      <c r="U446" s="37" t="s">
        <v>157</v>
      </c>
      <c r="V446" s="38"/>
      <c r="W446" s="38"/>
      <c r="X446" s="27"/>
      <c r="Y446" s="39"/>
      <c r="Z446" s="39"/>
      <c r="AA446" s="39"/>
      <c r="AB446" s="40"/>
      <c r="AC446" s="27">
        <f t="shared" ref="AC446:AC533" si="324">M446*AB446</f>
        <v>0</v>
      </c>
      <c r="AD446" s="41"/>
      <c r="AE446" s="42"/>
      <c r="AF446" s="27"/>
      <c r="AG446" s="43">
        <f t="shared" si="321"/>
        <v>722.93499</v>
      </c>
      <c r="AH446" s="29"/>
      <c r="AI446" s="29"/>
      <c r="AJ446" s="29"/>
      <c r="AK446" s="29"/>
      <c r="AL446" s="27"/>
      <c r="AM446" s="44"/>
      <c r="AN446" s="115"/>
      <c r="AO446" s="46"/>
      <c r="AP446" s="47"/>
      <c r="AQ446" s="43">
        <f t="shared" si="322"/>
        <v>620.0612</v>
      </c>
      <c r="AR446" s="43">
        <f t="shared" si="2"/>
        <v>31.00306</v>
      </c>
      <c r="AS446" s="43">
        <f t="shared" si="3"/>
        <v>108.51071</v>
      </c>
      <c r="AT446" s="48">
        <f t="shared" si="4"/>
        <v>480.54743</v>
      </c>
      <c r="AU446" s="49">
        <f t="shared" si="323"/>
        <v>480.54743</v>
      </c>
      <c r="AV446" s="48"/>
      <c r="AW446" s="34">
        <f t="shared" ref="AW446:AW462" si="325">N446-AD446-AE446-AC446</f>
        <v>2984.75</v>
      </c>
      <c r="AX446" s="50">
        <f t="shared" si="248"/>
        <v>614.42428</v>
      </c>
      <c r="AY446" s="43"/>
      <c r="AZ446" s="43"/>
      <c r="BA446" s="48">
        <f t="shared" si="302"/>
        <v>480.54743</v>
      </c>
      <c r="BB446" s="27"/>
      <c r="BC446" s="27"/>
      <c r="BD446" s="51"/>
      <c r="BE446" s="52"/>
      <c r="BF446" s="27" t="s">
        <v>1568</v>
      </c>
      <c r="BG446" s="58" t="s">
        <v>1571</v>
      </c>
      <c r="BH446" s="53" t="str">
        <f>'[1]2023'!Q672</f>
        <v>#REF!</v>
      </c>
      <c r="BI446" s="27"/>
      <c r="BJ446" s="27"/>
      <c r="BK446" s="27" t="s">
        <v>76</v>
      </c>
      <c r="BL446" s="27"/>
    </row>
    <row r="447" ht="14.25" customHeight="1">
      <c r="A447" s="26" t="s">
        <v>55</v>
      </c>
      <c r="B447" s="26" t="s">
        <v>56</v>
      </c>
      <c r="C447" s="26" t="s">
        <v>57</v>
      </c>
      <c r="D447" s="26" t="s">
        <v>58</v>
      </c>
      <c r="E447" s="27" t="s">
        <v>1572</v>
      </c>
      <c r="F447" s="28" t="s">
        <v>1573</v>
      </c>
      <c r="G447" s="29" t="s">
        <v>1567</v>
      </c>
      <c r="H447" s="30">
        <v>45068.0</v>
      </c>
      <c r="I447" s="30">
        <v>45433.0</v>
      </c>
      <c r="J447" s="31" t="s">
        <v>1574</v>
      </c>
      <c r="K447" s="26" t="s">
        <v>427</v>
      </c>
      <c r="L447" s="32" t="s">
        <v>75</v>
      </c>
      <c r="M447" s="33">
        <v>4215.99</v>
      </c>
      <c r="N447" s="34">
        <v>4464.74</v>
      </c>
      <c r="O447" s="27" t="s">
        <v>76</v>
      </c>
      <c r="P447" s="35" t="s">
        <v>122</v>
      </c>
      <c r="Q447" s="35" t="s">
        <v>90</v>
      </c>
      <c r="R447" s="36" t="e">
        <v>#VALUE!</v>
      </c>
      <c r="S447" s="35" t="s">
        <v>86</v>
      </c>
      <c r="T447" s="35">
        <v>0.0</v>
      </c>
      <c r="U447" s="37" t="s">
        <v>67</v>
      </c>
      <c r="V447" s="38"/>
      <c r="W447" s="38"/>
      <c r="X447" s="27"/>
      <c r="Y447" s="39"/>
      <c r="Z447" s="39"/>
      <c r="AA447" s="39"/>
      <c r="AB447" s="40"/>
      <c r="AC447" s="27">
        <f t="shared" si="324"/>
        <v>0</v>
      </c>
      <c r="AD447" s="41">
        <f>IF(AND(S447="0",O447="Paid"),M447*15%,0)</f>
        <v>632.3985</v>
      </c>
      <c r="AE447" s="42"/>
      <c r="AF447" s="27"/>
      <c r="AG447" s="43">
        <f t="shared" si="321"/>
        <v>1081.401435</v>
      </c>
      <c r="AH447" s="29"/>
      <c r="AI447" s="29"/>
      <c r="AJ447" s="29"/>
      <c r="AK447" s="29"/>
      <c r="AL447" s="27"/>
      <c r="AM447" s="44"/>
      <c r="AN447" s="115"/>
      <c r="AO447" s="46"/>
      <c r="AP447" s="47"/>
      <c r="AQ447" s="43">
        <f t="shared" si="322"/>
        <v>1138.3173</v>
      </c>
      <c r="AR447" s="43">
        <f t="shared" si="2"/>
        <v>56.915865</v>
      </c>
      <c r="AS447" s="43">
        <f t="shared" si="3"/>
        <v>199.2055275</v>
      </c>
      <c r="AT447" s="48">
        <f t="shared" si="4"/>
        <v>882.1959075</v>
      </c>
      <c r="AU447" s="49">
        <f t="shared" si="323"/>
        <v>882.1959075</v>
      </c>
      <c r="AV447" s="48"/>
      <c r="AW447" s="34">
        <f t="shared" si="325"/>
        <v>3832.3415</v>
      </c>
      <c r="AX447" s="50">
        <f t="shared" si="248"/>
        <v>249.7974075</v>
      </c>
      <c r="AY447" s="43"/>
      <c r="AZ447" s="43"/>
      <c r="BA447" s="48">
        <f t="shared" si="302"/>
        <v>882.1959075</v>
      </c>
      <c r="BB447" s="27"/>
      <c r="BC447" s="27"/>
      <c r="BD447" s="51"/>
      <c r="BE447" s="52"/>
      <c r="BF447" s="27" t="s">
        <v>1572</v>
      </c>
      <c r="BG447" s="58" t="s">
        <v>1575</v>
      </c>
      <c r="BH447" s="53" t="str">
        <f>'[1]2023'!Q674</f>
        <v>#REF!</v>
      </c>
      <c r="BI447" s="27"/>
      <c r="BJ447" s="27"/>
      <c r="BK447" s="27" t="s">
        <v>76</v>
      </c>
      <c r="BL447" s="27"/>
    </row>
    <row r="448" ht="14.25" customHeight="1">
      <c r="A448" s="26" t="s">
        <v>55</v>
      </c>
      <c r="B448" s="26" t="s">
        <v>1099</v>
      </c>
      <c r="C448" s="26" t="s">
        <v>57</v>
      </c>
      <c r="D448" s="26" t="s">
        <v>81</v>
      </c>
      <c r="E448" s="27" t="s">
        <v>1576</v>
      </c>
      <c r="F448" s="28" t="s">
        <v>1577</v>
      </c>
      <c r="G448" s="29" t="s">
        <v>1567</v>
      </c>
      <c r="H448" s="30">
        <v>45068.0</v>
      </c>
      <c r="I448" s="30">
        <v>45433.0</v>
      </c>
      <c r="J448" s="88" t="s">
        <v>1578</v>
      </c>
      <c r="K448" s="26" t="s">
        <v>427</v>
      </c>
      <c r="L448" s="32" t="s">
        <v>75</v>
      </c>
      <c r="M448" s="33">
        <v>0.0</v>
      </c>
      <c r="N448" s="34">
        <v>19717.0</v>
      </c>
      <c r="O448" s="27" t="s">
        <v>76</v>
      </c>
      <c r="P448" s="35" t="s">
        <v>89</v>
      </c>
      <c r="Q448" s="35">
        <v>0.0</v>
      </c>
      <c r="R448" s="36" t="e">
        <v>#VALUE!</v>
      </c>
      <c r="S448" s="35" t="s">
        <v>86</v>
      </c>
      <c r="T448" s="35">
        <v>0.0</v>
      </c>
      <c r="U448" s="37" t="s">
        <v>1099</v>
      </c>
      <c r="V448" s="38"/>
      <c r="W448" s="38"/>
      <c r="X448" s="27"/>
      <c r="Y448" s="39"/>
      <c r="Z448" s="39"/>
      <c r="AA448" s="39"/>
      <c r="AB448" s="40"/>
      <c r="AC448" s="27">
        <f t="shared" si="324"/>
        <v>0</v>
      </c>
      <c r="AD448" s="41">
        <f t="shared" ref="AD448:AD451" si="326">IF(AND(S448="0",O448="Paid"),(M448*15%)-AC448,0)</f>
        <v>0</v>
      </c>
      <c r="AE448" s="42"/>
      <c r="AF448" s="27"/>
      <c r="AG448" s="43">
        <f t="shared" si="321"/>
        <v>0</v>
      </c>
      <c r="AH448" s="29"/>
      <c r="AI448" s="29"/>
      <c r="AJ448" s="29"/>
      <c r="AK448" s="29"/>
      <c r="AL448" s="27"/>
      <c r="AM448" s="44"/>
      <c r="AN448" s="115"/>
      <c r="AO448" s="46"/>
      <c r="AP448" s="47"/>
      <c r="AQ448" s="43">
        <f t="shared" si="322"/>
        <v>0</v>
      </c>
      <c r="AR448" s="43">
        <f t="shared" si="2"/>
        <v>0</v>
      </c>
      <c r="AS448" s="43">
        <f t="shared" si="3"/>
        <v>0</v>
      </c>
      <c r="AT448" s="48">
        <f t="shared" si="4"/>
        <v>0</v>
      </c>
      <c r="AU448" s="49">
        <f t="shared" si="323"/>
        <v>0</v>
      </c>
      <c r="AV448" s="48"/>
      <c r="AW448" s="34">
        <f t="shared" si="325"/>
        <v>19717</v>
      </c>
      <c r="AX448" s="50">
        <f t="shared" si="248"/>
        <v>0</v>
      </c>
      <c r="AY448" s="43"/>
      <c r="AZ448" s="43"/>
      <c r="BA448" s="48">
        <f t="shared" si="302"/>
        <v>0</v>
      </c>
      <c r="BB448" s="27"/>
      <c r="BC448" s="27"/>
      <c r="BD448" s="51"/>
      <c r="BE448" s="52"/>
      <c r="BF448" s="27" t="s">
        <v>1576</v>
      </c>
      <c r="BG448" s="53">
        <v>0.0</v>
      </c>
      <c r="BH448" s="53" t="str">
        <f>'[1]2023'!Q695</f>
        <v>#REF!</v>
      </c>
      <c r="BI448" s="27"/>
      <c r="BJ448" s="27"/>
      <c r="BK448" s="27" t="s">
        <v>76</v>
      </c>
      <c r="BL448" s="27"/>
    </row>
    <row r="449" ht="14.25" customHeight="1">
      <c r="A449" s="26" t="s">
        <v>111</v>
      </c>
      <c r="B449" s="26" t="s">
        <v>56</v>
      </c>
      <c r="C449" s="26" t="s">
        <v>57</v>
      </c>
      <c r="D449" s="26" t="s">
        <v>71</v>
      </c>
      <c r="E449" s="27" t="s">
        <v>1579</v>
      </c>
      <c r="F449" s="28" t="s">
        <v>1580</v>
      </c>
      <c r="G449" s="29" t="s">
        <v>1567</v>
      </c>
      <c r="H449" s="30">
        <v>45068.0</v>
      </c>
      <c r="I449" s="30">
        <v>45433.0</v>
      </c>
      <c r="J449" s="31" t="s">
        <v>1581</v>
      </c>
      <c r="K449" s="26" t="s">
        <v>427</v>
      </c>
      <c r="L449" s="32" t="s">
        <v>63</v>
      </c>
      <c r="M449" s="33">
        <v>13998.3</v>
      </c>
      <c r="N449" s="34">
        <v>15080.0</v>
      </c>
      <c r="O449" s="27" t="s">
        <v>64</v>
      </c>
      <c r="P449" s="35" t="s">
        <v>89</v>
      </c>
      <c r="Q449" s="35" t="s">
        <v>114</v>
      </c>
      <c r="R449" s="36" t="e">
        <v>#VALUE!</v>
      </c>
      <c r="S449" s="35" t="s">
        <v>78</v>
      </c>
      <c r="T449" s="54" t="s">
        <v>1271</v>
      </c>
      <c r="U449" s="37" t="s">
        <v>115</v>
      </c>
      <c r="V449" s="38">
        <v>580000.0</v>
      </c>
      <c r="W449" s="38"/>
      <c r="X449" s="27"/>
      <c r="Y449" s="39"/>
      <c r="Z449" s="79" t="s">
        <v>1582</v>
      </c>
      <c r="AA449" s="39"/>
      <c r="AB449" s="40"/>
      <c r="AC449" s="27">
        <f t="shared" si="324"/>
        <v>0</v>
      </c>
      <c r="AD449" s="41">
        <f t="shared" si="326"/>
        <v>0</v>
      </c>
      <c r="AE449" s="42"/>
      <c r="AF449" s="27"/>
      <c r="AG449" s="43">
        <f t="shared" ref="AG449:AG450" si="327">IF(O449="Paid",IF(A449="Alwataniya",(M449*21%)-((M449*21%)*5%),IF((A449="GIG"),(M449*25%)-((M449*25%)*5%),IF((A449="Allianz"),(M449*27%)-((M449*27%)*20%),0))),0)</f>
        <v>0</v>
      </c>
      <c r="AH449" s="29"/>
      <c r="AI449" s="29"/>
      <c r="AJ449" s="29"/>
      <c r="AK449" s="29"/>
      <c r="AL449" s="27"/>
      <c r="AM449" s="44"/>
      <c r="AN449" s="45"/>
      <c r="AO449" s="46">
        <v>0.0</v>
      </c>
      <c r="AP449" s="47"/>
      <c r="AQ449" s="43" t="b">
        <f>IF(O449="Paid",IF(U449="Motor Plus",(M449*27%),IF(U449="Motor One",(M449*22%),(IF(U449="Golden",(M449*25%),(IF(U449="Classic",(M449*15%),(IF(U449="Wethaq",(M449*28%),IF(U449="Alwataniya",(M449*21%))*0)))))))))</f>
        <v>0</v>
      </c>
      <c r="AR449" s="43">
        <f t="shared" si="2"/>
        <v>0</v>
      </c>
      <c r="AS449" s="43">
        <f t="shared" si="3"/>
        <v>0</v>
      </c>
      <c r="AT449" s="48">
        <f t="shared" si="4"/>
        <v>0</v>
      </c>
      <c r="AU449" s="49">
        <f t="shared" si="323"/>
        <v>0</v>
      </c>
      <c r="AV449" s="48"/>
      <c r="AW449" s="34">
        <f t="shared" si="325"/>
        <v>15080</v>
      </c>
      <c r="AX449" s="50">
        <f t="shared" si="248"/>
        <v>0</v>
      </c>
      <c r="AY449" s="43"/>
      <c r="AZ449" s="43"/>
      <c r="BA449" s="48">
        <f t="shared" si="302"/>
        <v>0</v>
      </c>
      <c r="BB449" s="27"/>
      <c r="BC449" s="27"/>
      <c r="BD449" s="51"/>
      <c r="BE449" s="52"/>
      <c r="BF449" s="27" t="s">
        <v>1579</v>
      </c>
      <c r="BG449" s="58" t="s">
        <v>1583</v>
      </c>
      <c r="BH449" s="53" t="str">
        <f>'[1]2023'!Q700</f>
        <v>#REF!</v>
      </c>
      <c r="BI449" s="27"/>
      <c r="BJ449" s="27"/>
      <c r="BK449" s="27" t="s">
        <v>64</v>
      </c>
      <c r="BL449" s="27"/>
    </row>
    <row r="450" ht="14.25" customHeight="1">
      <c r="A450" s="26" t="s">
        <v>111</v>
      </c>
      <c r="B450" s="26" t="s">
        <v>56</v>
      </c>
      <c r="C450" s="26" t="s">
        <v>57</v>
      </c>
      <c r="D450" s="26" t="s">
        <v>71</v>
      </c>
      <c r="E450" s="27" t="s">
        <v>1584</v>
      </c>
      <c r="F450" s="28" t="s">
        <v>1585</v>
      </c>
      <c r="G450" s="29" t="s">
        <v>1567</v>
      </c>
      <c r="H450" s="30">
        <v>45068.0</v>
      </c>
      <c r="I450" s="30">
        <v>45433.0</v>
      </c>
      <c r="J450" s="31" t="s">
        <v>1586</v>
      </c>
      <c r="K450" s="26" t="s">
        <v>427</v>
      </c>
      <c r="L450" s="32" t="s">
        <v>75</v>
      </c>
      <c r="M450" s="33">
        <v>14489.33</v>
      </c>
      <c r="N450" s="34">
        <v>15600.0</v>
      </c>
      <c r="O450" s="27" t="s">
        <v>76</v>
      </c>
      <c r="P450" s="35" t="s">
        <v>430</v>
      </c>
      <c r="Q450" s="35" t="s">
        <v>114</v>
      </c>
      <c r="R450" s="36" t="e">
        <v>#VALUE!</v>
      </c>
      <c r="S450" s="35" t="s">
        <v>66</v>
      </c>
      <c r="T450" s="35">
        <v>0.0</v>
      </c>
      <c r="U450" s="37" t="s">
        <v>115</v>
      </c>
      <c r="V450" s="38">
        <v>600000.0</v>
      </c>
      <c r="W450" s="38"/>
      <c r="X450" s="27"/>
      <c r="Y450" s="39"/>
      <c r="Z450" s="79" t="s">
        <v>1587</v>
      </c>
      <c r="AA450" s="39"/>
      <c r="AB450" s="40"/>
      <c r="AC450" s="27">
        <f t="shared" si="324"/>
        <v>0</v>
      </c>
      <c r="AD450" s="41">
        <f t="shared" si="326"/>
        <v>0</v>
      </c>
      <c r="AE450" s="42"/>
      <c r="AF450" s="27"/>
      <c r="AG450" s="43">
        <f t="shared" si="327"/>
        <v>3441.215875</v>
      </c>
      <c r="AH450" s="29">
        <v>45052.0</v>
      </c>
      <c r="AI450" s="105" t="s">
        <v>1588</v>
      </c>
      <c r="AJ450" s="40"/>
      <c r="AK450" s="62" t="s">
        <v>63</v>
      </c>
      <c r="AL450" s="27"/>
      <c r="AM450" s="138">
        <f>((M450*25%)-((M450*25%)*22.5%))*30%</f>
        <v>842.1923063</v>
      </c>
      <c r="AN450" s="120" t="s">
        <v>1038</v>
      </c>
      <c r="AO450" s="46"/>
      <c r="AP450" s="47"/>
      <c r="AQ450" s="43">
        <f>IF(U450="Motor Plus",(M450*27%),IF(U450="Motor One",(M450*22%),(IF(U450="Golden",(M450*25%),(IF(U450="Classic",(M450*15%),(IF(U450="Wethaq",(M450*28%),IF(U450="Alwataniya",(M450*21%))*0))))))))</f>
        <v>3622.3325</v>
      </c>
      <c r="AR450" s="43">
        <f t="shared" si="2"/>
        <v>181.116625</v>
      </c>
      <c r="AS450" s="43">
        <f t="shared" si="3"/>
        <v>633.9081875</v>
      </c>
      <c r="AT450" s="48">
        <f t="shared" si="4"/>
        <v>2807.307688</v>
      </c>
      <c r="AU450" s="49">
        <f t="shared" si="323"/>
        <v>2807.307688</v>
      </c>
      <c r="AV450" s="48"/>
      <c r="AW450" s="34">
        <f t="shared" si="325"/>
        <v>15600</v>
      </c>
      <c r="AX450" s="50">
        <f t="shared" si="248"/>
        <v>1965.115381</v>
      </c>
      <c r="AY450" s="43"/>
      <c r="AZ450" s="43"/>
      <c r="BA450" s="48">
        <f t="shared" si="302"/>
        <v>1965.115381</v>
      </c>
      <c r="BB450" s="27"/>
      <c r="BC450" s="27"/>
      <c r="BD450" s="51"/>
      <c r="BE450" s="52" t="s">
        <v>440</v>
      </c>
      <c r="BF450" s="27" t="s">
        <v>1584</v>
      </c>
      <c r="BG450" s="53">
        <v>0.0</v>
      </c>
      <c r="BH450" s="53" t="str">
        <f t="shared" ref="BH450:BH451" si="328">'[1]2023'!Q703</f>
        <v>#REF!</v>
      </c>
      <c r="BI450" s="27"/>
      <c r="BJ450" s="27"/>
      <c r="BK450" s="27" t="s">
        <v>76</v>
      </c>
      <c r="BL450" s="27"/>
    </row>
    <row r="451" ht="14.25" customHeight="1">
      <c r="A451" s="26" t="s">
        <v>68</v>
      </c>
      <c r="B451" s="26" t="s">
        <v>56</v>
      </c>
      <c r="C451" s="26" t="s">
        <v>57</v>
      </c>
      <c r="D451" s="26" t="s">
        <v>71</v>
      </c>
      <c r="E451" s="27" t="s">
        <v>1589</v>
      </c>
      <c r="F451" s="28" t="s">
        <v>1590</v>
      </c>
      <c r="G451" s="29" t="s">
        <v>1567</v>
      </c>
      <c r="H451" s="30">
        <v>45068.0</v>
      </c>
      <c r="I451" s="30">
        <v>45433.0</v>
      </c>
      <c r="J451" s="31" t="s">
        <v>1591</v>
      </c>
      <c r="K451" s="26" t="s">
        <v>427</v>
      </c>
      <c r="L451" s="32" t="s">
        <v>63</v>
      </c>
      <c r="M451" s="33">
        <v>76014.25</v>
      </c>
      <c r="N451" s="34">
        <v>81000.0</v>
      </c>
      <c r="O451" s="27" t="s">
        <v>64</v>
      </c>
      <c r="P451" s="35">
        <v>0.0</v>
      </c>
      <c r="Q451" s="35">
        <v>0.0</v>
      </c>
      <c r="R451" s="36" t="e">
        <v>#VALUE!</v>
      </c>
      <c r="S451" s="35" t="s">
        <v>78</v>
      </c>
      <c r="T451" s="54" t="s">
        <v>510</v>
      </c>
      <c r="U451" s="37">
        <v>0.0</v>
      </c>
      <c r="V451" s="38">
        <v>4500000.0</v>
      </c>
      <c r="W451" s="38"/>
      <c r="X451" s="27"/>
      <c r="Y451" s="39"/>
      <c r="Z451" s="79" t="s">
        <v>1592</v>
      </c>
      <c r="AA451" s="39"/>
      <c r="AB451" s="40"/>
      <c r="AC451" s="27">
        <f t="shared" si="324"/>
        <v>0</v>
      </c>
      <c r="AD451" s="41">
        <f t="shared" si="326"/>
        <v>0</v>
      </c>
      <c r="AE451" s="42"/>
      <c r="AF451" s="27"/>
      <c r="AG451" s="43" t="b">
        <f>IF(O451="Paid",IF(A451="Wethaq",(M451*28%)-((M451*28%)*5%)))</f>
        <v>0</v>
      </c>
      <c r="AH451" s="29"/>
      <c r="AI451" s="29"/>
      <c r="AJ451" s="29"/>
      <c r="AK451" s="29"/>
      <c r="AL451" s="27"/>
      <c r="AM451" s="44"/>
      <c r="AN451" s="95"/>
      <c r="AO451" s="48"/>
      <c r="AP451" s="43"/>
      <c r="AQ451" s="43" t="b">
        <f>IF(O451="Paid",IF(U451="Motor Plus",(M451*27%),IF(U451="Motor One",(M451*22%),(IF(U451="Golden",(M451*25%),(IF(U451="Classic",(M451*15%),(IF(U451="Wethaq",(M451*28%),IF(U451="Alwataniya",(M451*21%))*0)))))))))</f>
        <v>0</v>
      </c>
      <c r="AR451" s="43">
        <f t="shared" si="2"/>
        <v>0</v>
      </c>
      <c r="AS451" s="43">
        <f t="shared" si="3"/>
        <v>0</v>
      </c>
      <c r="AT451" s="48">
        <f t="shared" si="4"/>
        <v>0</v>
      </c>
      <c r="AU451" s="49">
        <f t="shared" si="323"/>
        <v>0</v>
      </c>
      <c r="AV451" s="48"/>
      <c r="AW451" s="34">
        <f t="shared" si="325"/>
        <v>81000</v>
      </c>
      <c r="AX451" s="50">
        <f t="shared" si="248"/>
        <v>0</v>
      </c>
      <c r="AY451" s="43"/>
      <c r="AZ451" s="43"/>
      <c r="BA451" s="48">
        <f t="shared" si="302"/>
        <v>0</v>
      </c>
      <c r="BB451" s="27"/>
      <c r="BC451" s="27"/>
      <c r="BD451" s="51"/>
      <c r="BE451" s="52"/>
      <c r="BF451" s="27" t="s">
        <v>1589</v>
      </c>
      <c r="BG451" s="58" t="s">
        <v>562</v>
      </c>
      <c r="BH451" s="53" t="str">
        <f t="shared" si="328"/>
        <v>#REF!</v>
      </c>
      <c r="BI451" s="27"/>
      <c r="BJ451" s="27"/>
      <c r="BK451" s="27" t="s">
        <v>64</v>
      </c>
      <c r="BL451" s="64" t="s">
        <v>1546</v>
      </c>
    </row>
    <row r="452" ht="14.25" customHeight="1">
      <c r="A452" s="26" t="s">
        <v>55</v>
      </c>
      <c r="B452" s="26" t="s">
        <v>56</v>
      </c>
      <c r="C452" s="26" t="s">
        <v>57</v>
      </c>
      <c r="D452" s="26" t="s">
        <v>58</v>
      </c>
      <c r="E452" s="27" t="s">
        <v>1593</v>
      </c>
      <c r="F452" s="28" t="s">
        <v>1594</v>
      </c>
      <c r="G452" s="29" t="s">
        <v>1567</v>
      </c>
      <c r="H452" s="30">
        <v>45068.0</v>
      </c>
      <c r="I452" s="30">
        <v>45433.0</v>
      </c>
      <c r="J452" s="31">
        <v>0.0</v>
      </c>
      <c r="K452" s="26" t="s">
        <v>427</v>
      </c>
      <c r="L452" s="32" t="s">
        <v>75</v>
      </c>
      <c r="M452" s="33">
        <v>10525.35</v>
      </c>
      <c r="N452" s="34">
        <v>11150.0</v>
      </c>
      <c r="O452" s="27" t="s">
        <v>76</v>
      </c>
      <c r="P452" s="35" t="s">
        <v>430</v>
      </c>
      <c r="Q452" s="35" t="s">
        <v>108</v>
      </c>
      <c r="R452" s="36" t="e">
        <v>#VALUE!</v>
      </c>
      <c r="S452" s="35" t="s">
        <v>86</v>
      </c>
      <c r="T452" s="35">
        <v>0.0</v>
      </c>
      <c r="U452" s="37" t="s">
        <v>67</v>
      </c>
      <c r="V452" s="38"/>
      <c r="W452" s="38"/>
      <c r="X452" s="27"/>
      <c r="Y452" s="39"/>
      <c r="Z452" s="39"/>
      <c r="AA452" s="39"/>
      <c r="AB452" s="40"/>
      <c r="AC452" s="27">
        <f t="shared" si="324"/>
        <v>0</v>
      </c>
      <c r="AD452" s="41">
        <f>IF(AND(S452="0",O452="Paid"),M452*15%,0)</f>
        <v>1578.8025</v>
      </c>
      <c r="AE452" s="42"/>
      <c r="AF452" s="29">
        <v>45144.0</v>
      </c>
      <c r="AG452" s="43">
        <f>IF(O452="Paid",IF(A452="Alwataniya",(M452*21%)-((M452*21%)*5%),IF((A452="GIG"),(M452*25%)-((M452*25%)*5%),IF((A452="Allianz"),(M452*27%)-((M452*27%)*5%),0))),0)</f>
        <v>2699.752275</v>
      </c>
      <c r="AH452" s="29"/>
      <c r="AI452" s="29"/>
      <c r="AJ452" s="29"/>
      <c r="AK452" s="29"/>
      <c r="AL452" s="27"/>
      <c r="AM452" s="44"/>
      <c r="AN452" s="115"/>
      <c r="AO452" s="46"/>
      <c r="AP452" s="47"/>
      <c r="AQ452" s="43">
        <f>IF(U452="Motor Plus",(M452*27%),IF(U452="Motor One",(M452*22%),(IF(U452="Golden",(M452*25%),(IF(U452="Classic",(M452*15%),(IF(U452="Wethaq",(M452*28%),IF(U452="Alwataniya",(M452*21%))*0))))))))</f>
        <v>2841.8445</v>
      </c>
      <c r="AR452" s="43">
        <f t="shared" si="2"/>
        <v>142.092225</v>
      </c>
      <c r="AS452" s="43">
        <f t="shared" si="3"/>
        <v>497.3227875</v>
      </c>
      <c r="AT452" s="48">
        <f t="shared" si="4"/>
        <v>2202.429488</v>
      </c>
      <c r="AU452" s="49">
        <f t="shared" si="323"/>
        <v>2202.429488</v>
      </c>
      <c r="AV452" s="48"/>
      <c r="AW452" s="34">
        <f t="shared" si="325"/>
        <v>9571.1975</v>
      </c>
      <c r="AX452" s="50">
        <f t="shared" si="248"/>
        <v>623.6269875</v>
      </c>
      <c r="AY452" s="43"/>
      <c r="AZ452" s="43"/>
      <c r="BA452" s="48">
        <f t="shared" si="302"/>
        <v>2202.429488</v>
      </c>
      <c r="BB452" s="27"/>
      <c r="BC452" s="27"/>
      <c r="BD452" s="51"/>
      <c r="BE452" s="52"/>
      <c r="BF452" s="27" t="s">
        <v>1593</v>
      </c>
      <c r="BG452" s="58" t="s">
        <v>1595</v>
      </c>
      <c r="BH452" s="53" t="str">
        <f>'[1]2023'!Q707</f>
        <v>#REF!</v>
      </c>
      <c r="BI452" s="27"/>
      <c r="BJ452" s="27"/>
      <c r="BK452" s="27" t="s">
        <v>76</v>
      </c>
      <c r="BL452" s="27"/>
    </row>
    <row r="453" ht="14.25" customHeight="1">
      <c r="A453" s="26" t="s">
        <v>68</v>
      </c>
      <c r="B453" s="26" t="s">
        <v>56</v>
      </c>
      <c r="C453" s="26" t="s">
        <v>57</v>
      </c>
      <c r="D453" s="26" t="s">
        <v>71</v>
      </c>
      <c r="E453" s="27" t="s">
        <v>1596</v>
      </c>
      <c r="F453" s="28" t="s">
        <v>1597</v>
      </c>
      <c r="G453" s="29" t="s">
        <v>1567</v>
      </c>
      <c r="H453" s="30">
        <v>45068.0</v>
      </c>
      <c r="I453" s="30">
        <v>45433.0</v>
      </c>
      <c r="J453" s="31" t="s">
        <v>1598</v>
      </c>
      <c r="K453" s="26" t="s">
        <v>427</v>
      </c>
      <c r="L453" s="32" t="s">
        <v>63</v>
      </c>
      <c r="M453" s="33">
        <v>28203.7</v>
      </c>
      <c r="N453" s="34">
        <v>30000.0</v>
      </c>
      <c r="O453" s="27" t="s">
        <v>64</v>
      </c>
      <c r="P453" s="35">
        <v>0.0</v>
      </c>
      <c r="Q453" s="35">
        <v>0.0</v>
      </c>
      <c r="R453" s="36" t="e">
        <v>#VALUE!</v>
      </c>
      <c r="S453" s="35" t="s">
        <v>676</v>
      </c>
      <c r="T453" s="35">
        <v>0.0</v>
      </c>
      <c r="U453" s="37">
        <v>0.0</v>
      </c>
      <c r="V453" s="38">
        <v>1500000.0</v>
      </c>
      <c r="W453" s="38"/>
      <c r="X453" s="27"/>
      <c r="Y453" s="39"/>
      <c r="Z453" s="79" t="s">
        <v>1599</v>
      </c>
      <c r="AA453" s="39"/>
      <c r="AB453" s="40"/>
      <c r="AC453" s="27">
        <f t="shared" si="324"/>
        <v>0</v>
      </c>
      <c r="AD453" s="41">
        <f t="shared" ref="AD453:AD454" si="329">IF(AND(S453="0",O453="Paid"),(M453*15%)-AC453,0)</f>
        <v>0</v>
      </c>
      <c r="AE453" s="42"/>
      <c r="AF453" s="27"/>
      <c r="AG453" s="43">
        <f t="shared" ref="AG453:AG454" si="330">IF(O453="Paid",IF(A453="Alwataniya",(M453*21%)-((M453*21%)*5%),IF((A453="GIG"),(M453*25%)-((M453*25%)*5%),IF((A453="Allianz"),(M453*27%)-((M453*27%)*20%),0))),0)</f>
        <v>0</v>
      </c>
      <c r="AH453" s="29"/>
      <c r="AI453" s="29"/>
      <c r="AJ453" s="29"/>
      <c r="AK453" s="29"/>
      <c r="AL453" s="27"/>
      <c r="AM453" s="44"/>
      <c r="AN453" s="45"/>
      <c r="AO453" s="46"/>
      <c r="AP453" s="47"/>
      <c r="AQ453" s="43" t="b">
        <f t="shared" ref="AQ453:AQ454" si="331">IF(O453="Paid",IF(U453="Motor Plus",(M453*27%),IF(U453="Motor One",(M453*22%),(IF(U453="Golden",(M453*25%),(IF(U453="Classic",(M453*15%),(IF(U453="Wethaq",(M453*28%),IF(U453="Alwataniya",(M453*21%))*0)))))))))</f>
        <v>0</v>
      </c>
      <c r="AR453" s="43">
        <f t="shared" si="2"/>
        <v>0</v>
      </c>
      <c r="AS453" s="43">
        <f t="shared" si="3"/>
        <v>0</v>
      </c>
      <c r="AT453" s="48">
        <f t="shared" si="4"/>
        <v>0</v>
      </c>
      <c r="AU453" s="49">
        <f t="shared" si="323"/>
        <v>0</v>
      </c>
      <c r="AV453" s="48"/>
      <c r="AW453" s="34">
        <f t="shared" si="325"/>
        <v>30000</v>
      </c>
      <c r="AX453" s="50">
        <f t="shared" si="248"/>
        <v>0</v>
      </c>
      <c r="AY453" s="43"/>
      <c r="AZ453" s="43"/>
      <c r="BA453" s="48">
        <f t="shared" si="302"/>
        <v>0</v>
      </c>
      <c r="BB453" s="27"/>
      <c r="BC453" s="27"/>
      <c r="BD453" s="51"/>
      <c r="BE453" s="52"/>
      <c r="BF453" s="27" t="s">
        <v>1596</v>
      </c>
      <c r="BG453" s="53">
        <v>0.0</v>
      </c>
      <c r="BH453" s="53" t="str">
        <f t="shared" ref="BH453:BH454" si="332">'[1]2023'!Q719</f>
        <v>#REF!</v>
      </c>
      <c r="BI453" s="27"/>
      <c r="BJ453" s="27"/>
      <c r="BK453" s="27" t="s">
        <v>64</v>
      </c>
      <c r="BL453" s="27"/>
    </row>
    <row r="454" ht="14.25" customHeight="1">
      <c r="A454" s="26" t="s">
        <v>111</v>
      </c>
      <c r="B454" s="26" t="s">
        <v>56</v>
      </c>
      <c r="C454" s="26" t="s">
        <v>57</v>
      </c>
      <c r="D454" s="26" t="s">
        <v>71</v>
      </c>
      <c r="E454" s="27" t="s">
        <v>1600</v>
      </c>
      <c r="F454" s="28" t="s">
        <v>1601</v>
      </c>
      <c r="G454" s="29" t="s">
        <v>1567</v>
      </c>
      <c r="H454" s="30">
        <v>45068.0</v>
      </c>
      <c r="I454" s="30">
        <v>45433.0</v>
      </c>
      <c r="J454" s="31" t="s">
        <v>508</v>
      </c>
      <c r="K454" s="26" t="s">
        <v>427</v>
      </c>
      <c r="L454" s="32" t="s">
        <v>63</v>
      </c>
      <c r="M454" s="33">
        <f>27992.63-M77</f>
        <v>9407.63</v>
      </c>
      <c r="N454" s="34">
        <f>29900-N77</f>
        <v>10077.48</v>
      </c>
      <c r="O454" s="27" t="s">
        <v>64</v>
      </c>
      <c r="P454" s="35">
        <v>0.0</v>
      </c>
      <c r="Q454" s="35" t="s">
        <v>114</v>
      </c>
      <c r="R454" s="36" t="e">
        <v>#VALUE!</v>
      </c>
      <c r="S454" s="35" t="s">
        <v>78</v>
      </c>
      <c r="T454" s="54" t="s">
        <v>510</v>
      </c>
      <c r="U454" s="37" t="s">
        <v>115</v>
      </c>
      <c r="V454" s="38">
        <v>1150000.0</v>
      </c>
      <c r="W454" s="38"/>
      <c r="X454" s="27"/>
      <c r="Y454" s="39"/>
      <c r="Z454" s="79" t="s">
        <v>1602</v>
      </c>
      <c r="AA454" s="39"/>
      <c r="AB454" s="40"/>
      <c r="AC454" s="27">
        <f t="shared" si="324"/>
        <v>0</v>
      </c>
      <c r="AD454" s="41">
        <f t="shared" si="329"/>
        <v>0</v>
      </c>
      <c r="AE454" s="42"/>
      <c r="AF454" s="27"/>
      <c r="AG454" s="43">
        <f t="shared" si="330"/>
        <v>0</v>
      </c>
      <c r="AH454" s="29"/>
      <c r="AI454" s="29"/>
      <c r="AJ454" s="29"/>
      <c r="AK454" s="75"/>
      <c r="AL454" s="27"/>
      <c r="AM454" s="44"/>
      <c r="AN454" s="95"/>
      <c r="AO454" s="46"/>
      <c r="AP454" s="57"/>
      <c r="AQ454" s="43" t="b">
        <f t="shared" si="331"/>
        <v>0</v>
      </c>
      <c r="AR454" s="43">
        <f t="shared" si="2"/>
        <v>0</v>
      </c>
      <c r="AS454" s="43">
        <f t="shared" si="3"/>
        <v>0</v>
      </c>
      <c r="AT454" s="48">
        <f t="shared" si="4"/>
        <v>0</v>
      </c>
      <c r="AU454" s="49">
        <f t="shared" si="323"/>
        <v>0</v>
      </c>
      <c r="AV454" s="48"/>
      <c r="AW454" s="34">
        <f t="shared" si="325"/>
        <v>10077.48</v>
      </c>
      <c r="AX454" s="50">
        <f t="shared" si="248"/>
        <v>0</v>
      </c>
      <c r="AY454" s="43"/>
      <c r="AZ454" s="43"/>
      <c r="BA454" s="48">
        <f t="shared" si="302"/>
        <v>0</v>
      </c>
      <c r="BB454" s="27"/>
      <c r="BC454" s="27"/>
      <c r="BD454" s="51"/>
      <c r="BE454" s="52"/>
      <c r="BF454" s="27" t="s">
        <v>1600</v>
      </c>
      <c r="BG454" s="53">
        <v>0.0</v>
      </c>
      <c r="BH454" s="53" t="str">
        <f t="shared" si="332"/>
        <v>#REF!</v>
      </c>
      <c r="BI454" s="27"/>
      <c r="BJ454" s="27"/>
      <c r="BK454" s="27" t="s">
        <v>64</v>
      </c>
      <c r="BL454" s="64" t="s">
        <v>1603</v>
      </c>
    </row>
    <row r="455" ht="14.25" customHeight="1">
      <c r="A455" s="26" t="s">
        <v>68</v>
      </c>
      <c r="B455" s="26" t="s">
        <v>56</v>
      </c>
      <c r="C455" s="26" t="s">
        <v>57</v>
      </c>
      <c r="D455" s="26" t="s">
        <v>71</v>
      </c>
      <c r="E455" s="27" t="s">
        <v>1604</v>
      </c>
      <c r="F455" s="28" t="s">
        <v>1605</v>
      </c>
      <c r="G455" s="29" t="s">
        <v>1567</v>
      </c>
      <c r="H455" s="30">
        <v>45068.0</v>
      </c>
      <c r="I455" s="30">
        <v>45433.0</v>
      </c>
      <c r="J455" s="31" t="s">
        <v>1044</v>
      </c>
      <c r="K455" s="26" t="s">
        <v>440</v>
      </c>
      <c r="L455" s="32" t="s">
        <v>75</v>
      </c>
      <c r="M455" s="33">
        <v>76014.25</v>
      </c>
      <c r="N455" s="34">
        <v>81000.0</v>
      </c>
      <c r="O455" s="27" t="s">
        <v>76</v>
      </c>
      <c r="P455" s="35" t="s">
        <v>89</v>
      </c>
      <c r="Q455" s="35">
        <v>0.0</v>
      </c>
      <c r="R455" s="36" t="e">
        <v>#VALUE!</v>
      </c>
      <c r="S455" s="35" t="s">
        <v>78</v>
      </c>
      <c r="T455" s="54" t="s">
        <v>1322</v>
      </c>
      <c r="U455" s="37" t="s">
        <v>68</v>
      </c>
      <c r="V455" s="38">
        <v>4500000.0</v>
      </c>
      <c r="W455" s="38"/>
      <c r="X455" s="27"/>
      <c r="Y455" s="39"/>
      <c r="Z455" s="79" t="s">
        <v>1592</v>
      </c>
      <c r="AA455" s="39"/>
      <c r="AB455" s="40"/>
      <c r="AC455" s="27">
        <f t="shared" si="324"/>
        <v>0</v>
      </c>
      <c r="AD455" s="41"/>
      <c r="AE455" s="42"/>
      <c r="AF455" s="27"/>
      <c r="AG455" s="43">
        <f>IF(O455="Paid",IF(A455="Wethaq",(M455*29.81%)-((M455*29.81%)*5%)))</f>
        <v>21526.85553</v>
      </c>
      <c r="AH455" s="29" t="s">
        <v>306</v>
      </c>
      <c r="AI455" s="29" t="s">
        <v>721</v>
      </c>
      <c r="AJ455" s="40">
        <v>0.2981</v>
      </c>
      <c r="AK455" s="29" t="s">
        <v>306</v>
      </c>
      <c r="AL455" s="90"/>
      <c r="AM455" s="44"/>
      <c r="AN455" s="45"/>
      <c r="AO455" s="135">
        <v>16500.0</v>
      </c>
      <c r="AP455" s="47" t="s">
        <v>901</v>
      </c>
      <c r="AQ455" s="43">
        <f t="shared" ref="AQ455:AQ457" si="333">IF(U455="Motor Plus",(M455*27%),IF(U455="Motor One",(M455*22%),(IF(U455="Golden",(M455*25%),(IF(U455="Classic",(M455*15%),(IF(U455="Wethaq",(M455*28%),IF(U455="Alwataniya",(M455*21%))*0))))))))</f>
        <v>21283.99</v>
      </c>
      <c r="AR455" s="43">
        <f t="shared" si="2"/>
        <v>1064.1995</v>
      </c>
      <c r="AS455" s="43">
        <f t="shared" si="3"/>
        <v>3724.69825</v>
      </c>
      <c r="AT455" s="48">
        <f t="shared" si="4"/>
        <v>16495.09225</v>
      </c>
      <c r="AU455" s="49">
        <f t="shared" si="323"/>
        <v>16495.09225</v>
      </c>
      <c r="AV455" s="48"/>
      <c r="AW455" s="34">
        <f t="shared" si="325"/>
        <v>81000</v>
      </c>
      <c r="AX455" s="113">
        <f t="shared" si="248"/>
        <v>1302.157279</v>
      </c>
      <c r="AY455" s="43"/>
      <c r="AZ455" s="43">
        <f>IF(AJ455&lt;31.81%,M455*(31.81%-AJ455),0)</f>
        <v>1520.285</v>
      </c>
      <c r="BA455" s="48">
        <f t="shared" si="302"/>
        <v>-4.90775</v>
      </c>
      <c r="BB455" s="27"/>
      <c r="BC455" s="27"/>
      <c r="BD455" s="51"/>
      <c r="BE455" s="52"/>
      <c r="BF455" s="27" t="s">
        <v>1604</v>
      </c>
      <c r="BG455" s="58" t="s">
        <v>1554</v>
      </c>
      <c r="BH455" s="53" t="str">
        <f>'[1]2023'!Q852</f>
        <v>#REF!</v>
      </c>
      <c r="BI455" s="27"/>
      <c r="BJ455" s="27"/>
      <c r="BK455" s="27" t="s">
        <v>76</v>
      </c>
      <c r="BL455" s="27"/>
    </row>
    <row r="456" ht="14.25" customHeight="1">
      <c r="A456" s="26" t="s">
        <v>55</v>
      </c>
      <c r="B456" s="26" t="s">
        <v>56</v>
      </c>
      <c r="C456" s="26" t="s">
        <v>57</v>
      </c>
      <c r="D456" s="26" t="s">
        <v>58</v>
      </c>
      <c r="E456" s="27" t="s">
        <v>1606</v>
      </c>
      <c r="F456" s="28" t="s">
        <v>1607</v>
      </c>
      <c r="G456" s="29" t="s">
        <v>1567</v>
      </c>
      <c r="H456" s="30">
        <v>45068.0</v>
      </c>
      <c r="I456" s="30">
        <v>45433.0</v>
      </c>
      <c r="J456" s="31">
        <v>0.0</v>
      </c>
      <c r="K456" s="26" t="s">
        <v>427</v>
      </c>
      <c r="L456" s="32" t="s">
        <v>75</v>
      </c>
      <c r="M456" s="33">
        <v>7920.55</v>
      </c>
      <c r="N456" s="34">
        <v>8387.86</v>
      </c>
      <c r="O456" s="27" t="s">
        <v>76</v>
      </c>
      <c r="P456" s="35" t="s">
        <v>122</v>
      </c>
      <c r="Q456" s="35" t="s">
        <v>65</v>
      </c>
      <c r="R456" s="36" t="e">
        <v>#VALUE!</v>
      </c>
      <c r="S456" s="35" t="s">
        <v>86</v>
      </c>
      <c r="T456" s="35">
        <v>0.0</v>
      </c>
      <c r="U456" s="37" t="s">
        <v>67</v>
      </c>
      <c r="V456" s="38"/>
      <c r="W456" s="38"/>
      <c r="X456" s="27"/>
      <c r="Y456" s="39"/>
      <c r="Z456" s="39"/>
      <c r="AA456" s="39"/>
      <c r="AB456" s="40"/>
      <c r="AC456" s="27">
        <f t="shared" si="324"/>
        <v>0</v>
      </c>
      <c r="AD456" s="41"/>
      <c r="AE456" s="42"/>
      <c r="AF456" s="27"/>
      <c r="AG456" s="43">
        <f t="shared" ref="AG456:AG461" si="334">IF(O456="Paid",IF(A456="Alwataniya",(M456*21%)-((M456*21%)*5%),IF((A456="GIG"),(M456*25%)-((M456*25%)*5%),IF((A456="Allianz"),(M456*27%)-((M456*27%)*5%),0))),0)</f>
        <v>2031.621075</v>
      </c>
      <c r="AH456" s="29"/>
      <c r="AI456" s="29"/>
      <c r="AJ456" s="29"/>
      <c r="AK456" s="29"/>
      <c r="AL456" s="27"/>
      <c r="AM456" s="44"/>
      <c r="AN456" s="45"/>
      <c r="AO456" s="46"/>
      <c r="AP456" s="47"/>
      <c r="AQ456" s="43">
        <f t="shared" si="333"/>
        <v>2138.5485</v>
      </c>
      <c r="AR456" s="43">
        <f t="shared" si="2"/>
        <v>106.927425</v>
      </c>
      <c r="AS456" s="43">
        <f t="shared" si="3"/>
        <v>374.2459875</v>
      </c>
      <c r="AT456" s="48">
        <f t="shared" si="4"/>
        <v>1657.375088</v>
      </c>
      <c r="AU456" s="49">
        <f t="shared" si="323"/>
        <v>1657.375088</v>
      </c>
      <c r="AV456" s="48"/>
      <c r="AW456" s="34">
        <f t="shared" si="325"/>
        <v>8387.86</v>
      </c>
      <c r="AX456" s="50">
        <f t="shared" si="248"/>
        <v>1657.375088</v>
      </c>
      <c r="AY456" s="43"/>
      <c r="AZ456" s="43"/>
      <c r="BA456" s="48">
        <f t="shared" si="302"/>
        <v>1657.375088</v>
      </c>
      <c r="BB456" s="27"/>
      <c r="BC456" s="27"/>
      <c r="BD456" s="51"/>
      <c r="BE456" s="52"/>
      <c r="BF456" s="27" t="s">
        <v>1606</v>
      </c>
      <c r="BG456" s="53">
        <v>0.0</v>
      </c>
      <c r="BH456" s="53" t="str">
        <f t="shared" ref="BH456:BH457" si="335">'[1]2023'!Q874</f>
        <v>#REF!</v>
      </c>
      <c r="BI456" s="27"/>
      <c r="BJ456" s="27"/>
      <c r="BK456" s="27" t="s">
        <v>76</v>
      </c>
      <c r="BL456" s="27"/>
    </row>
    <row r="457" ht="14.25" customHeight="1">
      <c r="A457" s="26" t="s">
        <v>55</v>
      </c>
      <c r="B457" s="26" t="s">
        <v>56</v>
      </c>
      <c r="C457" s="26" t="s">
        <v>57</v>
      </c>
      <c r="D457" s="26" t="s">
        <v>58</v>
      </c>
      <c r="E457" s="27" t="s">
        <v>1608</v>
      </c>
      <c r="F457" s="28" t="s">
        <v>1609</v>
      </c>
      <c r="G457" s="29" t="s">
        <v>1567</v>
      </c>
      <c r="H457" s="30">
        <v>45068.0</v>
      </c>
      <c r="I457" s="30">
        <v>45433.0</v>
      </c>
      <c r="J457" s="31">
        <v>0.0</v>
      </c>
      <c r="K457" s="26" t="s">
        <v>427</v>
      </c>
      <c r="L457" s="32" t="s">
        <v>75</v>
      </c>
      <c r="M457" s="33">
        <v>3380.38</v>
      </c>
      <c r="N457" s="34">
        <v>3579.82</v>
      </c>
      <c r="O457" s="27" t="s">
        <v>76</v>
      </c>
      <c r="P457" s="35" t="s">
        <v>122</v>
      </c>
      <c r="Q457" s="35" t="s">
        <v>90</v>
      </c>
      <c r="R457" s="36" t="e">
        <v>#VALUE!</v>
      </c>
      <c r="S457" s="35" t="s">
        <v>86</v>
      </c>
      <c r="T457" s="35">
        <v>0.0</v>
      </c>
      <c r="U457" s="37" t="s">
        <v>67</v>
      </c>
      <c r="V457" s="38"/>
      <c r="W457" s="38"/>
      <c r="X457" s="27"/>
      <c r="Y457" s="39"/>
      <c r="Z457" s="39"/>
      <c r="AA457" s="39"/>
      <c r="AB457" s="40"/>
      <c r="AC457" s="27">
        <f t="shared" si="324"/>
        <v>0</v>
      </c>
      <c r="AD457" s="41">
        <f t="shared" ref="AD457:AD459" si="336">IF(AND(S457="0",O457="Paid"),(M457*15%)-AC457,0)</f>
        <v>507.057</v>
      </c>
      <c r="AE457" s="42"/>
      <c r="AF457" s="27"/>
      <c r="AG457" s="43">
        <f t="shared" si="334"/>
        <v>867.06747</v>
      </c>
      <c r="AH457" s="29"/>
      <c r="AI457" s="29"/>
      <c r="AJ457" s="29"/>
      <c r="AK457" s="29"/>
      <c r="AL457" s="27"/>
      <c r="AM457" s="44"/>
      <c r="AN457" s="45"/>
      <c r="AO457" s="46"/>
      <c r="AP457" s="47"/>
      <c r="AQ457" s="43">
        <f t="shared" si="333"/>
        <v>912.7026</v>
      </c>
      <c r="AR457" s="43">
        <f t="shared" si="2"/>
        <v>45.63513</v>
      </c>
      <c r="AS457" s="43">
        <f t="shared" si="3"/>
        <v>159.722955</v>
      </c>
      <c r="AT457" s="48">
        <f t="shared" si="4"/>
        <v>707.344515</v>
      </c>
      <c r="AU457" s="49">
        <f t="shared" si="323"/>
        <v>707.344515</v>
      </c>
      <c r="AV457" s="48"/>
      <c r="AW457" s="34">
        <f t="shared" si="325"/>
        <v>3072.763</v>
      </c>
      <c r="AX457" s="50">
        <f t="shared" si="248"/>
        <v>200.287515</v>
      </c>
      <c r="AY457" s="43"/>
      <c r="AZ457" s="43"/>
      <c r="BA457" s="48">
        <f t="shared" si="302"/>
        <v>707.344515</v>
      </c>
      <c r="BB457" s="27"/>
      <c r="BC457" s="27"/>
      <c r="BD457" s="51"/>
      <c r="BE457" s="52"/>
      <c r="BF457" s="27" t="s">
        <v>1608</v>
      </c>
      <c r="BG457" s="53">
        <v>0.0</v>
      </c>
      <c r="BH457" s="53" t="str">
        <f t="shared" si="335"/>
        <v>#REF!</v>
      </c>
      <c r="BI457" s="27"/>
      <c r="BJ457" s="27"/>
      <c r="BK457" s="27" t="s">
        <v>76</v>
      </c>
      <c r="BL457" s="27"/>
    </row>
    <row r="458" ht="14.25" customHeight="1">
      <c r="A458" s="26" t="s">
        <v>55</v>
      </c>
      <c r="B458" s="26" t="s">
        <v>56</v>
      </c>
      <c r="C458" s="26" t="s">
        <v>57</v>
      </c>
      <c r="D458" s="26" t="s">
        <v>58</v>
      </c>
      <c r="E458" s="27" t="s">
        <v>1610</v>
      </c>
      <c r="F458" s="28" t="s">
        <v>1611</v>
      </c>
      <c r="G458" s="29">
        <v>45068.0</v>
      </c>
      <c r="H458" s="30">
        <v>45068.0</v>
      </c>
      <c r="I458" s="30">
        <v>45433.0</v>
      </c>
      <c r="J458" s="31">
        <v>0.0</v>
      </c>
      <c r="K458" s="26" t="s">
        <v>427</v>
      </c>
      <c r="L458" s="32" t="s">
        <v>63</v>
      </c>
      <c r="M458" s="33">
        <v>0.0</v>
      </c>
      <c r="N458" s="34">
        <v>0.0</v>
      </c>
      <c r="O458" s="27" t="s">
        <v>64</v>
      </c>
      <c r="P458" s="35">
        <v>0.0</v>
      </c>
      <c r="Q458" s="35">
        <v>0.0</v>
      </c>
      <c r="R458" s="36">
        <v>45068.0</v>
      </c>
      <c r="S458" s="35" t="s">
        <v>86</v>
      </c>
      <c r="T458" s="35">
        <v>0.0</v>
      </c>
      <c r="U458" s="37">
        <v>0.0</v>
      </c>
      <c r="V458" s="38"/>
      <c r="W458" s="38"/>
      <c r="X458" s="27"/>
      <c r="Y458" s="39"/>
      <c r="Z458" s="39"/>
      <c r="AA458" s="39"/>
      <c r="AB458" s="27"/>
      <c r="AC458" s="27">
        <f t="shared" si="324"/>
        <v>0</v>
      </c>
      <c r="AD458" s="41">
        <f t="shared" si="336"/>
        <v>0</v>
      </c>
      <c r="AE458" s="42"/>
      <c r="AF458" s="27"/>
      <c r="AG458" s="43">
        <f t="shared" si="334"/>
        <v>0</v>
      </c>
      <c r="AH458" s="29"/>
      <c r="AI458" s="29"/>
      <c r="AJ458" s="29"/>
      <c r="AK458" s="29"/>
      <c r="AL458" s="27"/>
      <c r="AM458" s="27"/>
      <c r="AN458" s="47"/>
      <c r="AO458" s="76"/>
      <c r="AP458" s="47"/>
      <c r="AQ458" s="43" t="b">
        <f>IF(O458="Paid",IF(U458="Motor Plus",(M458*27%),IF(U458="Motor One",(M458*22%),(IF(U458="Golden",(M458*25%),(IF(U458="Classic",(M458*15%),(IF(U458="Wethaq",(M458*28%),IF(U458="Alwataniya",(M458*21%))*0)))))))))</f>
        <v>0</v>
      </c>
      <c r="AR458" s="43">
        <f t="shared" si="2"/>
        <v>0</v>
      </c>
      <c r="AS458" s="43">
        <f t="shared" si="3"/>
        <v>0</v>
      </c>
      <c r="AT458" s="48">
        <f t="shared" si="4"/>
        <v>0</v>
      </c>
      <c r="AU458" s="49">
        <f>AQ458-AR458-AS458-AC458-AO458</f>
        <v>0</v>
      </c>
      <c r="AV458" s="48"/>
      <c r="AW458" s="34">
        <f t="shared" si="325"/>
        <v>0</v>
      </c>
      <c r="AX458" s="50">
        <f t="shared" si="248"/>
        <v>0</v>
      </c>
      <c r="AY458" s="43"/>
      <c r="AZ458" s="47"/>
      <c r="BA458" s="48">
        <f t="shared" si="302"/>
        <v>0</v>
      </c>
      <c r="BB458" s="27"/>
      <c r="BC458" s="27"/>
      <c r="BD458" s="51"/>
      <c r="BE458" s="52"/>
      <c r="BF458" s="27" t="s">
        <v>1610</v>
      </c>
      <c r="BG458" s="53">
        <v>0.0</v>
      </c>
      <c r="BH458" s="53" t="str">
        <f>'[1]2023'!Q1139</f>
        <v>#REF!</v>
      </c>
      <c r="BI458" s="27"/>
      <c r="BJ458" s="27"/>
      <c r="BK458" s="27" t="s">
        <v>64</v>
      </c>
      <c r="BL458" s="27"/>
    </row>
    <row r="459" ht="14.25" customHeight="1">
      <c r="A459" s="26" t="s">
        <v>55</v>
      </c>
      <c r="B459" s="26" t="s">
        <v>56</v>
      </c>
      <c r="C459" s="26" t="s">
        <v>57</v>
      </c>
      <c r="D459" s="26" t="s">
        <v>81</v>
      </c>
      <c r="E459" s="27" t="s">
        <v>1612</v>
      </c>
      <c r="F459" s="28" t="s">
        <v>1613</v>
      </c>
      <c r="G459" s="29" t="s">
        <v>1614</v>
      </c>
      <c r="H459" s="30">
        <v>45069.0</v>
      </c>
      <c r="I459" s="30">
        <v>45434.0</v>
      </c>
      <c r="J459" s="31">
        <v>0.0</v>
      </c>
      <c r="K459" s="26" t="s">
        <v>427</v>
      </c>
      <c r="L459" s="73" t="s">
        <v>75</v>
      </c>
      <c r="M459" s="33">
        <v>25812.5</v>
      </c>
      <c r="N459" s="34">
        <v>27473.45</v>
      </c>
      <c r="O459" s="27" t="s">
        <v>76</v>
      </c>
      <c r="P459" s="35" t="s">
        <v>89</v>
      </c>
      <c r="Q459" s="35" t="s">
        <v>90</v>
      </c>
      <c r="R459" s="36" t="e">
        <v>#VALUE!</v>
      </c>
      <c r="S459" s="35" t="s">
        <v>86</v>
      </c>
      <c r="T459" s="35">
        <v>0.0</v>
      </c>
      <c r="U459" s="37" t="s">
        <v>67</v>
      </c>
      <c r="V459" s="38"/>
      <c r="W459" s="38"/>
      <c r="X459" s="27"/>
      <c r="Y459" s="39"/>
      <c r="Z459" s="79" t="s">
        <v>476</v>
      </c>
      <c r="AA459" s="39"/>
      <c r="AB459" s="40">
        <v>0.0529</v>
      </c>
      <c r="AC459" s="27">
        <f t="shared" si="324"/>
        <v>1365.48125</v>
      </c>
      <c r="AD459" s="41">
        <f t="shared" si="336"/>
        <v>2506.39375</v>
      </c>
      <c r="AE459" s="42"/>
      <c r="AF459" s="27"/>
      <c r="AG459" s="43">
        <f t="shared" si="334"/>
        <v>6620.90625</v>
      </c>
      <c r="AH459" s="29"/>
      <c r="AI459" s="29"/>
      <c r="AJ459" s="29"/>
      <c r="AK459" s="29"/>
      <c r="AL459" s="27"/>
      <c r="AM459" s="27"/>
      <c r="AN459" s="93"/>
      <c r="AO459" s="76"/>
      <c r="AP459" s="47"/>
      <c r="AQ459" s="43">
        <f t="shared" ref="AQ459:AQ462" si="337">IF(U459="Motor Plus",(M459*27%),IF(U459="Motor One",(M459*22%),(IF(U459="Golden",(M459*25%),(IF(U459="Classic",(M459*15%),(IF(U459="Wethaq",(M459*28%),IF(U459="Alwataniya",(M459*21%))*0))))))))</f>
        <v>6969.375</v>
      </c>
      <c r="AR459" s="43">
        <f t="shared" si="2"/>
        <v>348.46875</v>
      </c>
      <c r="AS459" s="43">
        <f t="shared" si="3"/>
        <v>1219.640625</v>
      </c>
      <c r="AT459" s="48">
        <f t="shared" si="4"/>
        <v>5401.265625</v>
      </c>
      <c r="AU459" s="49">
        <f t="shared" ref="AU459:AU466" si="338">AQ459-AR459-AS459-AC459</f>
        <v>4035.784375</v>
      </c>
      <c r="AV459" s="48"/>
      <c r="AW459" s="34">
        <f t="shared" si="325"/>
        <v>23601.575</v>
      </c>
      <c r="AX459" s="50">
        <f t="shared" si="248"/>
        <v>2894.871875</v>
      </c>
      <c r="AY459" s="43"/>
      <c r="AZ459" s="43"/>
      <c r="BA459" s="48">
        <f t="shared" si="302"/>
        <v>4035.784375</v>
      </c>
      <c r="BB459" s="27"/>
      <c r="BC459" s="27"/>
      <c r="BD459" s="51"/>
      <c r="BE459" s="52"/>
      <c r="BF459" s="27" t="s">
        <v>1612</v>
      </c>
      <c r="BG459" s="53">
        <v>0.0</v>
      </c>
      <c r="BH459" s="53" t="str">
        <f>'[1]2023'!Q593</f>
        <v>#REF!</v>
      </c>
      <c r="BI459" s="27"/>
      <c r="BJ459" s="27"/>
      <c r="BK459" s="27" t="s">
        <v>76</v>
      </c>
      <c r="BL459" s="143" t="s">
        <v>1615</v>
      </c>
    </row>
    <row r="460" ht="14.25" customHeight="1">
      <c r="A460" s="26" t="s">
        <v>55</v>
      </c>
      <c r="B460" s="26" t="s">
        <v>56</v>
      </c>
      <c r="C460" s="26" t="s">
        <v>57</v>
      </c>
      <c r="D460" s="26" t="s">
        <v>81</v>
      </c>
      <c r="E460" s="27" t="s">
        <v>1616</v>
      </c>
      <c r="F460" s="28" t="s">
        <v>1617</v>
      </c>
      <c r="G460" s="29" t="s">
        <v>1614</v>
      </c>
      <c r="H460" s="30">
        <v>45069.0</v>
      </c>
      <c r="I460" s="30">
        <v>45434.0</v>
      </c>
      <c r="J460" s="31">
        <v>0.0</v>
      </c>
      <c r="K460" s="26" t="s">
        <v>427</v>
      </c>
      <c r="L460" s="32" t="s">
        <v>75</v>
      </c>
      <c r="M460" s="33">
        <v>23600.0</v>
      </c>
      <c r="N460" s="34">
        <v>25134.4</v>
      </c>
      <c r="O460" s="27" t="s">
        <v>76</v>
      </c>
      <c r="P460" s="35" t="s">
        <v>122</v>
      </c>
      <c r="Q460" s="35" t="s">
        <v>90</v>
      </c>
      <c r="R460" s="36" t="e">
        <v>#VALUE!</v>
      </c>
      <c r="S460" s="35" t="s">
        <v>86</v>
      </c>
      <c r="T460" s="35">
        <v>0.0</v>
      </c>
      <c r="U460" s="37" t="s">
        <v>67</v>
      </c>
      <c r="V460" s="38"/>
      <c r="W460" s="38"/>
      <c r="X460" s="27"/>
      <c r="Y460" s="39"/>
      <c r="Z460" s="79" t="s">
        <v>208</v>
      </c>
      <c r="AA460" s="39"/>
      <c r="AB460" s="40"/>
      <c r="AC460" s="27">
        <f t="shared" si="324"/>
        <v>0</v>
      </c>
      <c r="AD460" s="41">
        <f t="shared" ref="AD460:AD461" si="339">IF(AND(S460="0",O460="Paid"),M460*15%,0)</f>
        <v>3540</v>
      </c>
      <c r="AE460" s="42"/>
      <c r="AF460" s="27"/>
      <c r="AG460" s="43">
        <f t="shared" si="334"/>
        <v>6053.4</v>
      </c>
      <c r="AH460" s="29"/>
      <c r="AI460" s="29"/>
      <c r="AJ460" s="29"/>
      <c r="AK460" s="29"/>
      <c r="AL460" s="27"/>
      <c r="AM460" s="27"/>
      <c r="AN460" s="93"/>
      <c r="AO460" s="46"/>
      <c r="AP460" s="47"/>
      <c r="AQ460" s="43">
        <f t="shared" si="337"/>
        <v>6372</v>
      </c>
      <c r="AR460" s="43">
        <f t="shared" si="2"/>
        <v>318.6</v>
      </c>
      <c r="AS460" s="43">
        <f t="shared" si="3"/>
        <v>1115.1</v>
      </c>
      <c r="AT460" s="48">
        <f t="shared" si="4"/>
        <v>4938.3</v>
      </c>
      <c r="AU460" s="49">
        <f t="shared" si="338"/>
        <v>4938.3</v>
      </c>
      <c r="AV460" s="48"/>
      <c r="AW460" s="34">
        <f t="shared" si="325"/>
        <v>21594.4</v>
      </c>
      <c r="AX460" s="50">
        <f t="shared" si="248"/>
        <v>1398.3</v>
      </c>
      <c r="AY460" s="43"/>
      <c r="AZ460" s="43"/>
      <c r="BA460" s="48">
        <f t="shared" si="302"/>
        <v>4938.3</v>
      </c>
      <c r="BB460" s="27"/>
      <c r="BC460" s="27"/>
      <c r="BD460" s="51"/>
      <c r="BE460" s="52"/>
      <c r="BF460" s="27" t="s">
        <v>1616</v>
      </c>
      <c r="BG460" s="53">
        <v>0.0</v>
      </c>
      <c r="BH460" s="53" t="str">
        <f>'[1]2023'!Q596</f>
        <v>#REF!</v>
      </c>
      <c r="BI460" s="27"/>
      <c r="BJ460" s="27"/>
      <c r="BK460" s="27" t="s">
        <v>76</v>
      </c>
      <c r="BL460" s="27"/>
    </row>
    <row r="461" ht="14.25" customHeight="1">
      <c r="A461" s="26" t="s">
        <v>55</v>
      </c>
      <c r="B461" s="26" t="s">
        <v>56</v>
      </c>
      <c r="C461" s="26" t="s">
        <v>57</v>
      </c>
      <c r="D461" s="26" t="s">
        <v>81</v>
      </c>
      <c r="E461" s="27" t="s">
        <v>1618</v>
      </c>
      <c r="F461" s="28" t="s">
        <v>1619</v>
      </c>
      <c r="G461" s="29" t="s">
        <v>1614</v>
      </c>
      <c r="H461" s="30">
        <v>45069.0</v>
      </c>
      <c r="I461" s="30">
        <v>45434.0</v>
      </c>
      <c r="J461" s="31">
        <v>0.0</v>
      </c>
      <c r="K461" s="26" t="s">
        <v>427</v>
      </c>
      <c r="L461" s="89">
        <v>45118.0</v>
      </c>
      <c r="M461" s="33">
        <v>12390.0</v>
      </c>
      <c r="N461" s="34">
        <v>13263.01</v>
      </c>
      <c r="O461" s="27" t="s">
        <v>76</v>
      </c>
      <c r="P461" s="35" t="s">
        <v>142</v>
      </c>
      <c r="Q461" s="35" t="s">
        <v>90</v>
      </c>
      <c r="R461" s="36" t="e">
        <v>#VALUE!</v>
      </c>
      <c r="S461" s="35" t="s">
        <v>86</v>
      </c>
      <c r="T461" s="35">
        <v>0.0</v>
      </c>
      <c r="U461" s="37" t="s">
        <v>67</v>
      </c>
      <c r="V461" s="38"/>
      <c r="W461" s="38"/>
      <c r="X461" s="27"/>
      <c r="Y461" s="39"/>
      <c r="Z461" s="79" t="s">
        <v>232</v>
      </c>
      <c r="AA461" s="39"/>
      <c r="AB461" s="40"/>
      <c r="AC461" s="27">
        <f t="shared" si="324"/>
        <v>0</v>
      </c>
      <c r="AD461" s="41">
        <f t="shared" si="339"/>
        <v>1858.5</v>
      </c>
      <c r="AE461" s="42"/>
      <c r="AF461" s="27" t="s">
        <v>306</v>
      </c>
      <c r="AG461" s="43">
        <f t="shared" si="334"/>
        <v>3178.035</v>
      </c>
      <c r="AH461" s="29"/>
      <c r="AI461" s="29"/>
      <c r="AJ461" s="29"/>
      <c r="AK461" s="29"/>
      <c r="AL461" s="27"/>
      <c r="AM461" s="44"/>
      <c r="AN461" s="115"/>
      <c r="AO461" s="46"/>
      <c r="AP461" s="47"/>
      <c r="AQ461" s="43">
        <f t="shared" si="337"/>
        <v>3345.3</v>
      </c>
      <c r="AR461" s="43">
        <f t="shared" si="2"/>
        <v>167.265</v>
      </c>
      <c r="AS461" s="43">
        <f t="shared" si="3"/>
        <v>585.4275</v>
      </c>
      <c r="AT461" s="48">
        <f t="shared" si="4"/>
        <v>2592.6075</v>
      </c>
      <c r="AU461" s="49">
        <f t="shared" si="338"/>
        <v>2592.6075</v>
      </c>
      <c r="AV461" s="48"/>
      <c r="AW461" s="34">
        <f t="shared" si="325"/>
        <v>11404.51</v>
      </c>
      <c r="AX461" s="50">
        <f t="shared" si="248"/>
        <v>734.1075</v>
      </c>
      <c r="AY461" s="43"/>
      <c r="AZ461" s="43"/>
      <c r="BA461" s="48">
        <f t="shared" si="302"/>
        <v>2592.6075</v>
      </c>
      <c r="BB461" s="27"/>
      <c r="BC461" s="27"/>
      <c r="BD461" s="51"/>
      <c r="BE461" s="52"/>
      <c r="BF461" s="27" t="s">
        <v>1618</v>
      </c>
      <c r="BG461" s="53">
        <v>0.0</v>
      </c>
      <c r="BH461" s="53" t="str">
        <f>'[1]2023'!Q650</f>
        <v>#REF!</v>
      </c>
      <c r="BI461" s="27"/>
      <c r="BJ461" s="27"/>
      <c r="BK461" s="27" t="s">
        <v>76</v>
      </c>
      <c r="BL461" s="27"/>
    </row>
    <row r="462" ht="14.25" customHeight="1">
      <c r="A462" s="26" t="s">
        <v>111</v>
      </c>
      <c r="B462" s="26" t="s">
        <v>56</v>
      </c>
      <c r="C462" s="26" t="s">
        <v>57</v>
      </c>
      <c r="D462" s="26" t="s">
        <v>71</v>
      </c>
      <c r="E462" s="27" t="s">
        <v>1620</v>
      </c>
      <c r="F462" s="28" t="s">
        <v>1621</v>
      </c>
      <c r="G462" s="29" t="s">
        <v>1614</v>
      </c>
      <c r="H462" s="30">
        <v>45069.0</v>
      </c>
      <c r="I462" s="30">
        <v>45434.0</v>
      </c>
      <c r="J462" s="31" t="s">
        <v>1622</v>
      </c>
      <c r="K462" s="26" t="s">
        <v>427</v>
      </c>
      <c r="L462" s="73" t="s">
        <v>75</v>
      </c>
      <c r="M462" s="33">
        <v>18172.05</v>
      </c>
      <c r="N462" s="34">
        <v>19500.0</v>
      </c>
      <c r="O462" s="27" t="s">
        <v>76</v>
      </c>
      <c r="P462" s="35" t="s">
        <v>430</v>
      </c>
      <c r="Q462" s="35" t="s">
        <v>114</v>
      </c>
      <c r="R462" s="36" t="e">
        <v>#VALUE!</v>
      </c>
      <c r="S462" s="35" t="s">
        <v>78</v>
      </c>
      <c r="T462" s="54" t="s">
        <v>604</v>
      </c>
      <c r="U462" s="37" t="s">
        <v>115</v>
      </c>
      <c r="V462" s="38">
        <v>750000.0</v>
      </c>
      <c r="W462" s="38"/>
      <c r="X462" s="27"/>
      <c r="Y462" s="39"/>
      <c r="Z462" s="79" t="s">
        <v>1623</v>
      </c>
      <c r="AA462" s="39"/>
      <c r="AB462" s="40"/>
      <c r="AC462" s="27">
        <f t="shared" si="324"/>
        <v>0</v>
      </c>
      <c r="AD462" s="41"/>
      <c r="AE462" s="42"/>
      <c r="AF462" s="27"/>
      <c r="AG462" s="43">
        <f>IF(O462="Paid",IF(A462="Alwataniya",(M462*21%)-((M462*21%)*5%),IF((A462="GIG"),(M462*25%)-((M462*25%)*5%),IF((A462="Allianz"),(M462*27%)-((M462*27%)*20%),0))),0)</f>
        <v>4315.861875</v>
      </c>
      <c r="AH462" s="29">
        <v>45052.0</v>
      </c>
      <c r="AI462" s="105" t="s">
        <v>1588</v>
      </c>
      <c r="AJ462" s="40"/>
      <c r="AK462" s="98" t="s">
        <v>63</v>
      </c>
      <c r="AL462" s="27"/>
      <c r="AM462" s="27"/>
      <c r="AN462" s="63"/>
      <c r="AO462" s="46">
        <f>M462*15%</f>
        <v>2725.8075</v>
      </c>
      <c r="AP462" s="57">
        <v>45052.0</v>
      </c>
      <c r="AQ462" s="43">
        <f t="shared" si="337"/>
        <v>4543.0125</v>
      </c>
      <c r="AR462" s="43">
        <f t="shared" si="2"/>
        <v>227.150625</v>
      </c>
      <c r="AS462" s="43">
        <f t="shared" si="3"/>
        <v>795.0271875</v>
      </c>
      <c r="AT462" s="48">
        <f t="shared" si="4"/>
        <v>3520.834688</v>
      </c>
      <c r="AU462" s="49">
        <f t="shared" si="338"/>
        <v>3520.834688</v>
      </c>
      <c r="AV462" s="48"/>
      <c r="AW462" s="34">
        <f t="shared" si="325"/>
        <v>19500</v>
      </c>
      <c r="AX462" s="50">
        <f t="shared" si="248"/>
        <v>795.0271875</v>
      </c>
      <c r="AY462" s="43"/>
      <c r="AZ462" s="43"/>
      <c r="BA462" s="48">
        <f t="shared" si="302"/>
        <v>795.0271875</v>
      </c>
      <c r="BB462" s="27"/>
      <c r="BC462" s="27"/>
      <c r="BD462" s="51"/>
      <c r="BE462" s="52"/>
      <c r="BF462" s="27" t="s">
        <v>1620</v>
      </c>
      <c r="BG462" s="58" t="s">
        <v>1624</v>
      </c>
      <c r="BH462" s="53" t="str">
        <f>'[1]2023'!Q702</f>
        <v>#REF!</v>
      </c>
      <c r="BI462" s="27"/>
      <c r="BJ462" s="27"/>
      <c r="BK462" s="27" t="s">
        <v>76</v>
      </c>
      <c r="BL462" s="27"/>
    </row>
    <row r="463" ht="14.25" customHeight="1">
      <c r="A463" s="26" t="s">
        <v>68</v>
      </c>
      <c r="B463" s="26" t="s">
        <v>56</v>
      </c>
      <c r="C463" s="26" t="s">
        <v>57</v>
      </c>
      <c r="D463" s="26" t="s">
        <v>71</v>
      </c>
      <c r="E463" s="27" t="s">
        <v>1625</v>
      </c>
      <c r="F463" s="28" t="s">
        <v>1626</v>
      </c>
      <c r="G463" s="29" t="s">
        <v>1614</v>
      </c>
      <c r="H463" s="30">
        <v>45069.0</v>
      </c>
      <c r="I463" s="30">
        <v>45434.0</v>
      </c>
      <c r="J463" s="31" t="s">
        <v>1627</v>
      </c>
      <c r="K463" s="26" t="s">
        <v>427</v>
      </c>
      <c r="L463" s="102">
        <v>45144.0</v>
      </c>
      <c r="M463" s="33">
        <v>16892.06</v>
      </c>
      <c r="N463" s="34">
        <v>18000.0</v>
      </c>
      <c r="O463" s="27" t="s">
        <v>76</v>
      </c>
      <c r="P463" s="35" t="s">
        <v>142</v>
      </c>
      <c r="Q463" s="35" t="s">
        <v>90</v>
      </c>
      <c r="R463" s="36" t="e">
        <v>#VALUE!</v>
      </c>
      <c r="S463" s="35" t="s">
        <v>78</v>
      </c>
      <c r="T463" s="54" t="s">
        <v>456</v>
      </c>
      <c r="U463" s="37" t="s">
        <v>68</v>
      </c>
      <c r="V463" s="38">
        <v>800000.0</v>
      </c>
      <c r="W463" s="38"/>
      <c r="X463" s="27"/>
      <c r="Y463" s="39"/>
      <c r="Z463" s="39" t="s">
        <v>1628</v>
      </c>
      <c r="AA463" s="39"/>
      <c r="AB463" s="40"/>
      <c r="AC463" s="27">
        <f t="shared" si="324"/>
        <v>0</v>
      </c>
      <c r="AD463" s="41">
        <f>(M463*15%)-AC463</f>
        <v>2533.809</v>
      </c>
      <c r="AE463" s="42">
        <v>400.0</v>
      </c>
      <c r="AF463" s="29">
        <v>44932.0</v>
      </c>
      <c r="AG463" s="43">
        <f>IF(O463="Paid",IF(A463="Wethaq",(M463*26%)-((M463*26%)*5%)))</f>
        <v>4172.33882</v>
      </c>
      <c r="AH463" s="29" t="s">
        <v>902</v>
      </c>
      <c r="AI463" s="29" t="s">
        <v>721</v>
      </c>
      <c r="AJ463" s="97">
        <v>0.26</v>
      </c>
      <c r="AK463" s="75" t="s">
        <v>306</v>
      </c>
      <c r="AL463" s="144"/>
      <c r="AM463" s="44"/>
      <c r="AN463" s="45"/>
      <c r="AO463" s="46"/>
      <c r="AP463" s="92">
        <v>44932.0</v>
      </c>
      <c r="AQ463" s="43">
        <f>M463*AJ463</f>
        <v>4391.9356</v>
      </c>
      <c r="AR463" s="43">
        <f t="shared" si="2"/>
        <v>219.59678</v>
      </c>
      <c r="AS463" s="43">
        <f t="shared" si="3"/>
        <v>768.58873</v>
      </c>
      <c r="AT463" s="48">
        <f t="shared" si="4"/>
        <v>3403.75009</v>
      </c>
      <c r="AU463" s="49">
        <f t="shared" si="338"/>
        <v>3403.75009</v>
      </c>
      <c r="AV463" s="48"/>
      <c r="AW463" s="27">
        <v>15460.0</v>
      </c>
      <c r="AX463" s="50">
        <f t="shared" si="248"/>
        <v>469.94109</v>
      </c>
      <c r="AY463" s="107"/>
      <c r="AZ463" s="43">
        <f>IF(AJ463&lt;28%,M463*(28%-AJ463)-((M463*(28%-AJ463))*5%),0)</f>
        <v>320.94914</v>
      </c>
      <c r="BA463" s="48">
        <f t="shared" si="302"/>
        <v>3403.75009</v>
      </c>
      <c r="BB463" s="27"/>
      <c r="BC463" s="27"/>
      <c r="BD463" s="51"/>
      <c r="BE463" s="52"/>
      <c r="BF463" s="27" t="s">
        <v>1625</v>
      </c>
      <c r="BG463" s="58" t="s">
        <v>456</v>
      </c>
      <c r="BH463" s="53" t="str">
        <f t="shared" ref="BH463:BH464" si="340">'[1]2023'!Q705</f>
        <v>#REF!</v>
      </c>
      <c r="BI463" s="27"/>
      <c r="BJ463" s="27"/>
      <c r="BK463" s="27" t="s">
        <v>76</v>
      </c>
      <c r="BL463" s="64" t="s">
        <v>1629</v>
      </c>
    </row>
    <row r="464" ht="14.25" customHeight="1">
      <c r="A464" s="26" t="s">
        <v>111</v>
      </c>
      <c r="B464" s="26" t="s">
        <v>56</v>
      </c>
      <c r="C464" s="26" t="s">
        <v>57</v>
      </c>
      <c r="D464" s="26" t="s">
        <v>71</v>
      </c>
      <c r="E464" s="27" t="s">
        <v>1630</v>
      </c>
      <c r="F464" s="28" t="s">
        <v>1631</v>
      </c>
      <c r="G464" s="29" t="s">
        <v>1614</v>
      </c>
      <c r="H464" s="30">
        <v>45069.0</v>
      </c>
      <c r="I464" s="30">
        <v>45434.0</v>
      </c>
      <c r="J464" s="31" t="s">
        <v>1586</v>
      </c>
      <c r="K464" s="26" t="s">
        <v>427</v>
      </c>
      <c r="L464" s="32" t="s">
        <v>75</v>
      </c>
      <c r="M464" s="33">
        <v>10169.22</v>
      </c>
      <c r="N464" s="34">
        <v>11025.0</v>
      </c>
      <c r="O464" s="27" t="s">
        <v>76</v>
      </c>
      <c r="P464" s="35" t="s">
        <v>430</v>
      </c>
      <c r="Q464" s="35" t="s">
        <v>114</v>
      </c>
      <c r="R464" s="36" t="e">
        <v>#VALUE!</v>
      </c>
      <c r="S464" s="35" t="s">
        <v>66</v>
      </c>
      <c r="T464" s="35">
        <v>0.0</v>
      </c>
      <c r="U464" s="37" t="s">
        <v>149</v>
      </c>
      <c r="V464" s="38">
        <v>350000.0</v>
      </c>
      <c r="W464" s="38"/>
      <c r="X464" s="27"/>
      <c r="Y464" s="39"/>
      <c r="Z464" s="79" t="s">
        <v>1632</v>
      </c>
      <c r="AA464" s="39"/>
      <c r="AB464" s="40"/>
      <c r="AC464" s="27">
        <f t="shared" si="324"/>
        <v>0</v>
      </c>
      <c r="AD464" s="41">
        <f>IF(AND(S464="0",O464="Paid"),(M464*15%)-AC464,0)</f>
        <v>0</v>
      </c>
      <c r="AE464" s="42"/>
      <c r="AF464" s="27"/>
      <c r="AG464" s="43">
        <f>IF(AND(O464="Paid",A464="GIG"),((M464*15%)-(((M464*15%)*5%))),0)</f>
        <v>1449.11385</v>
      </c>
      <c r="AH464" s="29">
        <v>45052.0</v>
      </c>
      <c r="AI464" s="105" t="s">
        <v>1588</v>
      </c>
      <c r="AJ464" s="40"/>
      <c r="AK464" s="62" t="s">
        <v>63</v>
      </c>
      <c r="AL464" s="27"/>
      <c r="AM464" s="121">
        <f>((M464*15%)-((M464*15%)*22.5%))*30%</f>
        <v>354.6515475</v>
      </c>
      <c r="AN464" s="122" t="s">
        <v>1038</v>
      </c>
      <c r="AO464" s="76"/>
      <c r="AP464" s="47"/>
      <c r="AQ464" s="43">
        <f>IF(U464="Motor Plus",(M464*27%),IF(U464="Motor One",(M464*22%),(IF(U464="Golden",(M464*25%),(IF(U464="Classic",(M464*15%),(IF(U464="Wethaq",(M464*28%),IF(U464="Alwataniya",(M464*21%))*0))))))))</f>
        <v>1525.383</v>
      </c>
      <c r="AR464" s="43">
        <f t="shared" si="2"/>
        <v>76.26915</v>
      </c>
      <c r="AS464" s="43">
        <f t="shared" si="3"/>
        <v>266.942025</v>
      </c>
      <c r="AT464" s="48">
        <f t="shared" si="4"/>
        <v>1182.171825</v>
      </c>
      <c r="AU464" s="49">
        <f t="shared" si="338"/>
        <v>1182.171825</v>
      </c>
      <c r="AV464" s="48"/>
      <c r="AW464" s="34">
        <f t="shared" ref="AW464:AW598" si="341">N464-AD464-AE464-AC464</f>
        <v>11025</v>
      </c>
      <c r="AX464" s="50">
        <f t="shared" si="248"/>
        <v>827.5202775</v>
      </c>
      <c r="AY464" s="43"/>
      <c r="AZ464" s="43"/>
      <c r="BA464" s="48">
        <f t="shared" si="302"/>
        <v>827.5202775</v>
      </c>
      <c r="BB464" s="27"/>
      <c r="BC464" s="27"/>
      <c r="BD464" s="51"/>
      <c r="BE464" s="52" t="s">
        <v>440</v>
      </c>
      <c r="BF464" s="27" t="s">
        <v>1633</v>
      </c>
      <c r="BG464" s="53">
        <v>0.0</v>
      </c>
      <c r="BH464" s="53" t="str">
        <f t="shared" si="340"/>
        <v>#REF!</v>
      </c>
      <c r="BI464" s="27"/>
      <c r="BJ464" s="27"/>
      <c r="BK464" s="27" t="s">
        <v>76</v>
      </c>
      <c r="BL464" s="27"/>
    </row>
    <row r="465" ht="14.25" customHeight="1">
      <c r="A465" s="26" t="s">
        <v>1634</v>
      </c>
      <c r="B465" s="26" t="s">
        <v>1185</v>
      </c>
      <c r="C465" s="26" t="s">
        <v>70</v>
      </c>
      <c r="D465" s="26" t="s">
        <v>71</v>
      </c>
      <c r="E465" s="27" t="s">
        <v>1635</v>
      </c>
      <c r="F465" s="28" t="s">
        <v>1636</v>
      </c>
      <c r="G465" s="29" t="s">
        <v>1614</v>
      </c>
      <c r="H465" s="30">
        <v>45069.0</v>
      </c>
      <c r="I465" s="30">
        <v>45434.0</v>
      </c>
      <c r="J465" s="31">
        <v>0.0</v>
      </c>
      <c r="K465" s="26" t="s">
        <v>427</v>
      </c>
      <c r="L465" s="73" t="s">
        <v>1637</v>
      </c>
      <c r="M465" s="33">
        <v>21770.0</v>
      </c>
      <c r="N465" s="34">
        <v>21770.0</v>
      </c>
      <c r="O465" s="27" t="s">
        <v>76</v>
      </c>
      <c r="P465" s="35" t="s">
        <v>77</v>
      </c>
      <c r="Q465" s="35">
        <v>0.0</v>
      </c>
      <c r="R465" s="36" t="e">
        <v>#VALUE!</v>
      </c>
      <c r="S465" s="35" t="s">
        <v>78</v>
      </c>
      <c r="T465" s="54" t="s">
        <v>79</v>
      </c>
      <c r="U465" s="37" t="s">
        <v>1185</v>
      </c>
      <c r="V465" s="38"/>
      <c r="W465" s="38"/>
      <c r="X465" s="27"/>
      <c r="Y465" s="39"/>
      <c r="Z465" s="39"/>
      <c r="AA465" s="39"/>
      <c r="AB465" s="40"/>
      <c r="AC465" s="27">
        <f t="shared" si="324"/>
        <v>0</v>
      </c>
      <c r="AD465" s="41"/>
      <c r="AE465" s="42"/>
      <c r="AF465" s="27"/>
      <c r="AG465" s="43">
        <f>IF(O465="Paid",IF(A465="Egyptian",(M465*16.5%)-((M465*16.5%)*5%)))</f>
        <v>3412.4475</v>
      </c>
      <c r="AH465" s="29" t="s">
        <v>1107</v>
      </c>
      <c r="AI465" s="29"/>
      <c r="AJ465" s="145">
        <v>0.165</v>
      </c>
      <c r="AK465" s="29">
        <v>45115.0</v>
      </c>
      <c r="AL465" s="27"/>
      <c r="AM465" s="27"/>
      <c r="AN465" s="56"/>
      <c r="AO465" s="46">
        <f>((M465*AJ465)-((M465*AJ465)*22.5%))*80%</f>
        <v>2227.071</v>
      </c>
      <c r="AP465" s="57">
        <v>45177.0</v>
      </c>
      <c r="AQ465" s="43">
        <f>M465*AJ465</f>
        <v>3592.05</v>
      </c>
      <c r="AR465" s="43">
        <f t="shared" si="2"/>
        <v>179.6025</v>
      </c>
      <c r="AS465" s="43">
        <f t="shared" si="3"/>
        <v>628.60875</v>
      </c>
      <c r="AT465" s="48">
        <f t="shared" si="4"/>
        <v>2783.83875</v>
      </c>
      <c r="AU465" s="49">
        <f t="shared" si="338"/>
        <v>2783.83875</v>
      </c>
      <c r="AV465" s="48"/>
      <c r="AW465" s="34">
        <f t="shared" si="341"/>
        <v>21770</v>
      </c>
      <c r="AX465" s="50">
        <f t="shared" si="248"/>
        <v>556.76775</v>
      </c>
      <c r="AY465" s="43"/>
      <c r="AZ465" s="43"/>
      <c r="BA465" s="48" t="str">
        <f>IF(S465&lt;&gt;0,AU465-#REF!-AM465,(AG465-AD465-AE465-AS465))</f>
        <v>#REF!</v>
      </c>
      <c r="BB465" s="27"/>
      <c r="BC465" s="27"/>
      <c r="BD465" s="51"/>
      <c r="BE465" s="52"/>
      <c r="BF465" s="27" t="s">
        <v>1638</v>
      </c>
      <c r="BG465" s="58" t="s">
        <v>1639</v>
      </c>
      <c r="BH465" s="53" t="str">
        <f>'[1]2023'!Q718</f>
        <v>#REF!</v>
      </c>
      <c r="BI465" s="27"/>
      <c r="BJ465" s="27"/>
      <c r="BK465" s="27" t="s">
        <v>76</v>
      </c>
      <c r="BL465" s="64" t="s">
        <v>1640</v>
      </c>
    </row>
    <row r="466" ht="14.25" customHeight="1">
      <c r="A466" s="26" t="s">
        <v>111</v>
      </c>
      <c r="B466" s="26" t="s">
        <v>56</v>
      </c>
      <c r="C466" s="26" t="s">
        <v>57</v>
      </c>
      <c r="D466" s="26" t="s">
        <v>71</v>
      </c>
      <c r="E466" s="27" t="s">
        <v>1641</v>
      </c>
      <c r="F466" s="28" t="s">
        <v>1642</v>
      </c>
      <c r="G466" s="29" t="s">
        <v>1614</v>
      </c>
      <c r="H466" s="30">
        <v>45069.0</v>
      </c>
      <c r="I466" s="30">
        <v>45434.0</v>
      </c>
      <c r="J466" s="31">
        <v>1.003674E9</v>
      </c>
      <c r="K466" s="26" t="s">
        <v>427</v>
      </c>
      <c r="L466" s="73" t="s">
        <v>75</v>
      </c>
      <c r="M466" s="33">
        <v>45000.0</v>
      </c>
      <c r="N466" s="34">
        <v>47911.0</v>
      </c>
      <c r="O466" s="27" t="s">
        <v>76</v>
      </c>
      <c r="P466" s="35" t="s">
        <v>89</v>
      </c>
      <c r="Q466" s="35" t="s">
        <v>114</v>
      </c>
      <c r="R466" s="36" t="e">
        <v>#VALUE!</v>
      </c>
      <c r="S466" s="35" t="s">
        <v>66</v>
      </c>
      <c r="T466" s="35">
        <v>0.0</v>
      </c>
      <c r="U466" s="37" t="s">
        <v>149</v>
      </c>
      <c r="V466" s="38">
        <v>2000000.0</v>
      </c>
      <c r="W466" s="38"/>
      <c r="X466" s="27"/>
      <c r="Y466" s="39"/>
      <c r="Z466" s="79" t="s">
        <v>1401</v>
      </c>
      <c r="AA466" s="39"/>
      <c r="AB466" s="40"/>
      <c r="AC466" s="27">
        <f t="shared" si="324"/>
        <v>0</v>
      </c>
      <c r="AD466" s="41">
        <f t="shared" ref="AD466:AD468" si="342">IF(AND(S466="0",O466="Paid"),(M466*15%)-AC466,0)</f>
        <v>0</v>
      </c>
      <c r="AE466" s="42"/>
      <c r="AF466" s="27"/>
      <c r="AG466" s="43">
        <f>IF(AND(O466="Paid",A466="GIG"),((M466*15%)-(((M466*15%)*5%))),0)</f>
        <v>6412.5</v>
      </c>
      <c r="AH466" s="29" t="s">
        <v>951</v>
      </c>
      <c r="AI466" s="61" t="s">
        <v>434</v>
      </c>
      <c r="AJ466" s="40"/>
      <c r="AK466" s="98" t="s">
        <v>63</v>
      </c>
      <c r="AL466" s="27"/>
      <c r="AM466" s="44">
        <f>((M466*15%)-((M466*15%)*22.5%))*30%</f>
        <v>1569.375</v>
      </c>
      <c r="AN466" s="146" t="s">
        <v>1038</v>
      </c>
      <c r="AO466" s="46"/>
      <c r="AP466" s="47"/>
      <c r="AQ466" s="43">
        <f>IF(U466="Motor Plus",(M466*27%),IF(U466="Motor One",(M466*22%),(IF(U466="Golden",(M466*25%),(IF(U466="Classic",(M466*15%),(IF(U466="Wethaq",(M466*28%),IF(U466="Alwataniya",(M466*21%))*0))))))))</f>
        <v>6750</v>
      </c>
      <c r="AR466" s="43">
        <f t="shared" si="2"/>
        <v>337.5</v>
      </c>
      <c r="AS466" s="43">
        <f t="shared" si="3"/>
        <v>1181.25</v>
      </c>
      <c r="AT466" s="48">
        <f t="shared" si="4"/>
        <v>5231.25</v>
      </c>
      <c r="AU466" s="49">
        <f t="shared" si="338"/>
        <v>5231.25</v>
      </c>
      <c r="AV466" s="48"/>
      <c r="AW466" s="34">
        <f t="shared" si="341"/>
        <v>47911</v>
      </c>
      <c r="AX466" s="50">
        <f t="shared" si="248"/>
        <v>3661.875</v>
      </c>
      <c r="AY466" s="43"/>
      <c r="AZ466" s="43"/>
      <c r="BA466" s="48">
        <f t="shared" ref="BA466:BA479" si="343">IF(S466&lt;&gt;0,AU466-AO466-AM466,(AG466-AD466-AE466-AS466))</f>
        <v>3661.875</v>
      </c>
      <c r="BB466" s="27"/>
      <c r="BC466" s="27"/>
      <c r="BD466" s="51"/>
      <c r="BE466" s="52" t="s">
        <v>440</v>
      </c>
      <c r="BF466" s="27" t="s">
        <v>1641</v>
      </c>
      <c r="BG466" s="53">
        <v>0.0</v>
      </c>
      <c r="BH466" s="53" t="str">
        <f>'[1]2023'!Q723</f>
        <v>#REF!</v>
      </c>
      <c r="BI466" s="27"/>
      <c r="BJ466" s="27"/>
      <c r="BK466" s="27" t="s">
        <v>76</v>
      </c>
      <c r="BL466" s="27"/>
    </row>
    <row r="467" ht="14.25" customHeight="1">
      <c r="A467" s="26" t="s">
        <v>111</v>
      </c>
      <c r="B467" s="26" t="s">
        <v>56</v>
      </c>
      <c r="C467" s="26" t="s">
        <v>57</v>
      </c>
      <c r="D467" s="26" t="s">
        <v>71</v>
      </c>
      <c r="E467" s="27" t="s">
        <v>1643</v>
      </c>
      <c r="F467" s="28" t="s">
        <v>1644</v>
      </c>
      <c r="G467" s="29" t="s">
        <v>1614</v>
      </c>
      <c r="H467" s="30">
        <v>45069.0</v>
      </c>
      <c r="I467" s="30">
        <v>45434.0</v>
      </c>
      <c r="J467" s="31" t="s">
        <v>1645</v>
      </c>
      <c r="K467" s="26" t="s">
        <v>427</v>
      </c>
      <c r="L467" s="32" t="s">
        <v>75</v>
      </c>
      <c r="M467" s="33">
        <v>24309.92</v>
      </c>
      <c r="N467" s="34">
        <v>26000.0</v>
      </c>
      <c r="O467" s="27" t="s">
        <v>76</v>
      </c>
      <c r="P467" s="35" t="s">
        <v>89</v>
      </c>
      <c r="Q467" s="35" t="s">
        <v>114</v>
      </c>
      <c r="R467" s="36" t="e">
        <v>#VALUE!</v>
      </c>
      <c r="S467" s="35" t="s">
        <v>1103</v>
      </c>
      <c r="T467" s="35">
        <v>0.0</v>
      </c>
      <c r="U467" s="37" t="s">
        <v>115</v>
      </c>
      <c r="V467" s="38">
        <v>1000000.0</v>
      </c>
      <c r="W467" s="38"/>
      <c r="X467" s="27"/>
      <c r="Y467" s="39"/>
      <c r="Z467" s="79" t="s">
        <v>1646</v>
      </c>
      <c r="AA467" s="39"/>
      <c r="AB467" s="40"/>
      <c r="AC467" s="27">
        <f t="shared" si="324"/>
        <v>0</v>
      </c>
      <c r="AD467" s="41">
        <f t="shared" si="342"/>
        <v>0</v>
      </c>
      <c r="AE467" s="42"/>
      <c r="AF467" s="27"/>
      <c r="AG467" s="43">
        <f t="shared" ref="AG467:AG468" si="344">IF(O467="Paid",IF(A467="Alwataniya",(M467*21%)-((M467*21%)*5%),IF((A467="GIG"),(M467*25%)-((M467*25%)*5%),IF((A467="Allianz"),(M467*27%)-((M467*27%)*20%),0))),0)</f>
        <v>5773.606</v>
      </c>
      <c r="AH467" s="29" t="s">
        <v>1647</v>
      </c>
      <c r="AI467" s="61" t="s">
        <v>1648</v>
      </c>
      <c r="AJ467" s="40"/>
      <c r="AK467" s="62" t="s">
        <v>63</v>
      </c>
      <c r="AL467" s="27"/>
      <c r="AM467" s="49">
        <f>(AQ467-AR467-AS467)*10%</f>
        <v>471.0047</v>
      </c>
      <c r="AN467" s="139">
        <v>45083.0</v>
      </c>
      <c r="AO467" s="46">
        <v>0.0</v>
      </c>
      <c r="AP467" s="47"/>
      <c r="AQ467" s="43">
        <f t="shared" ref="AQ467:AQ468" si="345">M467*25%</f>
        <v>6077.48</v>
      </c>
      <c r="AR467" s="43">
        <f t="shared" si="2"/>
        <v>303.874</v>
      </c>
      <c r="AS467" s="43">
        <f t="shared" si="3"/>
        <v>1063.559</v>
      </c>
      <c r="AT467" s="48">
        <f t="shared" si="4"/>
        <v>4710.047</v>
      </c>
      <c r="AU467" s="48">
        <f>AQ467-AR467-AS467</f>
        <v>4710.047</v>
      </c>
      <c r="AV467" s="106">
        <f t="shared" ref="AV467:AV468" si="346">BA467*10%</f>
        <v>423.90423</v>
      </c>
      <c r="AW467" s="34">
        <f t="shared" si="341"/>
        <v>26000</v>
      </c>
      <c r="AX467" s="50">
        <f t="shared" si="248"/>
        <v>3815.13807</v>
      </c>
      <c r="AY467" s="43"/>
      <c r="AZ467" s="43"/>
      <c r="BA467" s="48">
        <f t="shared" si="343"/>
        <v>4239.0423</v>
      </c>
      <c r="BB467" s="27"/>
      <c r="BC467" s="27"/>
      <c r="BD467" s="51"/>
      <c r="BE467" s="52"/>
      <c r="BF467" s="27" t="s">
        <v>1643</v>
      </c>
      <c r="BG467" s="53">
        <v>0.0</v>
      </c>
      <c r="BH467" s="53" t="str">
        <f>'[1]2023'!Q727</f>
        <v>#REF!</v>
      </c>
      <c r="BI467" s="27"/>
      <c r="BJ467" s="27"/>
      <c r="BK467" s="27" t="s">
        <v>76</v>
      </c>
      <c r="BL467" s="27"/>
    </row>
    <row r="468" ht="14.25" customHeight="1">
      <c r="A468" s="26" t="s">
        <v>111</v>
      </c>
      <c r="B468" s="26" t="s">
        <v>56</v>
      </c>
      <c r="C468" s="26" t="s">
        <v>57</v>
      </c>
      <c r="D468" s="26" t="s">
        <v>71</v>
      </c>
      <c r="E468" s="27" t="s">
        <v>1649</v>
      </c>
      <c r="F468" s="28" t="s">
        <v>1650</v>
      </c>
      <c r="G468" s="29" t="s">
        <v>1614</v>
      </c>
      <c r="H468" s="30">
        <v>45069.0</v>
      </c>
      <c r="I468" s="30">
        <v>45434.0</v>
      </c>
      <c r="J468" s="31">
        <v>1.223105999E9</v>
      </c>
      <c r="K468" s="26" t="s">
        <v>440</v>
      </c>
      <c r="L468" s="73" t="s">
        <v>75</v>
      </c>
      <c r="M468" s="33">
        <v>27992.63</v>
      </c>
      <c r="N468" s="34">
        <v>29900.0</v>
      </c>
      <c r="O468" s="27" t="s">
        <v>76</v>
      </c>
      <c r="P468" s="35" t="s">
        <v>89</v>
      </c>
      <c r="Q468" s="35" t="s">
        <v>114</v>
      </c>
      <c r="R468" s="36" t="e">
        <v>#VALUE!</v>
      </c>
      <c r="S468" s="35" t="s">
        <v>1103</v>
      </c>
      <c r="T468" s="35">
        <v>0.0</v>
      </c>
      <c r="U468" s="37" t="s">
        <v>115</v>
      </c>
      <c r="V468" s="38">
        <v>1150000.0</v>
      </c>
      <c r="W468" s="38"/>
      <c r="X468" s="27"/>
      <c r="Y468" s="39"/>
      <c r="Z468" s="79" t="s">
        <v>1651</v>
      </c>
      <c r="AA468" s="39"/>
      <c r="AB468" s="40">
        <v>0.0536</v>
      </c>
      <c r="AC468" s="27">
        <f t="shared" si="324"/>
        <v>1500.404968</v>
      </c>
      <c r="AD468" s="41">
        <f t="shared" si="342"/>
        <v>0</v>
      </c>
      <c r="AE468" s="42"/>
      <c r="AF468" s="27"/>
      <c r="AG468" s="43">
        <f t="shared" si="344"/>
        <v>6648.249625</v>
      </c>
      <c r="AH468" s="147">
        <v>45144.0</v>
      </c>
      <c r="AI468" s="105" t="s">
        <v>1273</v>
      </c>
      <c r="AJ468" s="40"/>
      <c r="AK468" s="98" t="s">
        <v>63</v>
      </c>
      <c r="AL468" s="27"/>
      <c r="AM468" s="68">
        <f>AU468*10%</f>
        <v>392.3167095</v>
      </c>
      <c r="AN468" s="68" t="s">
        <v>75</v>
      </c>
      <c r="AO468" s="46">
        <v>0.0</v>
      </c>
      <c r="AP468" s="47"/>
      <c r="AQ468" s="43">
        <f t="shared" si="345"/>
        <v>6998.1575</v>
      </c>
      <c r="AR468" s="43">
        <f t="shared" si="2"/>
        <v>349.907875</v>
      </c>
      <c r="AS468" s="43">
        <f t="shared" si="3"/>
        <v>1224.677563</v>
      </c>
      <c r="AT468" s="48">
        <f t="shared" si="4"/>
        <v>5423.572063</v>
      </c>
      <c r="AU468" s="43">
        <f t="shared" ref="AU468:AU469" si="347">AQ468-AR468-AS468-AC468</f>
        <v>3923.167095</v>
      </c>
      <c r="AV468" s="148">
        <f t="shared" si="346"/>
        <v>353.0850385</v>
      </c>
      <c r="AW468" s="34">
        <f t="shared" si="341"/>
        <v>28399.59503</v>
      </c>
      <c r="AX468" s="50">
        <f t="shared" si="248"/>
        <v>4678.170315</v>
      </c>
      <c r="AY468" s="43">
        <f>AG468-(AG468*22.5%)</f>
        <v>5152.393459</v>
      </c>
      <c r="AZ468" s="43"/>
      <c r="BA468" s="48">
        <f t="shared" si="343"/>
        <v>3530.850385</v>
      </c>
      <c r="BB468" s="27"/>
      <c r="BC468" s="27"/>
      <c r="BD468" s="51">
        <v>2.0</v>
      </c>
      <c r="BE468" s="52" t="s">
        <v>440</v>
      </c>
      <c r="BF468" s="27" t="s">
        <v>1649</v>
      </c>
      <c r="BG468" s="53">
        <v>0.0</v>
      </c>
      <c r="BH468" s="53" t="str">
        <f>'[1]2023'!Q766</f>
        <v>#REF!</v>
      </c>
      <c r="BI468" s="27"/>
      <c r="BJ468" s="27"/>
      <c r="BK468" s="27" t="s">
        <v>76</v>
      </c>
      <c r="BL468" s="27"/>
    </row>
    <row r="469" ht="14.25" customHeight="1">
      <c r="A469" s="26" t="s">
        <v>55</v>
      </c>
      <c r="B469" s="26" t="s">
        <v>56</v>
      </c>
      <c r="C469" s="26" t="s">
        <v>57</v>
      </c>
      <c r="D469" s="26" t="s">
        <v>58</v>
      </c>
      <c r="E469" s="27" t="s">
        <v>1652</v>
      </c>
      <c r="F469" s="28" t="s">
        <v>1653</v>
      </c>
      <c r="G469" s="29" t="s">
        <v>1614</v>
      </c>
      <c r="H469" s="30">
        <v>45069.0</v>
      </c>
      <c r="I469" s="30">
        <v>45434.0</v>
      </c>
      <c r="J469" s="31" t="s">
        <v>797</v>
      </c>
      <c r="K469" s="26" t="s">
        <v>427</v>
      </c>
      <c r="L469" s="32" t="s">
        <v>75</v>
      </c>
      <c r="M469" s="33">
        <v>2996.87</v>
      </c>
      <c r="N469" s="34">
        <v>3173.68</v>
      </c>
      <c r="O469" s="27" t="s">
        <v>76</v>
      </c>
      <c r="P469" s="35" t="s">
        <v>430</v>
      </c>
      <c r="Q469" s="35">
        <v>0.0</v>
      </c>
      <c r="R469" s="36" t="e">
        <v>#VALUE!</v>
      </c>
      <c r="S469" s="35" t="s">
        <v>231</v>
      </c>
      <c r="T469" s="35">
        <v>0.0</v>
      </c>
      <c r="U469" s="37" t="s">
        <v>67</v>
      </c>
      <c r="V469" s="38"/>
      <c r="W469" s="38"/>
      <c r="X469" s="27"/>
      <c r="Y469" s="39"/>
      <c r="Z469" s="39"/>
      <c r="AA469" s="39"/>
      <c r="AB469" s="40"/>
      <c r="AC469" s="27">
        <f t="shared" si="324"/>
        <v>0</v>
      </c>
      <c r="AD469" s="41">
        <f>IF(AND(S469="0",O469="Paid"),M469*15%,0)</f>
        <v>0</v>
      </c>
      <c r="AE469" s="42"/>
      <c r="AF469" s="27"/>
      <c r="AG469" s="43">
        <f>IF(O469="Paid",IF(A469="Alwataniya",(M469*21%)-((M469*21%)*5%),IF((A469="GIG"),(M469*25%)-((M469*25%)*5%),IF((A469="Allianz"),(M469*27%)-((M469*27%)*5%),0))),0)</f>
        <v>768.697155</v>
      </c>
      <c r="AH469" s="29"/>
      <c r="AI469" s="29"/>
      <c r="AJ469" s="29"/>
      <c r="AK469" s="29"/>
      <c r="AL469" s="27"/>
      <c r="AM469" s="44">
        <f>IF((BD469&lt;=2),AU469*10%,(IF((BD469&lt;=3),AU469*20%,IF((BD469&lt;=4),AU469*20%,IF((BD469&gt;=5),AU469*30%,0)))))</f>
        <v>62.70950475</v>
      </c>
      <c r="AN469" s="45"/>
      <c r="AO469" s="46">
        <f>M469*15%</f>
        <v>449.5305</v>
      </c>
      <c r="AP469" s="57">
        <v>45086.0</v>
      </c>
      <c r="AQ469" s="43">
        <f>IF(U469="Motor Plus",(M469*27%),IF(U469="Motor One",(M469*22%),(IF(U469="Golden",(M469*25%),(IF(U469="Classic",(M469*15%),(IF(U469="Wethaq",(M469*28%),IF(U469="Alwataniya",(M469*21%))*0))))))))</f>
        <v>809.1549</v>
      </c>
      <c r="AR469" s="43">
        <f t="shared" si="2"/>
        <v>40.457745</v>
      </c>
      <c r="AS469" s="43">
        <f t="shared" si="3"/>
        <v>141.6021075</v>
      </c>
      <c r="AT469" s="48">
        <f t="shared" si="4"/>
        <v>627.0950475</v>
      </c>
      <c r="AU469" s="49">
        <f t="shared" si="347"/>
        <v>627.0950475</v>
      </c>
      <c r="AV469" s="48"/>
      <c r="AW469" s="34">
        <f t="shared" si="341"/>
        <v>3173.68</v>
      </c>
      <c r="AX469" s="50">
        <f t="shared" si="248"/>
        <v>114.8550428</v>
      </c>
      <c r="AY469" s="43"/>
      <c r="AZ469" s="43"/>
      <c r="BA469" s="48">
        <f t="shared" si="343"/>
        <v>114.8550428</v>
      </c>
      <c r="BB469" s="27"/>
      <c r="BC469" s="27"/>
      <c r="BD469" s="51"/>
      <c r="BE469" s="52"/>
      <c r="BF469" s="27" t="s">
        <v>1652</v>
      </c>
      <c r="BG469" s="58" t="s">
        <v>1654</v>
      </c>
      <c r="BH469" s="53" t="str">
        <f>'[1]2023'!Q795</f>
        <v>#REF!</v>
      </c>
      <c r="BI469" s="27"/>
      <c r="BJ469" s="27"/>
      <c r="BK469" s="27" t="s">
        <v>76</v>
      </c>
      <c r="BL469" s="27"/>
    </row>
    <row r="470" ht="14.25" customHeight="1">
      <c r="A470" s="26" t="s">
        <v>1634</v>
      </c>
      <c r="B470" s="26" t="s">
        <v>69</v>
      </c>
      <c r="C470" s="26" t="s">
        <v>70</v>
      </c>
      <c r="D470" s="26" t="s">
        <v>58</v>
      </c>
      <c r="E470" s="27" t="s">
        <v>1655</v>
      </c>
      <c r="F470" s="28" t="s">
        <v>1656</v>
      </c>
      <c r="G470" s="29">
        <v>45069.0</v>
      </c>
      <c r="H470" s="30">
        <v>45069.0</v>
      </c>
      <c r="I470" s="30">
        <v>45434.0</v>
      </c>
      <c r="J470" s="31">
        <v>0.0</v>
      </c>
      <c r="K470" s="26" t="s">
        <v>427</v>
      </c>
      <c r="L470" s="89">
        <v>45225.0</v>
      </c>
      <c r="M470" s="34">
        <v>368.8</v>
      </c>
      <c r="N470" s="34">
        <v>525.0</v>
      </c>
      <c r="O470" s="27" t="s">
        <v>76</v>
      </c>
      <c r="P470" s="35" t="s">
        <v>77</v>
      </c>
      <c r="Q470" s="35">
        <v>0.0</v>
      </c>
      <c r="R470" s="36">
        <v>45069.0</v>
      </c>
      <c r="S470" s="35" t="s">
        <v>78</v>
      </c>
      <c r="T470" s="54" t="s">
        <v>79</v>
      </c>
      <c r="U470" s="37" t="s">
        <v>69</v>
      </c>
      <c r="V470" s="38"/>
      <c r="W470" s="38"/>
      <c r="X470" s="27"/>
      <c r="Y470" s="39"/>
      <c r="Z470" s="39"/>
      <c r="AA470" s="39"/>
      <c r="AB470" s="40"/>
      <c r="AC470" s="27">
        <f t="shared" si="324"/>
        <v>0</v>
      </c>
      <c r="AD470" s="41">
        <f t="shared" ref="AD470:AD471" si="348">IF(AND(S470="0",O470="Paid"),(M470*15%)-AC470,0)</f>
        <v>0</v>
      </c>
      <c r="AE470" s="42"/>
      <c r="AF470" s="27"/>
      <c r="AG470" s="43">
        <f>(M470*16.75%)-((M470*16.75%)*5%)</f>
        <v>58.6853</v>
      </c>
      <c r="AH470" s="29"/>
      <c r="AI470" s="29"/>
      <c r="AJ470" s="55"/>
      <c r="AK470" s="29"/>
      <c r="AL470" s="27"/>
      <c r="AM470" s="44"/>
      <c r="AN470" s="68"/>
      <c r="AO470" s="149">
        <f>((AF470*AJ470)-((AF470*AJ470)*22.5%))*80%</f>
        <v>0</v>
      </c>
      <c r="AP470" s="47"/>
      <c r="AQ470" s="43">
        <f t="shared" ref="AQ470:AQ471" si="349">IF(O470="Paid",IF(U470="Motor Plus",(M470*27%),IF(U470="Motor One",(M470*22%),(IF(U470="Golden",(M470*25%),(IF(U470="Classic",(M470*15%),(IF(U470="Wethaq",(M470*28%),IF(U470="Alwataniya",(M470*21%))*0)))))))))</f>
        <v>0</v>
      </c>
      <c r="AR470" s="43">
        <f t="shared" si="2"/>
        <v>0</v>
      </c>
      <c r="AS470" s="43">
        <f t="shared" si="3"/>
        <v>0</v>
      </c>
      <c r="AT470" s="48">
        <f t="shared" si="4"/>
        <v>0</v>
      </c>
      <c r="AU470" s="49">
        <f>AQ470-AR470-AS470-AC470-AO470</f>
        <v>0</v>
      </c>
      <c r="AV470" s="48"/>
      <c r="AW470" s="34">
        <f t="shared" si="341"/>
        <v>525</v>
      </c>
      <c r="AX470" s="50">
        <f t="shared" si="248"/>
        <v>58.6853</v>
      </c>
      <c r="AY470" s="43"/>
      <c r="AZ470" s="47"/>
      <c r="BA470" s="48">
        <f t="shared" si="343"/>
        <v>0</v>
      </c>
      <c r="BB470" s="27"/>
      <c r="BC470" s="27"/>
      <c r="BD470" s="51"/>
      <c r="BE470" s="52"/>
      <c r="BF470" s="27" t="s">
        <v>1655</v>
      </c>
      <c r="BG470" s="53">
        <v>0.0</v>
      </c>
      <c r="BH470" s="53" t="str">
        <f>'[1]2023'!Q1011</f>
        <v>#REF!</v>
      </c>
      <c r="BI470" s="27"/>
      <c r="BJ470" s="27"/>
      <c r="BK470" s="27" t="s">
        <v>76</v>
      </c>
      <c r="BL470" s="27"/>
    </row>
    <row r="471" ht="14.25" customHeight="1">
      <c r="A471" s="26" t="s">
        <v>55</v>
      </c>
      <c r="B471" s="26" t="s">
        <v>56</v>
      </c>
      <c r="C471" s="26" t="s">
        <v>57</v>
      </c>
      <c r="D471" s="26" t="s">
        <v>81</v>
      </c>
      <c r="E471" s="27" t="s">
        <v>1657</v>
      </c>
      <c r="F471" s="28" t="s">
        <v>1658</v>
      </c>
      <c r="G471" s="29" t="s">
        <v>1659</v>
      </c>
      <c r="H471" s="30">
        <v>45070.0</v>
      </c>
      <c r="I471" s="30">
        <v>45435.0</v>
      </c>
      <c r="J471" s="31">
        <v>0.0</v>
      </c>
      <c r="K471" s="26" t="s">
        <v>427</v>
      </c>
      <c r="L471" s="32" t="s">
        <v>63</v>
      </c>
      <c r="M471" s="33">
        <v>0.0</v>
      </c>
      <c r="N471" s="34">
        <v>0.0</v>
      </c>
      <c r="O471" s="27" t="s">
        <v>64</v>
      </c>
      <c r="P471" s="35">
        <v>0.0</v>
      </c>
      <c r="Q471" s="35" t="s">
        <v>65</v>
      </c>
      <c r="R471" s="36" t="e">
        <v>#VALUE!</v>
      </c>
      <c r="S471" s="35" t="s">
        <v>86</v>
      </c>
      <c r="T471" s="35">
        <v>0.0</v>
      </c>
      <c r="U471" s="37" t="s">
        <v>67</v>
      </c>
      <c r="V471" s="38"/>
      <c r="W471" s="38"/>
      <c r="X471" s="27"/>
      <c r="Y471" s="39"/>
      <c r="Z471" s="39"/>
      <c r="AA471" s="39"/>
      <c r="AB471" s="40"/>
      <c r="AC471" s="27">
        <f t="shared" si="324"/>
        <v>0</v>
      </c>
      <c r="AD471" s="41">
        <f t="shared" si="348"/>
        <v>0</v>
      </c>
      <c r="AE471" s="42"/>
      <c r="AF471" s="27"/>
      <c r="AG471" s="43">
        <f t="shared" ref="AG471:AG474" si="350">IF(O471="Paid",IF(A471="Alwataniya",(M471*21%)-((M471*21%)*5%),IF((A471="GIG"),(M471*25%)-((M471*25%)*5%),IF((A471="Allianz"),(M471*27%)-((M471*27%)*5%),0))),0)</f>
        <v>0</v>
      </c>
      <c r="AH471" s="29"/>
      <c r="AI471" s="29"/>
      <c r="AJ471" s="29"/>
      <c r="AK471" s="29"/>
      <c r="AL471" s="27"/>
      <c r="AM471" s="44"/>
      <c r="AN471" s="115"/>
      <c r="AO471" s="46"/>
      <c r="AP471" s="47"/>
      <c r="AQ471" s="43" t="b">
        <f t="shared" si="349"/>
        <v>0</v>
      </c>
      <c r="AR471" s="43">
        <f t="shared" si="2"/>
        <v>0</v>
      </c>
      <c r="AS471" s="43">
        <f t="shared" si="3"/>
        <v>0</v>
      </c>
      <c r="AT471" s="48">
        <f t="shared" si="4"/>
        <v>0</v>
      </c>
      <c r="AU471" s="49">
        <f t="shared" ref="AU471:AU475" si="351">AQ471-AR471-AS471-AC471</f>
        <v>0</v>
      </c>
      <c r="AV471" s="48"/>
      <c r="AW471" s="34">
        <f t="shared" si="341"/>
        <v>0</v>
      </c>
      <c r="AX471" s="50">
        <f t="shared" si="248"/>
        <v>0</v>
      </c>
      <c r="AY471" s="43"/>
      <c r="AZ471" s="43"/>
      <c r="BA471" s="48">
        <f t="shared" si="343"/>
        <v>0</v>
      </c>
      <c r="BB471" s="27"/>
      <c r="BC471" s="27"/>
      <c r="BD471" s="51"/>
      <c r="BE471" s="52"/>
      <c r="BF471" s="27" t="s">
        <v>1657</v>
      </c>
      <c r="BG471" s="53">
        <v>0.0</v>
      </c>
      <c r="BH471" s="53" t="str">
        <f>'[1]2023'!Q575</f>
        <v>#REF!</v>
      </c>
      <c r="BI471" s="27"/>
      <c r="BJ471" s="27"/>
      <c r="BK471" s="27" t="s">
        <v>64</v>
      </c>
      <c r="BL471" s="27"/>
    </row>
    <row r="472" ht="14.25" customHeight="1">
      <c r="A472" s="26" t="s">
        <v>55</v>
      </c>
      <c r="B472" s="26" t="s">
        <v>56</v>
      </c>
      <c r="C472" s="26" t="s">
        <v>57</v>
      </c>
      <c r="D472" s="26" t="s">
        <v>81</v>
      </c>
      <c r="E472" s="27" t="s">
        <v>1660</v>
      </c>
      <c r="F472" s="28" t="s">
        <v>1661</v>
      </c>
      <c r="G472" s="29" t="s">
        <v>1659</v>
      </c>
      <c r="H472" s="30">
        <v>45070.0</v>
      </c>
      <c r="I472" s="30">
        <v>45435.0</v>
      </c>
      <c r="J472" s="31">
        <v>0.0</v>
      </c>
      <c r="K472" s="26" t="s">
        <v>427</v>
      </c>
      <c r="L472" s="32" t="s">
        <v>75</v>
      </c>
      <c r="M472" s="33">
        <v>23747.5</v>
      </c>
      <c r="N472" s="34">
        <v>25289.62</v>
      </c>
      <c r="O472" s="27" t="s">
        <v>76</v>
      </c>
      <c r="P472" s="35" t="s">
        <v>89</v>
      </c>
      <c r="Q472" s="35" t="s">
        <v>90</v>
      </c>
      <c r="R472" s="36" t="e">
        <v>#VALUE!</v>
      </c>
      <c r="S472" s="35" t="s">
        <v>86</v>
      </c>
      <c r="T472" s="35">
        <v>0.0</v>
      </c>
      <c r="U472" s="37" t="s">
        <v>67</v>
      </c>
      <c r="V472" s="38"/>
      <c r="W472" s="38"/>
      <c r="X472" s="27"/>
      <c r="Y472" s="39"/>
      <c r="Z472" s="79" t="s">
        <v>476</v>
      </c>
      <c r="AA472" s="39"/>
      <c r="AB472" s="40"/>
      <c r="AC472" s="27">
        <f t="shared" si="324"/>
        <v>0</v>
      </c>
      <c r="AD472" s="41">
        <f t="shared" ref="AD472:AD474" si="352">IF(AND(S472="0",O472="Paid"),M472*15%,0)</f>
        <v>3562.125</v>
      </c>
      <c r="AE472" s="42"/>
      <c r="AF472" s="27"/>
      <c r="AG472" s="43">
        <f t="shared" si="350"/>
        <v>6091.23375</v>
      </c>
      <c r="AH472" s="29"/>
      <c r="AI472" s="29"/>
      <c r="AJ472" s="29"/>
      <c r="AK472" s="29"/>
      <c r="AL472" s="27"/>
      <c r="AM472" s="27"/>
      <c r="AN472" s="93"/>
      <c r="AO472" s="46"/>
      <c r="AP472" s="47"/>
      <c r="AQ472" s="43">
        <f t="shared" ref="AQ472:AQ474" si="353">IF(U472="Motor Plus",(M472*27%),IF(U472="Motor One",(M472*22%),(IF(U472="Golden",(M472*25%),(IF(U472="Classic",(M472*15%),(IF(U472="Wethaq",(M472*28%),IF(U472="Alwataniya",(M472*21%))*0))))))))</f>
        <v>6411.825</v>
      </c>
      <c r="AR472" s="43">
        <f t="shared" si="2"/>
        <v>320.59125</v>
      </c>
      <c r="AS472" s="43">
        <f t="shared" si="3"/>
        <v>1122.069375</v>
      </c>
      <c r="AT472" s="48">
        <f t="shared" si="4"/>
        <v>4969.164375</v>
      </c>
      <c r="AU472" s="49">
        <f t="shared" si="351"/>
        <v>4969.164375</v>
      </c>
      <c r="AV472" s="48"/>
      <c r="AW472" s="34">
        <f t="shared" si="341"/>
        <v>21727.495</v>
      </c>
      <c r="AX472" s="50">
        <f t="shared" si="248"/>
        <v>1407.039375</v>
      </c>
      <c r="AY472" s="43"/>
      <c r="AZ472" s="43"/>
      <c r="BA472" s="48">
        <f t="shared" si="343"/>
        <v>4969.164375</v>
      </c>
      <c r="BB472" s="27"/>
      <c r="BC472" s="27"/>
      <c r="BD472" s="51"/>
      <c r="BE472" s="52"/>
      <c r="BF472" s="27" t="s">
        <v>1660</v>
      </c>
      <c r="BG472" s="53">
        <v>0.0</v>
      </c>
      <c r="BH472" s="53" t="str">
        <f>'[1]2023'!Q612</f>
        <v>#REF!</v>
      </c>
      <c r="BI472" s="27"/>
      <c r="BJ472" s="27"/>
      <c r="BK472" s="27" t="s">
        <v>76</v>
      </c>
      <c r="BL472" s="27"/>
    </row>
    <row r="473" ht="14.25" customHeight="1">
      <c r="A473" s="26" t="s">
        <v>55</v>
      </c>
      <c r="B473" s="26" t="s">
        <v>56</v>
      </c>
      <c r="C473" s="26" t="s">
        <v>57</v>
      </c>
      <c r="D473" s="26" t="s">
        <v>58</v>
      </c>
      <c r="E473" s="27" t="s">
        <v>1662</v>
      </c>
      <c r="F473" s="28" t="s">
        <v>1663</v>
      </c>
      <c r="G473" s="29" t="s">
        <v>1659</v>
      </c>
      <c r="H473" s="30">
        <v>45070.0</v>
      </c>
      <c r="I473" s="30">
        <v>45435.0</v>
      </c>
      <c r="J473" s="31" t="s">
        <v>1664</v>
      </c>
      <c r="K473" s="26" t="s">
        <v>427</v>
      </c>
      <c r="L473" s="73" t="s">
        <v>75</v>
      </c>
      <c r="M473" s="33">
        <v>2337.37</v>
      </c>
      <c r="N473" s="34">
        <v>2475.27</v>
      </c>
      <c r="O473" s="27" t="s">
        <v>76</v>
      </c>
      <c r="P473" s="35" t="s">
        <v>89</v>
      </c>
      <c r="Q473" s="35">
        <v>0.0</v>
      </c>
      <c r="R473" s="36" t="e">
        <v>#VALUE!</v>
      </c>
      <c r="S473" s="35" t="s">
        <v>86</v>
      </c>
      <c r="T473" s="35">
        <v>0.0</v>
      </c>
      <c r="U473" s="37" t="s">
        <v>67</v>
      </c>
      <c r="V473" s="38"/>
      <c r="W473" s="38"/>
      <c r="X473" s="27"/>
      <c r="Y473" s="39"/>
      <c r="Z473" s="39"/>
      <c r="AA473" s="39"/>
      <c r="AB473" s="40"/>
      <c r="AC473" s="27">
        <f t="shared" si="324"/>
        <v>0</v>
      </c>
      <c r="AD473" s="41">
        <f t="shared" si="352"/>
        <v>350.6055</v>
      </c>
      <c r="AE473" s="42"/>
      <c r="AF473" s="27"/>
      <c r="AG473" s="43">
        <f t="shared" si="350"/>
        <v>599.535405</v>
      </c>
      <c r="AH473" s="29"/>
      <c r="AI473" s="29"/>
      <c r="AJ473" s="29"/>
      <c r="AK473" s="29"/>
      <c r="AL473" s="27"/>
      <c r="AM473" s="27"/>
      <c r="AN473" s="93"/>
      <c r="AO473" s="46"/>
      <c r="AP473" s="47"/>
      <c r="AQ473" s="43">
        <f t="shared" si="353"/>
        <v>631.0899</v>
      </c>
      <c r="AR473" s="43">
        <f t="shared" si="2"/>
        <v>31.554495</v>
      </c>
      <c r="AS473" s="43">
        <f t="shared" si="3"/>
        <v>110.4407325</v>
      </c>
      <c r="AT473" s="48">
        <f t="shared" si="4"/>
        <v>489.0946725</v>
      </c>
      <c r="AU473" s="49">
        <f t="shared" si="351"/>
        <v>489.0946725</v>
      </c>
      <c r="AV473" s="48"/>
      <c r="AW473" s="34">
        <f t="shared" si="341"/>
        <v>2124.6645</v>
      </c>
      <c r="AX473" s="50">
        <f t="shared" si="248"/>
        <v>138.4891725</v>
      </c>
      <c r="AY473" s="43"/>
      <c r="AZ473" s="43"/>
      <c r="BA473" s="48">
        <f t="shared" si="343"/>
        <v>489.0946725</v>
      </c>
      <c r="BB473" s="27"/>
      <c r="BC473" s="27"/>
      <c r="BD473" s="51"/>
      <c r="BE473" s="52"/>
      <c r="BF473" s="27" t="s">
        <v>1662</v>
      </c>
      <c r="BG473" s="58" t="s">
        <v>1665</v>
      </c>
      <c r="BH473" s="53" t="str">
        <f t="shared" ref="BH473:BH474" si="354">'[1]2023'!Q670</f>
        <v>#REF!</v>
      </c>
      <c r="BI473" s="27"/>
      <c r="BJ473" s="27"/>
      <c r="BK473" s="27" t="s">
        <v>76</v>
      </c>
      <c r="BL473" s="27"/>
    </row>
    <row r="474" ht="14.25" customHeight="1">
      <c r="A474" s="26" t="s">
        <v>55</v>
      </c>
      <c r="B474" s="26" t="s">
        <v>56</v>
      </c>
      <c r="C474" s="26" t="s">
        <v>57</v>
      </c>
      <c r="D474" s="26" t="s">
        <v>58</v>
      </c>
      <c r="E474" s="27" t="s">
        <v>1666</v>
      </c>
      <c r="F474" s="28" t="s">
        <v>1667</v>
      </c>
      <c r="G474" s="29" t="s">
        <v>1659</v>
      </c>
      <c r="H474" s="30">
        <v>45070.0</v>
      </c>
      <c r="I474" s="30">
        <v>45435.0</v>
      </c>
      <c r="J474" s="31" t="s">
        <v>389</v>
      </c>
      <c r="K474" s="26" t="s">
        <v>427</v>
      </c>
      <c r="L474" s="32" t="s">
        <v>305</v>
      </c>
      <c r="M474" s="33">
        <v>5182.19</v>
      </c>
      <c r="N474" s="34">
        <v>5487.93</v>
      </c>
      <c r="O474" s="27" t="s">
        <v>76</v>
      </c>
      <c r="P474" s="35" t="s">
        <v>142</v>
      </c>
      <c r="Q474" s="35" t="s">
        <v>108</v>
      </c>
      <c r="R474" s="36" t="e">
        <v>#VALUE!</v>
      </c>
      <c r="S474" s="35" t="s">
        <v>86</v>
      </c>
      <c r="T474" s="35">
        <v>0.0</v>
      </c>
      <c r="U474" s="37" t="s">
        <v>67</v>
      </c>
      <c r="V474" s="38"/>
      <c r="W474" s="38"/>
      <c r="X474" s="27"/>
      <c r="Y474" s="39"/>
      <c r="Z474" s="39"/>
      <c r="AA474" s="39"/>
      <c r="AB474" s="40"/>
      <c r="AC474" s="27">
        <f t="shared" si="324"/>
        <v>0</v>
      </c>
      <c r="AD474" s="41">
        <f t="shared" si="352"/>
        <v>777.3285</v>
      </c>
      <c r="AE474" s="42"/>
      <c r="AF474" s="27" t="s">
        <v>305</v>
      </c>
      <c r="AG474" s="43">
        <f t="shared" si="350"/>
        <v>1329.231735</v>
      </c>
      <c r="AH474" s="29"/>
      <c r="AI474" s="29"/>
      <c r="AJ474" s="29"/>
      <c r="AK474" s="29"/>
      <c r="AL474" s="27"/>
      <c r="AM474" s="27"/>
      <c r="AN474" s="93"/>
      <c r="AO474" s="46"/>
      <c r="AP474" s="47"/>
      <c r="AQ474" s="43">
        <f t="shared" si="353"/>
        <v>1399.1913</v>
      </c>
      <c r="AR474" s="43">
        <f t="shared" si="2"/>
        <v>69.959565</v>
      </c>
      <c r="AS474" s="43">
        <f t="shared" si="3"/>
        <v>244.8584775</v>
      </c>
      <c r="AT474" s="48">
        <f t="shared" si="4"/>
        <v>1084.373258</v>
      </c>
      <c r="AU474" s="49">
        <f t="shared" si="351"/>
        <v>1084.373258</v>
      </c>
      <c r="AV474" s="48"/>
      <c r="AW474" s="34">
        <f t="shared" si="341"/>
        <v>4710.6015</v>
      </c>
      <c r="AX474" s="50">
        <f t="shared" si="248"/>
        <v>307.0447575</v>
      </c>
      <c r="AY474" s="43"/>
      <c r="AZ474" s="43"/>
      <c r="BA474" s="48">
        <f t="shared" si="343"/>
        <v>1084.373258</v>
      </c>
      <c r="BB474" s="27"/>
      <c r="BC474" s="27"/>
      <c r="BD474" s="51"/>
      <c r="BE474" s="52"/>
      <c r="BF474" s="27" t="s">
        <v>1666</v>
      </c>
      <c r="BG474" s="58" t="s">
        <v>1668</v>
      </c>
      <c r="BH474" s="53" t="str">
        <f t="shared" si="354"/>
        <v>#REF!</v>
      </c>
      <c r="BI474" s="27"/>
      <c r="BJ474" s="27"/>
      <c r="BK474" s="27" t="s">
        <v>76</v>
      </c>
      <c r="BL474" s="27"/>
    </row>
    <row r="475" ht="14.25" customHeight="1">
      <c r="A475" s="26" t="s">
        <v>55</v>
      </c>
      <c r="B475" s="26" t="s">
        <v>56</v>
      </c>
      <c r="C475" s="26" t="s">
        <v>57</v>
      </c>
      <c r="D475" s="26" t="s">
        <v>58</v>
      </c>
      <c r="E475" s="27" t="s">
        <v>1669</v>
      </c>
      <c r="F475" s="28" t="s">
        <v>1670</v>
      </c>
      <c r="G475" s="29" t="s">
        <v>1659</v>
      </c>
      <c r="H475" s="30">
        <v>45070.0</v>
      </c>
      <c r="I475" s="30">
        <v>45435.0</v>
      </c>
      <c r="J475" s="31" t="s">
        <v>1671</v>
      </c>
      <c r="K475" s="26" t="s">
        <v>427</v>
      </c>
      <c r="L475" s="73" t="s">
        <v>63</v>
      </c>
      <c r="M475" s="33">
        <v>0.0</v>
      </c>
      <c r="N475" s="34">
        <v>0.0</v>
      </c>
      <c r="O475" s="27" t="s">
        <v>64</v>
      </c>
      <c r="P475" s="35">
        <v>0.0</v>
      </c>
      <c r="Q475" s="35">
        <v>0.0</v>
      </c>
      <c r="R475" s="36" t="e">
        <v>#VALUE!</v>
      </c>
      <c r="S475" s="35" t="s">
        <v>86</v>
      </c>
      <c r="T475" s="35">
        <v>0.0</v>
      </c>
      <c r="U475" s="37" t="s">
        <v>58</v>
      </c>
      <c r="V475" s="38"/>
      <c r="W475" s="38"/>
      <c r="X475" s="27"/>
      <c r="Y475" s="39"/>
      <c r="Z475" s="39"/>
      <c r="AA475" s="39"/>
      <c r="AB475" s="40"/>
      <c r="AC475" s="27">
        <f t="shared" si="324"/>
        <v>0</v>
      </c>
      <c r="AD475" s="41">
        <f>IF(AND(S475="0",O475="Paid"),(M475*15%)-AC475,0)</f>
        <v>0</v>
      </c>
      <c r="AE475" s="42"/>
      <c r="AF475" s="27"/>
      <c r="AG475" s="43">
        <f>IF(O475="Paid",IF(A475="Alwataniya",(M475*21%)-((M475*21%)*5%),IF((A475="GIG"),(M475*25%)-((M475*25%)*5%),IF((A475="Allianz"),(M475*27%)-((M475*27%)*20%),0))),0)</f>
        <v>0</v>
      </c>
      <c r="AH475" s="29"/>
      <c r="AI475" s="29"/>
      <c r="AJ475" s="29"/>
      <c r="AK475" s="29"/>
      <c r="AL475" s="27"/>
      <c r="AM475" s="27"/>
      <c r="AN475" s="93"/>
      <c r="AO475" s="46"/>
      <c r="AP475" s="47"/>
      <c r="AQ475" s="43" t="b">
        <f>IF(O475="Paid",IF(U475="Motor Plus",(M475*27%),IF(U475="Motor One",(M475*22%),(IF(U475="Golden",(M475*25%),(IF(U475="Classic",(M475*15%),(IF(U475="Wethaq",(M475*28%),IF(U475="Alwataniya",(M475*21%))*0)))))))))</f>
        <v>0</v>
      </c>
      <c r="AR475" s="43">
        <f t="shared" si="2"/>
        <v>0</v>
      </c>
      <c r="AS475" s="43">
        <f t="shared" si="3"/>
        <v>0</v>
      </c>
      <c r="AT475" s="48">
        <f t="shared" si="4"/>
        <v>0</v>
      </c>
      <c r="AU475" s="49">
        <f t="shared" si="351"/>
        <v>0</v>
      </c>
      <c r="AV475" s="48"/>
      <c r="AW475" s="34">
        <f t="shared" si="341"/>
        <v>0</v>
      </c>
      <c r="AX475" s="50">
        <f t="shared" si="248"/>
        <v>0</v>
      </c>
      <c r="AY475" s="43"/>
      <c r="AZ475" s="43"/>
      <c r="BA475" s="48">
        <f t="shared" si="343"/>
        <v>0</v>
      </c>
      <c r="BB475" s="27"/>
      <c r="BC475" s="27"/>
      <c r="BD475" s="51"/>
      <c r="BE475" s="52"/>
      <c r="BF475" s="27" t="s">
        <v>1669</v>
      </c>
      <c r="BG475" s="58" t="s">
        <v>1672</v>
      </c>
      <c r="BH475" s="53" t="str">
        <f>'[1]2023'!Q684</f>
        <v>#REF!</v>
      </c>
      <c r="BI475" s="27"/>
      <c r="BJ475" s="27"/>
      <c r="BK475" s="27" t="s">
        <v>64</v>
      </c>
      <c r="BL475" s="27"/>
    </row>
    <row r="476" ht="14.25" customHeight="1">
      <c r="A476" s="26" t="s">
        <v>111</v>
      </c>
      <c r="B476" s="26" t="s">
        <v>56</v>
      </c>
      <c r="C476" s="26" t="s">
        <v>57</v>
      </c>
      <c r="D476" s="26" t="s">
        <v>71</v>
      </c>
      <c r="E476" s="27" t="s">
        <v>1673</v>
      </c>
      <c r="F476" s="28" t="s">
        <v>1674</v>
      </c>
      <c r="G476" s="29" t="s">
        <v>1659</v>
      </c>
      <c r="H476" s="30">
        <v>45070.0</v>
      </c>
      <c r="I476" s="30">
        <v>45435.0</v>
      </c>
      <c r="J476" s="31">
        <v>1.020349066E9</v>
      </c>
      <c r="K476" s="26" t="s">
        <v>427</v>
      </c>
      <c r="L476" s="73" t="s">
        <v>75</v>
      </c>
      <c r="M476" s="33">
        <v>12053.07</v>
      </c>
      <c r="N476" s="34">
        <v>13020.0</v>
      </c>
      <c r="O476" s="27" t="s">
        <v>76</v>
      </c>
      <c r="P476" s="35" t="s">
        <v>430</v>
      </c>
      <c r="Q476" s="35" t="s">
        <v>114</v>
      </c>
      <c r="R476" s="36" t="e">
        <v>#VALUE!</v>
      </c>
      <c r="S476" s="35" t="s">
        <v>66</v>
      </c>
      <c r="T476" s="54" t="s">
        <v>1675</v>
      </c>
      <c r="U476" s="37" t="s">
        <v>149</v>
      </c>
      <c r="V476" s="38">
        <v>600000.0</v>
      </c>
      <c r="W476" s="38"/>
      <c r="X476" s="27"/>
      <c r="Y476" s="39"/>
      <c r="Z476" s="79" t="s">
        <v>1676</v>
      </c>
      <c r="AA476" s="39"/>
      <c r="AB476" s="40"/>
      <c r="AC476" s="27">
        <f t="shared" si="324"/>
        <v>0</v>
      </c>
      <c r="AD476" s="41"/>
      <c r="AE476" s="42"/>
      <c r="AF476" s="27"/>
      <c r="AG476" s="43">
        <f>IF(AND(O476="Paid",A476="GIG"),((M476*15%)-(((M476*15%)*5%))),0)</f>
        <v>1717.562475</v>
      </c>
      <c r="AH476" s="29" t="s">
        <v>1677</v>
      </c>
      <c r="AI476" s="61" t="s">
        <v>1648</v>
      </c>
      <c r="AJ476" s="40"/>
      <c r="AK476" s="62" t="s">
        <v>63</v>
      </c>
      <c r="AL476" s="27"/>
      <c r="AM476" s="150">
        <f>(AQ476-AR476-AS476-(M476*5%))*30%</f>
        <v>239.5547663</v>
      </c>
      <c r="AN476" s="122" t="s">
        <v>1038</v>
      </c>
      <c r="AO476" s="46">
        <f>M476*5%</f>
        <v>602.6535</v>
      </c>
      <c r="AP476" s="57">
        <v>45113.0</v>
      </c>
      <c r="AQ476" s="43">
        <f>M476*15%</f>
        <v>1807.9605</v>
      </c>
      <c r="AR476" s="43">
        <f t="shared" si="2"/>
        <v>90.398025</v>
      </c>
      <c r="AS476" s="43">
        <f t="shared" si="3"/>
        <v>316.3930875</v>
      </c>
      <c r="AT476" s="48">
        <f t="shared" si="4"/>
        <v>1401.169388</v>
      </c>
      <c r="AU476" s="48">
        <f>AQ476-AR476-AS476</f>
        <v>1401.169388</v>
      </c>
      <c r="AV476" s="48"/>
      <c r="AW476" s="34">
        <f t="shared" si="341"/>
        <v>13020</v>
      </c>
      <c r="AX476" s="50">
        <f t="shared" si="248"/>
        <v>558.9611213</v>
      </c>
      <c r="AY476" s="43"/>
      <c r="AZ476" s="43"/>
      <c r="BA476" s="48">
        <f t="shared" si="343"/>
        <v>558.9611213</v>
      </c>
      <c r="BB476" s="27"/>
      <c r="BC476" s="27"/>
      <c r="BD476" s="51"/>
      <c r="BE476" s="52" t="s">
        <v>440</v>
      </c>
      <c r="BF476" s="27" t="s">
        <v>1678</v>
      </c>
      <c r="BG476" s="53">
        <v>0.0</v>
      </c>
      <c r="BH476" s="53" t="str">
        <f>'[1]2023'!Q708</f>
        <v>#REF!</v>
      </c>
      <c r="BI476" s="27"/>
      <c r="BJ476" s="27"/>
      <c r="BK476" s="27" t="s">
        <v>76</v>
      </c>
      <c r="BL476" s="27"/>
    </row>
    <row r="477" ht="14.25" customHeight="1">
      <c r="A477" s="26" t="s">
        <v>55</v>
      </c>
      <c r="B477" s="26" t="s">
        <v>56</v>
      </c>
      <c r="C477" s="26" t="s">
        <v>57</v>
      </c>
      <c r="D477" s="26" t="s">
        <v>58</v>
      </c>
      <c r="E477" s="27" t="s">
        <v>1679</v>
      </c>
      <c r="F477" s="28" t="s">
        <v>1680</v>
      </c>
      <c r="G477" s="29" t="s">
        <v>1659</v>
      </c>
      <c r="H477" s="30">
        <v>45070.0</v>
      </c>
      <c r="I477" s="30">
        <v>45435.0</v>
      </c>
      <c r="J477" s="31">
        <v>0.0</v>
      </c>
      <c r="K477" s="26" t="s">
        <v>427</v>
      </c>
      <c r="L477" s="32" t="s">
        <v>75</v>
      </c>
      <c r="M477" s="33">
        <v>3913.4</v>
      </c>
      <c r="N477" s="34">
        <v>4144.29</v>
      </c>
      <c r="O477" s="27" t="s">
        <v>76</v>
      </c>
      <c r="P477" s="35" t="s">
        <v>89</v>
      </c>
      <c r="Q477" s="35">
        <v>0.0</v>
      </c>
      <c r="R477" s="36" t="e">
        <v>#VALUE!</v>
      </c>
      <c r="S477" s="35" t="s">
        <v>86</v>
      </c>
      <c r="T477" s="35">
        <v>0.0</v>
      </c>
      <c r="U477" s="37" t="s">
        <v>67</v>
      </c>
      <c r="V477" s="38"/>
      <c r="W477" s="38"/>
      <c r="X477" s="27"/>
      <c r="Y477" s="39"/>
      <c r="Z477" s="39"/>
      <c r="AA477" s="39"/>
      <c r="AB477" s="40"/>
      <c r="AC477" s="27">
        <f t="shared" si="324"/>
        <v>0</v>
      </c>
      <c r="AD477" s="41">
        <f t="shared" ref="AD477:AD478" si="355">IF(AND(S477="0",O477="Paid"),M477*15%,0)</f>
        <v>587.01</v>
      </c>
      <c r="AE477" s="42"/>
      <c r="AF477" s="27"/>
      <c r="AG477" s="43">
        <f>IF(O477="Paid",IF(A477="Alwataniya",(M477*21%)-((M477*21%)*5%),IF((A477="GIG"),(M477*25%)-((M477*25%)*5%),IF((A477="Allianz"),(M477*27%)-((M477*27%)*5%),0))),0)</f>
        <v>1003.7871</v>
      </c>
      <c r="AH477" s="29"/>
      <c r="AI477" s="29"/>
      <c r="AJ477" s="29"/>
      <c r="AK477" s="29"/>
      <c r="AL477" s="27"/>
      <c r="AM477" s="44"/>
      <c r="AN477" s="115"/>
      <c r="AO477" s="46"/>
      <c r="AP477" s="47"/>
      <c r="AQ477" s="43">
        <f t="shared" ref="AQ477:AQ478" si="356">IF(U477="Motor Plus",(M477*27%),IF(U477="Motor One",(M477*22%),(IF(U477="Golden",(M477*25%),(IF(U477="Classic",(M477*15%),(IF(U477="Wethaq",(M477*28%),IF(U477="Alwataniya",(M477*21%))*0))))))))</f>
        <v>1056.618</v>
      </c>
      <c r="AR477" s="43">
        <f t="shared" si="2"/>
        <v>52.8309</v>
      </c>
      <c r="AS477" s="43">
        <f t="shared" si="3"/>
        <v>184.90815</v>
      </c>
      <c r="AT477" s="48">
        <f t="shared" si="4"/>
        <v>818.87895</v>
      </c>
      <c r="AU477" s="49">
        <f t="shared" ref="AU477:AU478" si="357">AQ477-AR477-AS477-AC477</f>
        <v>818.87895</v>
      </c>
      <c r="AV477" s="48"/>
      <c r="AW477" s="34">
        <f t="shared" si="341"/>
        <v>3557.28</v>
      </c>
      <c r="AX477" s="50">
        <f t="shared" si="248"/>
        <v>231.86895</v>
      </c>
      <c r="AY477" s="43"/>
      <c r="AZ477" s="43"/>
      <c r="BA477" s="48">
        <f t="shared" si="343"/>
        <v>818.87895</v>
      </c>
      <c r="BB477" s="27"/>
      <c r="BC477" s="27"/>
      <c r="BD477" s="51"/>
      <c r="BE477" s="52"/>
      <c r="BF477" s="27" t="s">
        <v>1679</v>
      </c>
      <c r="BG477" s="53">
        <v>0.0</v>
      </c>
      <c r="BH477" s="53" t="str">
        <f>'[1]2023'!Q711</f>
        <v>#REF!</v>
      </c>
      <c r="BI477" s="27"/>
      <c r="BJ477" s="27"/>
      <c r="BK477" s="27" t="s">
        <v>76</v>
      </c>
      <c r="BL477" s="27"/>
    </row>
    <row r="478" ht="14.25" customHeight="1">
      <c r="A478" s="26" t="s">
        <v>111</v>
      </c>
      <c r="B478" s="26" t="s">
        <v>56</v>
      </c>
      <c r="C478" s="26" t="s">
        <v>57</v>
      </c>
      <c r="D478" s="26" t="s">
        <v>71</v>
      </c>
      <c r="E478" s="27" t="s">
        <v>1681</v>
      </c>
      <c r="F478" s="28" t="s">
        <v>1682</v>
      </c>
      <c r="G478" s="29" t="s">
        <v>1659</v>
      </c>
      <c r="H478" s="30">
        <v>45070.0</v>
      </c>
      <c r="I478" s="30">
        <v>45435.0</v>
      </c>
      <c r="J478" s="31" t="s">
        <v>1683</v>
      </c>
      <c r="K478" s="26" t="s">
        <v>427</v>
      </c>
      <c r="L478" s="32" t="s">
        <v>434</v>
      </c>
      <c r="M478" s="33">
        <v>15839.66</v>
      </c>
      <c r="N478" s="34">
        <v>17030.0</v>
      </c>
      <c r="O478" s="27" t="s">
        <v>76</v>
      </c>
      <c r="P478" s="35" t="s">
        <v>142</v>
      </c>
      <c r="Q478" s="35" t="s">
        <v>108</v>
      </c>
      <c r="R478" s="36" t="e">
        <v>#VALUE!</v>
      </c>
      <c r="S478" s="35" t="s">
        <v>86</v>
      </c>
      <c r="T478" s="35">
        <v>0.0</v>
      </c>
      <c r="U478" s="37" t="s">
        <v>115</v>
      </c>
      <c r="V478" s="38">
        <v>655000.0</v>
      </c>
      <c r="W478" s="38"/>
      <c r="X478" s="27"/>
      <c r="Y478" s="39"/>
      <c r="Z478" s="79" t="s">
        <v>1684</v>
      </c>
      <c r="AA478" s="39"/>
      <c r="AB478" s="40"/>
      <c r="AC478" s="27">
        <f t="shared" si="324"/>
        <v>0</v>
      </c>
      <c r="AD478" s="41">
        <f t="shared" si="355"/>
        <v>2375.949</v>
      </c>
      <c r="AE478" s="42">
        <v>250.0</v>
      </c>
      <c r="AF478" s="27" t="s">
        <v>880</v>
      </c>
      <c r="AG478" s="43">
        <f>IF(O478="Paid",IF(A478="Alwataniya",(M478*21%)-((M478*21%)*5%),IF((A478="GIG"),(M478*25%)-((M478*25%)*5%),IF((A478="Allianz"),(M478*27%)-((M478*27%)*20%),0))),0)</f>
        <v>3761.91925</v>
      </c>
      <c r="AH478" s="29" t="s">
        <v>905</v>
      </c>
      <c r="AI478" s="29" t="s">
        <v>902</v>
      </c>
      <c r="AJ478" s="40"/>
      <c r="AK478" s="62" t="s">
        <v>63</v>
      </c>
      <c r="AL478" s="27"/>
      <c r="AM478" s="27"/>
      <c r="AN478" s="63"/>
      <c r="AO478" s="46"/>
      <c r="AP478" s="47"/>
      <c r="AQ478" s="43">
        <f t="shared" si="356"/>
        <v>3959.915</v>
      </c>
      <c r="AR478" s="43">
        <f t="shared" si="2"/>
        <v>197.99575</v>
      </c>
      <c r="AS478" s="43">
        <f t="shared" si="3"/>
        <v>692.985125</v>
      </c>
      <c r="AT478" s="48">
        <f t="shared" si="4"/>
        <v>3068.934125</v>
      </c>
      <c r="AU478" s="49">
        <f t="shared" si="357"/>
        <v>3068.934125</v>
      </c>
      <c r="AV478" s="48"/>
      <c r="AW478" s="34">
        <f t="shared" si="341"/>
        <v>14404.051</v>
      </c>
      <c r="AX478" s="50">
        <f t="shared" si="248"/>
        <v>442.985125</v>
      </c>
      <c r="AY478" s="43"/>
      <c r="AZ478" s="43"/>
      <c r="BA478" s="48">
        <f t="shared" si="343"/>
        <v>3068.934125</v>
      </c>
      <c r="BB478" s="27"/>
      <c r="BC478" s="27"/>
      <c r="BD478" s="51"/>
      <c r="BE478" s="52"/>
      <c r="BF478" s="27" t="s">
        <v>1681</v>
      </c>
      <c r="BG478" s="53">
        <v>0.0</v>
      </c>
      <c r="BH478" s="53" t="str">
        <f t="shared" ref="BH478:BH479" si="358">'[1]2023'!Q721</f>
        <v>#REF!</v>
      </c>
      <c r="BI478" s="27"/>
      <c r="BJ478" s="27"/>
      <c r="BK478" s="27" t="s">
        <v>76</v>
      </c>
      <c r="BL478" s="27"/>
    </row>
    <row r="479" ht="14.25" customHeight="1">
      <c r="A479" s="26" t="s">
        <v>111</v>
      </c>
      <c r="B479" s="26" t="s">
        <v>56</v>
      </c>
      <c r="C479" s="26" t="s">
        <v>57</v>
      </c>
      <c r="D479" s="26" t="s">
        <v>71</v>
      </c>
      <c r="E479" s="27" t="s">
        <v>1685</v>
      </c>
      <c r="F479" s="28" t="s">
        <v>1686</v>
      </c>
      <c r="G479" s="29" t="s">
        <v>1659</v>
      </c>
      <c r="H479" s="30">
        <v>45070.0</v>
      </c>
      <c r="I479" s="30">
        <v>45435.0</v>
      </c>
      <c r="J479" s="31" t="s">
        <v>1687</v>
      </c>
      <c r="K479" s="26" t="s">
        <v>427</v>
      </c>
      <c r="L479" s="32" t="s">
        <v>75</v>
      </c>
      <c r="M479" s="33">
        <v>14102.17</v>
      </c>
      <c r="N479" s="34">
        <v>15190.0</v>
      </c>
      <c r="O479" s="27" t="s">
        <v>76</v>
      </c>
      <c r="P479" s="35" t="s">
        <v>430</v>
      </c>
      <c r="Q479" s="35" t="s">
        <v>114</v>
      </c>
      <c r="R479" s="36" t="e">
        <v>#VALUE!</v>
      </c>
      <c r="S479" s="35" t="s">
        <v>66</v>
      </c>
      <c r="T479" s="54" t="s">
        <v>1675</v>
      </c>
      <c r="U479" s="37" t="s">
        <v>149</v>
      </c>
      <c r="V479" s="38">
        <v>700000.0</v>
      </c>
      <c r="W479" s="38"/>
      <c r="X479" s="27"/>
      <c r="Y479" s="39"/>
      <c r="Z479" s="79" t="s">
        <v>1688</v>
      </c>
      <c r="AA479" s="39"/>
      <c r="AB479" s="40"/>
      <c r="AC479" s="27">
        <f t="shared" si="324"/>
        <v>0</v>
      </c>
      <c r="AD479" s="41"/>
      <c r="AE479" s="42"/>
      <c r="AF479" s="27"/>
      <c r="AG479" s="43">
        <f>IF(AND(O479="Paid",A479="GIG"),((M479*15%)-(((M479*15%)*5%))),0)</f>
        <v>2009.559225</v>
      </c>
      <c r="AH479" s="29" t="s">
        <v>1677</v>
      </c>
      <c r="AI479" s="61" t="s">
        <v>1648</v>
      </c>
      <c r="AJ479" s="40"/>
      <c r="AK479" s="62" t="s">
        <v>63</v>
      </c>
      <c r="AL479" s="27"/>
      <c r="AM479" s="49">
        <f>(AQ479-AR479-AS479-(M479*8%))*30%</f>
        <v>153.3610988</v>
      </c>
      <c r="AN479" s="146" t="s">
        <v>1038</v>
      </c>
      <c r="AO479" s="46">
        <f>M479*8%</f>
        <v>1128.1736</v>
      </c>
      <c r="AP479" s="57">
        <v>45113.0</v>
      </c>
      <c r="AQ479" s="43">
        <f>M479*15%</f>
        <v>2115.3255</v>
      </c>
      <c r="AR479" s="43">
        <f t="shared" si="2"/>
        <v>105.766275</v>
      </c>
      <c r="AS479" s="43">
        <f t="shared" si="3"/>
        <v>370.1819625</v>
      </c>
      <c r="AT479" s="48">
        <f t="shared" si="4"/>
        <v>1639.377263</v>
      </c>
      <c r="AU479" s="48">
        <f>AQ479-AR479-AS479</f>
        <v>1639.377263</v>
      </c>
      <c r="AV479" s="48"/>
      <c r="AW479" s="34">
        <f t="shared" si="341"/>
        <v>15190</v>
      </c>
      <c r="AX479" s="50">
        <f t="shared" si="248"/>
        <v>357.8425638</v>
      </c>
      <c r="AY479" s="43"/>
      <c r="AZ479" s="43"/>
      <c r="BA479" s="48">
        <f t="shared" si="343"/>
        <v>357.8425638</v>
      </c>
      <c r="BB479" s="27"/>
      <c r="BC479" s="27"/>
      <c r="BD479" s="51"/>
      <c r="BE479" s="52" t="s">
        <v>440</v>
      </c>
      <c r="BF479" s="27" t="s">
        <v>1685</v>
      </c>
      <c r="BG479" s="53">
        <v>0.0</v>
      </c>
      <c r="BH479" s="53" t="str">
        <f t="shared" si="358"/>
        <v>#REF!</v>
      </c>
      <c r="BI479" s="27"/>
      <c r="BJ479" s="27"/>
      <c r="BK479" s="27" t="s">
        <v>76</v>
      </c>
      <c r="BL479" s="27"/>
    </row>
    <row r="480" ht="14.25" customHeight="1">
      <c r="A480" s="26" t="s">
        <v>68</v>
      </c>
      <c r="B480" s="26" t="s">
        <v>56</v>
      </c>
      <c r="C480" s="26" t="s">
        <v>57</v>
      </c>
      <c r="D480" s="26" t="s">
        <v>71</v>
      </c>
      <c r="E480" s="27" t="s">
        <v>1689</v>
      </c>
      <c r="F480" s="28" t="s">
        <v>1690</v>
      </c>
      <c r="G480" s="29" t="s">
        <v>1659</v>
      </c>
      <c r="H480" s="30">
        <v>45070.0</v>
      </c>
      <c r="I480" s="30">
        <v>45435.0</v>
      </c>
      <c r="J480" s="31" t="s">
        <v>1691</v>
      </c>
      <c r="K480" s="26" t="s">
        <v>427</v>
      </c>
      <c r="L480" s="69">
        <v>45102.0</v>
      </c>
      <c r="M480" s="33">
        <v>26323.45</v>
      </c>
      <c r="N480" s="34">
        <v>28000.0</v>
      </c>
      <c r="O480" s="27" t="s">
        <v>76</v>
      </c>
      <c r="P480" s="35" t="s">
        <v>162</v>
      </c>
      <c r="Q480" s="35">
        <v>0.0</v>
      </c>
      <c r="R480" s="36" t="e">
        <v>#VALUE!</v>
      </c>
      <c r="S480" s="35" t="s">
        <v>78</v>
      </c>
      <c r="T480" s="54" t="s">
        <v>510</v>
      </c>
      <c r="U480" s="37" t="s">
        <v>68</v>
      </c>
      <c r="V480" s="38">
        <v>1400000.0</v>
      </c>
      <c r="W480" s="38"/>
      <c r="X480" s="27"/>
      <c r="Y480" s="39"/>
      <c r="Z480" s="79" t="s">
        <v>1692</v>
      </c>
      <c r="AA480" s="39"/>
      <c r="AB480" s="40"/>
      <c r="AC480" s="27">
        <f t="shared" si="324"/>
        <v>0</v>
      </c>
      <c r="AD480" s="41"/>
      <c r="AE480" s="42"/>
      <c r="AF480" s="27"/>
      <c r="AG480" s="43">
        <f>IF(O480="Paid",IF(A480="Wethaq",(M480*23%)-((M480*23%)*5%)))</f>
        <v>5751.673825</v>
      </c>
      <c r="AH480" s="29">
        <v>45115.0</v>
      </c>
      <c r="AI480" s="29">
        <v>45177.0</v>
      </c>
      <c r="AJ480" s="97">
        <v>0.23</v>
      </c>
      <c r="AK480" s="29">
        <v>45115.0</v>
      </c>
      <c r="AL480" s="27"/>
      <c r="AM480" s="27"/>
      <c r="AN480" s="56"/>
      <c r="AO480" s="95">
        <f>M480*AJ480-((M480*AJ480)*22.5%)</f>
        <v>4692.154963</v>
      </c>
      <c r="AP480" s="47" t="s">
        <v>905</v>
      </c>
      <c r="AQ480" s="43">
        <f>M480*AJ480</f>
        <v>6054.3935</v>
      </c>
      <c r="AR480" s="43">
        <f t="shared" si="2"/>
        <v>302.719675</v>
      </c>
      <c r="AS480" s="43">
        <f t="shared" si="3"/>
        <v>1059.518863</v>
      </c>
      <c r="AT480" s="48">
        <f t="shared" si="4"/>
        <v>4692.154963</v>
      </c>
      <c r="AU480" s="49">
        <f t="shared" ref="AU480:AU500" si="359">AQ480-AR480-AS480-AC480</f>
        <v>4692.154963</v>
      </c>
      <c r="AV480" s="48"/>
      <c r="AW480" s="34">
        <f t="shared" si="341"/>
        <v>28000</v>
      </c>
      <c r="AX480" s="50">
        <f t="shared" si="248"/>
        <v>0</v>
      </c>
      <c r="AY480" s="107"/>
      <c r="AZ480" s="43">
        <f>IF(AJ480&lt;28%,M480*(28%-AJ480)-((M480*(28%-AJ480))*5%),0)</f>
        <v>1250.363875</v>
      </c>
      <c r="BA480" s="48" t="str">
        <f>IF(S480&lt;&gt;0,AU480-#REF!-AM480,(AG480-AD480-AE480-AS480))</f>
        <v>#REF!</v>
      </c>
      <c r="BB480" s="27"/>
      <c r="BC480" s="27"/>
      <c r="BD480" s="51"/>
      <c r="BE480" s="52"/>
      <c r="BF480" s="27" t="s">
        <v>1689</v>
      </c>
      <c r="BG480" s="58" t="s">
        <v>1693</v>
      </c>
      <c r="BH480" s="53" t="str">
        <f>'[1]2023'!Q730</f>
        <v>#REF!</v>
      </c>
      <c r="BI480" s="27"/>
      <c r="BJ480" s="27"/>
      <c r="BK480" s="27" t="s">
        <v>76</v>
      </c>
      <c r="BL480" s="64" t="s">
        <v>906</v>
      </c>
    </row>
    <row r="481" ht="14.25" customHeight="1">
      <c r="A481" s="26" t="s">
        <v>111</v>
      </c>
      <c r="B481" s="26" t="s">
        <v>56</v>
      </c>
      <c r="C481" s="26" t="s">
        <v>57</v>
      </c>
      <c r="D481" s="26" t="s">
        <v>71</v>
      </c>
      <c r="E481" s="27" t="s">
        <v>1694</v>
      </c>
      <c r="F481" s="28" t="s">
        <v>1695</v>
      </c>
      <c r="G481" s="29" t="s">
        <v>1659</v>
      </c>
      <c r="H481" s="30">
        <v>45070.0</v>
      </c>
      <c r="I481" s="30">
        <v>45435.0</v>
      </c>
      <c r="J481" s="31" t="s">
        <v>1696</v>
      </c>
      <c r="K481" s="26" t="s">
        <v>427</v>
      </c>
      <c r="L481" s="32" t="s">
        <v>63</v>
      </c>
      <c r="M481" s="33">
        <v>44838.72</v>
      </c>
      <c r="N481" s="34">
        <v>47740.0</v>
      </c>
      <c r="O481" s="27" t="s">
        <v>64</v>
      </c>
      <c r="P481" s="35">
        <v>0.0</v>
      </c>
      <c r="Q481" s="35" t="s">
        <v>114</v>
      </c>
      <c r="R481" s="36" t="e">
        <v>#VALUE!</v>
      </c>
      <c r="S481" s="35" t="s">
        <v>1103</v>
      </c>
      <c r="T481" s="35">
        <v>0.0</v>
      </c>
      <c r="U481" s="37" t="s">
        <v>149</v>
      </c>
      <c r="V481" s="38">
        <v>2200000.0</v>
      </c>
      <c r="W481" s="38"/>
      <c r="X481" s="27"/>
      <c r="Y481" s="39"/>
      <c r="Z481" s="79" t="s">
        <v>1697</v>
      </c>
      <c r="AA481" s="39"/>
      <c r="AB481" s="40"/>
      <c r="AC481" s="27">
        <f t="shared" si="324"/>
        <v>0</v>
      </c>
      <c r="AD481" s="41">
        <f t="shared" ref="AD481:AD482" si="360">IF(AND(S481="0",O481="Paid"),(M481*15%)-AC481,0)</f>
        <v>0</v>
      </c>
      <c r="AE481" s="42"/>
      <c r="AF481" s="27"/>
      <c r="AG481" s="43">
        <f>IF(AND(O481="Paid",A481="GIG"),((M481*15%)-(((M481*15%)*5%))),0)</f>
        <v>0</v>
      </c>
      <c r="AH481" s="29"/>
      <c r="AI481" s="29"/>
      <c r="AJ481" s="29"/>
      <c r="AK481" s="75"/>
      <c r="AL481" s="27"/>
      <c r="AM481" s="44"/>
      <c r="AN481" s="45"/>
      <c r="AO481" s="46"/>
      <c r="AP481" s="47"/>
      <c r="AQ481" s="43" t="b">
        <f>IF(O481="Paid",IF(U481="Motor Plus",(M481*27%),IF(U481="Motor One",(M481*22%),(IF(U481="Golden",(M481*25%),(IF(U481="Classic",(M481*15%),(IF(U481="Wethaq",(M481*28%),IF(U481="Alwataniya",(M481*21%))*0)))))))))</f>
        <v>0</v>
      </c>
      <c r="AR481" s="43">
        <f t="shared" si="2"/>
        <v>0</v>
      </c>
      <c r="AS481" s="43">
        <f t="shared" si="3"/>
        <v>0</v>
      </c>
      <c r="AT481" s="48">
        <f t="shared" si="4"/>
        <v>0</v>
      </c>
      <c r="AU481" s="49">
        <f t="shared" si="359"/>
        <v>0</v>
      </c>
      <c r="AV481" s="48"/>
      <c r="AW481" s="34">
        <f t="shared" si="341"/>
        <v>47740</v>
      </c>
      <c r="AX481" s="50">
        <f t="shared" si="248"/>
        <v>0</v>
      </c>
      <c r="AY481" s="43"/>
      <c r="AZ481" s="43"/>
      <c r="BA481" s="48">
        <f t="shared" ref="BA481:BA517" si="361">IF(S481&lt;&gt;0,AU481-AO481-AM481,(AG481-AD481-AE481-AS481))</f>
        <v>0</v>
      </c>
      <c r="BB481" s="27"/>
      <c r="BC481" s="27"/>
      <c r="BD481" s="51"/>
      <c r="BE481" s="52"/>
      <c r="BF481" s="27" t="s">
        <v>1694</v>
      </c>
      <c r="BG481" s="53">
        <v>0.0</v>
      </c>
      <c r="BH481" s="53" t="str">
        <f>'[1]2023'!Q748</f>
        <v>#REF!</v>
      </c>
      <c r="BI481" s="27"/>
      <c r="BJ481" s="27"/>
      <c r="BK481" s="27" t="s">
        <v>64</v>
      </c>
      <c r="BL481" s="27"/>
    </row>
    <row r="482" ht="14.25" customHeight="1">
      <c r="A482" s="26" t="s">
        <v>55</v>
      </c>
      <c r="B482" s="26" t="s">
        <v>56</v>
      </c>
      <c r="C482" s="26" t="s">
        <v>57</v>
      </c>
      <c r="D482" s="26" t="s">
        <v>71</v>
      </c>
      <c r="E482" s="27" t="s">
        <v>1698</v>
      </c>
      <c r="F482" s="28" t="s">
        <v>1699</v>
      </c>
      <c r="G482" s="29" t="s">
        <v>1659</v>
      </c>
      <c r="H482" s="30">
        <v>45070.0</v>
      </c>
      <c r="I482" s="30">
        <v>45435.0</v>
      </c>
      <c r="J482" s="31" t="s">
        <v>1700</v>
      </c>
      <c r="K482" s="26" t="s">
        <v>427</v>
      </c>
      <c r="L482" s="102">
        <v>45113.0</v>
      </c>
      <c r="M482" s="33">
        <v>71440.0</v>
      </c>
      <c r="N482" s="34">
        <v>75794.96</v>
      </c>
      <c r="O482" s="27" t="s">
        <v>76</v>
      </c>
      <c r="P482" s="35" t="s">
        <v>89</v>
      </c>
      <c r="Q482" s="35">
        <v>0.0</v>
      </c>
      <c r="R482" s="36" t="e">
        <v>#VALUE!</v>
      </c>
      <c r="S482" s="35" t="s">
        <v>66</v>
      </c>
      <c r="T482" s="35">
        <v>0.0</v>
      </c>
      <c r="U482" s="37" t="s">
        <v>157</v>
      </c>
      <c r="V482" s="38">
        <v>2600000.0</v>
      </c>
      <c r="W482" s="78">
        <v>25098.0</v>
      </c>
      <c r="X482" s="27">
        <v>2020.0</v>
      </c>
      <c r="Y482" s="39"/>
      <c r="Z482" s="79" t="s">
        <v>1701</v>
      </c>
      <c r="AA482" s="39"/>
      <c r="AB482" s="40"/>
      <c r="AC482" s="27">
        <f t="shared" si="324"/>
        <v>0</v>
      </c>
      <c r="AD482" s="41">
        <f t="shared" si="360"/>
        <v>0</v>
      </c>
      <c r="AE482" s="42"/>
      <c r="AF482" s="27"/>
      <c r="AG482" s="43">
        <f t="shared" ref="AG482:AG492" si="362">IF(O482="Paid",IF(A482="Alwataniya",(M482*21%)-((M482*21%)*5%),IF((A482="GIG"),(M482*25%)-((M482*25%)*5%),IF((A482="Allianz"),(M482*27%)-((M482*27%)*5%),0))),0)</f>
        <v>18324.36</v>
      </c>
      <c r="AH482" s="29"/>
      <c r="AI482" s="29"/>
      <c r="AJ482" s="29"/>
      <c r="AK482" s="75"/>
      <c r="AL482" s="27"/>
      <c r="AM482" s="35">
        <f>((M482*20%)-((M482*20%)*22.5%))*30%</f>
        <v>3321.96</v>
      </c>
      <c r="AN482" s="146" t="s">
        <v>1038</v>
      </c>
      <c r="AO482" s="46"/>
      <c r="AP482" s="47"/>
      <c r="AQ482" s="43">
        <f t="shared" ref="AQ482:AQ500" si="363">IF(U482="Motor Plus",(M482*27%),IF(U482="Motor One",(M482*22%),(IF(U482="Golden",(M482*25%),(IF(U482="Classic",(M482*15%),(IF(U482="Wethaq",(M482*28%),IF(U482="Alwataniya",(M482*21%))*0))))))))</f>
        <v>15716.8</v>
      </c>
      <c r="AR482" s="43">
        <f t="shared" si="2"/>
        <v>785.84</v>
      </c>
      <c r="AS482" s="43">
        <f t="shared" si="3"/>
        <v>2750.44</v>
      </c>
      <c r="AT482" s="48">
        <f t="shared" si="4"/>
        <v>12180.52</v>
      </c>
      <c r="AU482" s="103">
        <f t="shared" si="359"/>
        <v>12180.52</v>
      </c>
      <c r="AV482" s="43"/>
      <c r="AW482" s="34">
        <f t="shared" si="341"/>
        <v>75794.96</v>
      </c>
      <c r="AX482" s="50">
        <f t="shared" si="248"/>
        <v>12251.96</v>
      </c>
      <c r="AY482" s="43"/>
      <c r="AZ482" s="43"/>
      <c r="BA482" s="48">
        <f t="shared" si="361"/>
        <v>8858.56</v>
      </c>
      <c r="BB482" s="27"/>
      <c r="BC482" s="27"/>
      <c r="BD482" s="51"/>
      <c r="BE482" s="52" t="s">
        <v>440</v>
      </c>
      <c r="BF482" s="27" t="s">
        <v>1698</v>
      </c>
      <c r="BG482" s="58" t="s">
        <v>1702</v>
      </c>
      <c r="BH482" s="53" t="str">
        <f t="shared" ref="BH482:BH483" si="364">'[1]2023'!Q776</f>
        <v>#REF!</v>
      </c>
      <c r="BI482" s="27"/>
      <c r="BJ482" s="27"/>
      <c r="BK482" s="27" t="s">
        <v>76</v>
      </c>
      <c r="BL482" s="27"/>
    </row>
    <row r="483" ht="14.25" customHeight="1">
      <c r="A483" s="26" t="s">
        <v>55</v>
      </c>
      <c r="B483" s="26" t="s">
        <v>56</v>
      </c>
      <c r="C483" s="26" t="s">
        <v>57</v>
      </c>
      <c r="D483" s="26" t="s">
        <v>71</v>
      </c>
      <c r="E483" s="27" t="s">
        <v>1703</v>
      </c>
      <c r="F483" s="28" t="s">
        <v>1704</v>
      </c>
      <c r="G483" s="29" t="s">
        <v>1659</v>
      </c>
      <c r="H483" s="30">
        <v>45070.0</v>
      </c>
      <c r="I483" s="30">
        <v>45435.0</v>
      </c>
      <c r="J483" s="31" t="s">
        <v>1705</v>
      </c>
      <c r="K483" s="26" t="s">
        <v>427</v>
      </c>
      <c r="L483" s="73" t="s">
        <v>1706</v>
      </c>
      <c r="M483" s="33">
        <v>11700.0</v>
      </c>
      <c r="N483" s="34">
        <v>12534.3</v>
      </c>
      <c r="O483" s="27" t="s">
        <v>76</v>
      </c>
      <c r="P483" s="35" t="s">
        <v>89</v>
      </c>
      <c r="Q483" s="35" t="s">
        <v>65</v>
      </c>
      <c r="R483" s="36" t="e">
        <v>#VALUE!</v>
      </c>
      <c r="S483" s="35" t="s">
        <v>66</v>
      </c>
      <c r="T483" s="35">
        <v>0.0</v>
      </c>
      <c r="U483" s="37" t="s">
        <v>67</v>
      </c>
      <c r="V483" s="38">
        <v>600000.0</v>
      </c>
      <c r="W483" s="78">
        <v>51141.0</v>
      </c>
      <c r="X483" s="27">
        <v>2021.0</v>
      </c>
      <c r="Y483" s="39"/>
      <c r="Z483" s="79" t="s">
        <v>1707</v>
      </c>
      <c r="AA483" s="39"/>
      <c r="AB483" s="40"/>
      <c r="AC483" s="27">
        <f t="shared" si="324"/>
        <v>0</v>
      </c>
      <c r="AD483" s="41"/>
      <c r="AE483" s="42"/>
      <c r="AF483" s="27"/>
      <c r="AG483" s="43">
        <f t="shared" si="362"/>
        <v>3001.05</v>
      </c>
      <c r="AH483" s="29"/>
      <c r="AI483" s="29"/>
      <c r="AJ483" s="29"/>
      <c r="AK483" s="75"/>
      <c r="AL483" s="27"/>
      <c r="AM483" s="35">
        <f>((M483*27%)-((M483*27%)*22.5%))*30%</f>
        <v>734.4675</v>
      </c>
      <c r="AN483" s="146" t="s">
        <v>1038</v>
      </c>
      <c r="AO483" s="46"/>
      <c r="AP483" s="47"/>
      <c r="AQ483" s="43">
        <f t="shared" si="363"/>
        <v>3159</v>
      </c>
      <c r="AR483" s="43">
        <f t="shared" si="2"/>
        <v>157.95</v>
      </c>
      <c r="AS483" s="43">
        <f t="shared" si="3"/>
        <v>552.825</v>
      </c>
      <c r="AT483" s="48">
        <f t="shared" si="4"/>
        <v>2448.225</v>
      </c>
      <c r="AU483" s="49">
        <f t="shared" si="359"/>
        <v>2448.225</v>
      </c>
      <c r="AV483" s="48"/>
      <c r="AW483" s="34">
        <f t="shared" si="341"/>
        <v>12534.3</v>
      </c>
      <c r="AX483" s="50">
        <f t="shared" si="248"/>
        <v>1713.7575</v>
      </c>
      <c r="AY483" s="43"/>
      <c r="AZ483" s="43"/>
      <c r="BA483" s="48">
        <f t="shared" si="361"/>
        <v>1713.7575</v>
      </c>
      <c r="BB483" s="27"/>
      <c r="BC483" s="27"/>
      <c r="BD483" s="51"/>
      <c r="BE483" s="52" t="s">
        <v>440</v>
      </c>
      <c r="BF483" s="27" t="s">
        <v>1703</v>
      </c>
      <c r="BG483" s="53">
        <v>0.0</v>
      </c>
      <c r="BH483" s="53" t="str">
        <f t="shared" si="364"/>
        <v>#REF!</v>
      </c>
      <c r="BI483" s="27"/>
      <c r="BJ483" s="27"/>
      <c r="BK483" s="27" t="s">
        <v>76</v>
      </c>
      <c r="BL483" s="27"/>
    </row>
    <row r="484" ht="14.25" customHeight="1">
      <c r="A484" s="26" t="s">
        <v>55</v>
      </c>
      <c r="B484" s="26" t="s">
        <v>56</v>
      </c>
      <c r="C484" s="26" t="s">
        <v>57</v>
      </c>
      <c r="D484" s="26" t="s">
        <v>58</v>
      </c>
      <c r="E484" s="27" t="s">
        <v>1708</v>
      </c>
      <c r="F484" s="28" t="s">
        <v>1709</v>
      </c>
      <c r="G484" s="29" t="s">
        <v>1659</v>
      </c>
      <c r="H484" s="30">
        <v>45070.0</v>
      </c>
      <c r="I484" s="30">
        <v>45435.0</v>
      </c>
      <c r="J484" s="31">
        <v>0.0</v>
      </c>
      <c r="K484" s="26" t="s">
        <v>427</v>
      </c>
      <c r="L484" s="32" t="s">
        <v>75</v>
      </c>
      <c r="M484" s="33">
        <v>3235.46</v>
      </c>
      <c r="N484" s="34">
        <v>3426.35</v>
      </c>
      <c r="O484" s="27" t="s">
        <v>76</v>
      </c>
      <c r="P484" s="35" t="s">
        <v>122</v>
      </c>
      <c r="Q484" s="35" t="s">
        <v>85</v>
      </c>
      <c r="R484" s="36" t="e">
        <v>#VALUE!</v>
      </c>
      <c r="S484" s="35" t="s">
        <v>86</v>
      </c>
      <c r="T484" s="35">
        <v>0.0</v>
      </c>
      <c r="U484" s="37" t="s">
        <v>67</v>
      </c>
      <c r="V484" s="38"/>
      <c r="W484" s="38"/>
      <c r="X484" s="27"/>
      <c r="Y484" s="39"/>
      <c r="Z484" s="39"/>
      <c r="AA484" s="39"/>
      <c r="AB484" s="40"/>
      <c r="AC484" s="27">
        <f t="shared" si="324"/>
        <v>0</v>
      </c>
      <c r="AD484" s="41">
        <f>IF(AND(S484="0",O484="Paid"),M484*15%,0)</f>
        <v>485.319</v>
      </c>
      <c r="AE484" s="42"/>
      <c r="AF484" s="27"/>
      <c r="AG484" s="43">
        <f t="shared" si="362"/>
        <v>829.89549</v>
      </c>
      <c r="AH484" s="29"/>
      <c r="AI484" s="29"/>
      <c r="AJ484" s="29"/>
      <c r="AK484" s="29"/>
      <c r="AL484" s="27"/>
      <c r="AM484" s="44"/>
      <c r="AN484" s="45"/>
      <c r="AO484" s="46"/>
      <c r="AP484" s="47"/>
      <c r="AQ484" s="43">
        <f t="shared" si="363"/>
        <v>873.5742</v>
      </c>
      <c r="AR484" s="43">
        <f t="shared" si="2"/>
        <v>43.67871</v>
      </c>
      <c r="AS484" s="43">
        <f t="shared" si="3"/>
        <v>152.875485</v>
      </c>
      <c r="AT484" s="48">
        <f t="shared" si="4"/>
        <v>677.020005</v>
      </c>
      <c r="AU484" s="49">
        <f t="shared" si="359"/>
        <v>677.020005</v>
      </c>
      <c r="AV484" s="48"/>
      <c r="AW484" s="34">
        <f t="shared" si="341"/>
        <v>2941.031</v>
      </c>
      <c r="AX484" s="50">
        <f t="shared" si="248"/>
        <v>191.701005</v>
      </c>
      <c r="AY484" s="43"/>
      <c r="AZ484" s="43"/>
      <c r="BA484" s="48">
        <f t="shared" si="361"/>
        <v>677.020005</v>
      </c>
      <c r="BB484" s="27"/>
      <c r="BC484" s="27"/>
      <c r="BD484" s="51"/>
      <c r="BE484" s="52"/>
      <c r="BF484" s="27" t="s">
        <v>1708</v>
      </c>
      <c r="BG484" s="53">
        <v>0.0</v>
      </c>
      <c r="BH484" s="53" t="str">
        <f t="shared" ref="BH484:BH485" si="365">'[1]2023'!Q858</f>
        <v>#REF!</v>
      </c>
      <c r="BI484" s="27"/>
      <c r="BJ484" s="27"/>
      <c r="BK484" s="27" t="s">
        <v>76</v>
      </c>
      <c r="BL484" s="27"/>
    </row>
    <row r="485" ht="14.25" customHeight="1">
      <c r="A485" s="26" t="s">
        <v>55</v>
      </c>
      <c r="B485" s="26" t="s">
        <v>56</v>
      </c>
      <c r="C485" s="26" t="s">
        <v>57</v>
      </c>
      <c r="D485" s="26" t="s">
        <v>58</v>
      </c>
      <c r="E485" s="27" t="s">
        <v>1710</v>
      </c>
      <c r="F485" s="28" t="s">
        <v>1711</v>
      </c>
      <c r="G485" s="29" t="s">
        <v>1659</v>
      </c>
      <c r="H485" s="30">
        <v>45070.0</v>
      </c>
      <c r="I485" s="30">
        <v>45435.0</v>
      </c>
      <c r="J485" s="31" t="s">
        <v>1712</v>
      </c>
      <c r="K485" s="26" t="s">
        <v>427</v>
      </c>
      <c r="L485" s="32" t="s">
        <v>75</v>
      </c>
      <c r="M485" s="33">
        <v>3861.27</v>
      </c>
      <c r="N485" s="34">
        <v>4089.08</v>
      </c>
      <c r="O485" s="27" t="s">
        <v>76</v>
      </c>
      <c r="P485" s="35" t="s">
        <v>89</v>
      </c>
      <c r="Q485" s="35" t="s">
        <v>90</v>
      </c>
      <c r="R485" s="36" t="e">
        <v>#VALUE!</v>
      </c>
      <c r="S485" s="35" t="s">
        <v>86</v>
      </c>
      <c r="T485" s="35">
        <v>0.0</v>
      </c>
      <c r="U485" s="37" t="s">
        <v>67</v>
      </c>
      <c r="V485" s="38"/>
      <c r="W485" s="38"/>
      <c r="X485" s="27"/>
      <c r="Y485" s="39"/>
      <c r="Z485" s="39"/>
      <c r="AA485" s="39"/>
      <c r="AB485" s="40"/>
      <c r="AC485" s="27">
        <f t="shared" si="324"/>
        <v>0</v>
      </c>
      <c r="AD485" s="41">
        <f>IF(AND(S485="0",O485="Paid"),(M485*15%)-AC485,0)</f>
        <v>579.1905</v>
      </c>
      <c r="AE485" s="42"/>
      <c r="AF485" s="27"/>
      <c r="AG485" s="43">
        <f t="shared" si="362"/>
        <v>990.415755</v>
      </c>
      <c r="AH485" s="29"/>
      <c r="AI485" s="29"/>
      <c r="AJ485" s="29"/>
      <c r="AK485" s="29"/>
      <c r="AL485" s="27"/>
      <c r="AM485" s="44"/>
      <c r="AN485" s="45"/>
      <c r="AO485" s="46"/>
      <c r="AP485" s="47"/>
      <c r="AQ485" s="43">
        <f t="shared" si="363"/>
        <v>1042.5429</v>
      </c>
      <c r="AR485" s="43">
        <f t="shared" si="2"/>
        <v>52.127145</v>
      </c>
      <c r="AS485" s="43">
        <f t="shared" si="3"/>
        <v>182.4450075</v>
      </c>
      <c r="AT485" s="48">
        <f t="shared" si="4"/>
        <v>807.9707475</v>
      </c>
      <c r="AU485" s="49">
        <f t="shared" si="359"/>
        <v>807.9707475</v>
      </c>
      <c r="AV485" s="48"/>
      <c r="AW485" s="34">
        <f t="shared" si="341"/>
        <v>3509.8895</v>
      </c>
      <c r="AX485" s="50">
        <f t="shared" si="248"/>
        <v>228.7802475</v>
      </c>
      <c r="AY485" s="43"/>
      <c r="AZ485" s="43"/>
      <c r="BA485" s="48">
        <f t="shared" si="361"/>
        <v>807.9707475</v>
      </c>
      <c r="BB485" s="27"/>
      <c r="BC485" s="27"/>
      <c r="BD485" s="51"/>
      <c r="BE485" s="52"/>
      <c r="BF485" s="27" t="s">
        <v>1710</v>
      </c>
      <c r="BG485" s="58" t="s">
        <v>1713</v>
      </c>
      <c r="BH485" s="53" t="str">
        <f t="shared" si="365"/>
        <v>#REF!</v>
      </c>
      <c r="BI485" s="27"/>
      <c r="BJ485" s="27"/>
      <c r="BK485" s="27" t="s">
        <v>76</v>
      </c>
      <c r="BL485" s="27"/>
    </row>
    <row r="486" ht="14.25" customHeight="1">
      <c r="A486" s="26" t="s">
        <v>55</v>
      </c>
      <c r="B486" s="26" t="s">
        <v>56</v>
      </c>
      <c r="C486" s="26" t="s">
        <v>57</v>
      </c>
      <c r="D486" s="26" t="s">
        <v>58</v>
      </c>
      <c r="E486" s="27" t="s">
        <v>1714</v>
      </c>
      <c r="F486" s="28" t="s">
        <v>1715</v>
      </c>
      <c r="G486" s="29" t="s">
        <v>1659</v>
      </c>
      <c r="H486" s="30">
        <v>45070.0</v>
      </c>
      <c r="I486" s="30">
        <v>45435.0</v>
      </c>
      <c r="J486" s="31" t="s">
        <v>1716</v>
      </c>
      <c r="K486" s="26" t="s">
        <v>427</v>
      </c>
      <c r="L486" s="32" t="s">
        <v>75</v>
      </c>
      <c r="M486" s="33">
        <v>3305.3</v>
      </c>
      <c r="N486" s="34">
        <v>3500.32</v>
      </c>
      <c r="O486" s="27" t="s">
        <v>76</v>
      </c>
      <c r="P486" s="35" t="s">
        <v>89</v>
      </c>
      <c r="Q486" s="35" t="s">
        <v>85</v>
      </c>
      <c r="R486" s="36" t="e">
        <v>#VALUE!</v>
      </c>
      <c r="S486" s="35" t="s">
        <v>86</v>
      </c>
      <c r="T486" s="35">
        <v>0.0</v>
      </c>
      <c r="U486" s="37" t="s">
        <v>67</v>
      </c>
      <c r="V486" s="38"/>
      <c r="W486" s="38"/>
      <c r="X486" s="27"/>
      <c r="Y486" s="39"/>
      <c r="Z486" s="39"/>
      <c r="AA486" s="39"/>
      <c r="AB486" s="40"/>
      <c r="AC486" s="27">
        <f t="shared" si="324"/>
        <v>0</v>
      </c>
      <c r="AD486" s="41">
        <f>IF(AND(S486="0",O486="Paid"),M486*15%,0)</f>
        <v>495.795</v>
      </c>
      <c r="AE486" s="42"/>
      <c r="AF486" s="27"/>
      <c r="AG486" s="43">
        <f t="shared" si="362"/>
        <v>847.80945</v>
      </c>
      <c r="AH486" s="29"/>
      <c r="AI486" s="29"/>
      <c r="AJ486" s="29"/>
      <c r="AK486" s="29"/>
      <c r="AL486" s="27"/>
      <c r="AM486" s="44"/>
      <c r="AN486" s="45"/>
      <c r="AO486" s="46"/>
      <c r="AP486" s="47"/>
      <c r="AQ486" s="43">
        <f t="shared" si="363"/>
        <v>892.431</v>
      </c>
      <c r="AR486" s="43">
        <f t="shared" si="2"/>
        <v>44.62155</v>
      </c>
      <c r="AS486" s="43">
        <f t="shared" si="3"/>
        <v>156.175425</v>
      </c>
      <c r="AT486" s="48">
        <f t="shared" si="4"/>
        <v>691.634025</v>
      </c>
      <c r="AU486" s="49">
        <f t="shared" si="359"/>
        <v>691.634025</v>
      </c>
      <c r="AV486" s="48"/>
      <c r="AW486" s="34">
        <f t="shared" si="341"/>
        <v>3004.525</v>
      </c>
      <c r="AX486" s="50">
        <f t="shared" si="248"/>
        <v>195.839025</v>
      </c>
      <c r="AY486" s="43"/>
      <c r="AZ486" s="43"/>
      <c r="BA486" s="48">
        <f t="shared" si="361"/>
        <v>691.634025</v>
      </c>
      <c r="BB486" s="27"/>
      <c r="BC486" s="27"/>
      <c r="BD486" s="51"/>
      <c r="BE486" s="52"/>
      <c r="BF486" s="27" t="s">
        <v>1714</v>
      </c>
      <c r="BG486" s="58" t="s">
        <v>1717</v>
      </c>
      <c r="BH486" s="53" t="str">
        <f t="shared" ref="BH486:BH488" si="366">'[1]2023'!Q861</f>
        <v>#REF!</v>
      </c>
      <c r="BI486" s="27"/>
      <c r="BJ486" s="27"/>
      <c r="BK486" s="27" t="s">
        <v>76</v>
      </c>
      <c r="BL486" s="27"/>
    </row>
    <row r="487" ht="14.25" customHeight="1">
      <c r="A487" s="26" t="s">
        <v>55</v>
      </c>
      <c r="B487" s="26" t="s">
        <v>56</v>
      </c>
      <c r="C487" s="26" t="s">
        <v>57</v>
      </c>
      <c r="D487" s="26" t="s">
        <v>58</v>
      </c>
      <c r="E487" s="27" t="s">
        <v>1718</v>
      </c>
      <c r="F487" s="28" t="s">
        <v>1719</v>
      </c>
      <c r="G487" s="29" t="s">
        <v>1659</v>
      </c>
      <c r="H487" s="30">
        <v>45070.0</v>
      </c>
      <c r="I487" s="30">
        <v>45435.0</v>
      </c>
      <c r="J487" s="31">
        <v>0.0</v>
      </c>
      <c r="K487" s="26" t="s">
        <v>427</v>
      </c>
      <c r="L487" s="73" t="s">
        <v>75</v>
      </c>
      <c r="M487" s="33">
        <v>6924.82</v>
      </c>
      <c r="N487" s="34">
        <v>7333.38</v>
      </c>
      <c r="O487" s="27" t="s">
        <v>76</v>
      </c>
      <c r="P487" s="35" t="s">
        <v>95</v>
      </c>
      <c r="Q487" s="35" t="s">
        <v>65</v>
      </c>
      <c r="R487" s="36" t="e">
        <v>#VALUE!</v>
      </c>
      <c r="S487" s="35" t="s">
        <v>86</v>
      </c>
      <c r="T487" s="35">
        <v>0.0</v>
      </c>
      <c r="U487" s="37" t="s">
        <v>67</v>
      </c>
      <c r="V487" s="38"/>
      <c r="W487" s="38"/>
      <c r="X487" s="27"/>
      <c r="Y487" s="39"/>
      <c r="Z487" s="39"/>
      <c r="AA487" s="39"/>
      <c r="AB487" s="40"/>
      <c r="AC487" s="27">
        <f t="shared" si="324"/>
        <v>0</v>
      </c>
      <c r="AD487" s="41"/>
      <c r="AE487" s="42"/>
      <c r="AF487" s="27"/>
      <c r="AG487" s="43">
        <f t="shared" si="362"/>
        <v>1776.21633</v>
      </c>
      <c r="AH487" s="29"/>
      <c r="AI487" s="29"/>
      <c r="AJ487" s="29"/>
      <c r="AK487" s="75"/>
      <c r="AL487" s="27"/>
      <c r="AM487" s="44"/>
      <c r="AN487" s="45"/>
      <c r="AO487" s="46"/>
      <c r="AP487" s="47"/>
      <c r="AQ487" s="43">
        <f t="shared" si="363"/>
        <v>1869.7014</v>
      </c>
      <c r="AR487" s="43">
        <f t="shared" si="2"/>
        <v>93.48507</v>
      </c>
      <c r="AS487" s="43">
        <f t="shared" si="3"/>
        <v>327.197745</v>
      </c>
      <c r="AT487" s="48">
        <f t="shared" si="4"/>
        <v>1449.018585</v>
      </c>
      <c r="AU487" s="103">
        <f t="shared" si="359"/>
        <v>1449.018585</v>
      </c>
      <c r="AV487" s="48"/>
      <c r="AW487" s="34">
        <f t="shared" si="341"/>
        <v>7333.38</v>
      </c>
      <c r="AX487" s="50">
        <f t="shared" si="248"/>
        <v>1449.018585</v>
      </c>
      <c r="AY487" s="43"/>
      <c r="AZ487" s="43"/>
      <c r="BA487" s="48">
        <f t="shared" si="361"/>
        <v>1449.018585</v>
      </c>
      <c r="BB487" s="27"/>
      <c r="BC487" s="27"/>
      <c r="BD487" s="51"/>
      <c r="BE487" s="52"/>
      <c r="BF487" s="27" t="s">
        <v>1718</v>
      </c>
      <c r="BG487" s="53">
        <v>0.0</v>
      </c>
      <c r="BH487" s="53" t="str">
        <f t="shared" si="366"/>
        <v>#REF!</v>
      </c>
      <c r="BI487" s="27"/>
      <c r="BJ487" s="27"/>
      <c r="BK487" s="27" t="s">
        <v>76</v>
      </c>
      <c r="BL487" s="27"/>
    </row>
    <row r="488" ht="14.25" customHeight="1">
      <c r="A488" s="26" t="s">
        <v>55</v>
      </c>
      <c r="B488" s="26" t="s">
        <v>56</v>
      </c>
      <c r="C488" s="26" t="s">
        <v>57</v>
      </c>
      <c r="D488" s="26" t="s">
        <v>58</v>
      </c>
      <c r="E488" s="27" t="s">
        <v>1720</v>
      </c>
      <c r="F488" s="28" t="s">
        <v>1721</v>
      </c>
      <c r="G488" s="29" t="s">
        <v>1659</v>
      </c>
      <c r="H488" s="30">
        <v>45070.0</v>
      </c>
      <c r="I488" s="30">
        <v>45435.0</v>
      </c>
      <c r="J488" s="31">
        <v>0.0</v>
      </c>
      <c r="K488" s="26" t="s">
        <v>427</v>
      </c>
      <c r="L488" s="32" t="s">
        <v>75</v>
      </c>
      <c r="M488" s="33">
        <v>4425.7</v>
      </c>
      <c r="N488" s="34">
        <v>4686.82</v>
      </c>
      <c r="O488" s="27" t="s">
        <v>76</v>
      </c>
      <c r="P488" s="35" t="s">
        <v>122</v>
      </c>
      <c r="Q488" s="35" t="s">
        <v>90</v>
      </c>
      <c r="R488" s="36" t="e">
        <v>#VALUE!</v>
      </c>
      <c r="S488" s="35" t="s">
        <v>86</v>
      </c>
      <c r="T488" s="35">
        <v>0.0</v>
      </c>
      <c r="U488" s="37" t="s">
        <v>67</v>
      </c>
      <c r="V488" s="38"/>
      <c r="W488" s="38"/>
      <c r="X488" s="27"/>
      <c r="Y488" s="39"/>
      <c r="Z488" s="39"/>
      <c r="AA488" s="39"/>
      <c r="AB488" s="40"/>
      <c r="AC488" s="27">
        <f t="shared" si="324"/>
        <v>0</v>
      </c>
      <c r="AD488" s="41">
        <f>IF(AND(S488="0",O488="Paid"),M488*15%,0)</f>
        <v>663.855</v>
      </c>
      <c r="AE488" s="42"/>
      <c r="AF488" s="27"/>
      <c r="AG488" s="43">
        <f t="shared" si="362"/>
        <v>1135.19205</v>
      </c>
      <c r="AH488" s="29"/>
      <c r="AI488" s="29"/>
      <c r="AJ488" s="29"/>
      <c r="AK488" s="29"/>
      <c r="AL488" s="27"/>
      <c r="AM488" s="27"/>
      <c r="AN488" s="63"/>
      <c r="AO488" s="46"/>
      <c r="AP488" s="47"/>
      <c r="AQ488" s="43">
        <f t="shared" si="363"/>
        <v>1194.939</v>
      </c>
      <c r="AR488" s="43">
        <f t="shared" si="2"/>
        <v>59.74695</v>
      </c>
      <c r="AS488" s="43">
        <f t="shared" si="3"/>
        <v>209.114325</v>
      </c>
      <c r="AT488" s="48">
        <f t="shared" si="4"/>
        <v>926.077725</v>
      </c>
      <c r="AU488" s="49">
        <f t="shared" si="359"/>
        <v>926.077725</v>
      </c>
      <c r="AV488" s="48"/>
      <c r="AW488" s="34">
        <f t="shared" si="341"/>
        <v>4022.965</v>
      </c>
      <c r="AX488" s="50">
        <f t="shared" si="248"/>
        <v>262.222725</v>
      </c>
      <c r="AY488" s="43"/>
      <c r="AZ488" s="43"/>
      <c r="BA488" s="48">
        <f t="shared" si="361"/>
        <v>926.077725</v>
      </c>
      <c r="BB488" s="27"/>
      <c r="BC488" s="27"/>
      <c r="BD488" s="51"/>
      <c r="BE488" s="52"/>
      <c r="BF488" s="27" t="s">
        <v>1720</v>
      </c>
      <c r="BG488" s="53">
        <v>0.0</v>
      </c>
      <c r="BH488" s="53" t="str">
        <f t="shared" si="366"/>
        <v>#REF!</v>
      </c>
      <c r="BI488" s="27"/>
      <c r="BJ488" s="27"/>
      <c r="BK488" s="27" t="s">
        <v>76</v>
      </c>
      <c r="BL488" s="27"/>
    </row>
    <row r="489" ht="14.25" customHeight="1">
      <c r="A489" s="26" t="s">
        <v>55</v>
      </c>
      <c r="B489" s="26" t="s">
        <v>56</v>
      </c>
      <c r="C489" s="26" t="s">
        <v>57</v>
      </c>
      <c r="D489" s="26" t="s">
        <v>81</v>
      </c>
      <c r="E489" s="27" t="s">
        <v>1722</v>
      </c>
      <c r="F489" s="28" t="s">
        <v>1723</v>
      </c>
      <c r="G489" s="29" t="s">
        <v>1724</v>
      </c>
      <c r="H489" s="30">
        <v>45071.0</v>
      </c>
      <c r="I489" s="30">
        <v>45436.0</v>
      </c>
      <c r="J489" s="31">
        <v>0.0</v>
      </c>
      <c r="K489" s="26" t="s">
        <v>427</v>
      </c>
      <c r="L489" s="73" t="s">
        <v>75</v>
      </c>
      <c r="M489" s="33">
        <v>22420.0</v>
      </c>
      <c r="N489" s="34">
        <v>23883.78</v>
      </c>
      <c r="O489" s="27" t="s">
        <v>76</v>
      </c>
      <c r="P489" s="35" t="s">
        <v>89</v>
      </c>
      <c r="Q489" s="35" t="s">
        <v>65</v>
      </c>
      <c r="R489" s="36" t="e">
        <v>#VALUE!</v>
      </c>
      <c r="S489" s="35" t="s">
        <v>86</v>
      </c>
      <c r="T489" s="35">
        <v>0.0</v>
      </c>
      <c r="U489" s="37" t="s">
        <v>67</v>
      </c>
      <c r="V489" s="38"/>
      <c r="W489" s="38"/>
      <c r="X489" s="27"/>
      <c r="Y489" s="39"/>
      <c r="Z489" s="39"/>
      <c r="AA489" s="39"/>
      <c r="AB489" s="40"/>
      <c r="AC489" s="27">
        <f t="shared" si="324"/>
        <v>0</v>
      </c>
      <c r="AD489" s="41"/>
      <c r="AE489" s="42"/>
      <c r="AF489" s="27"/>
      <c r="AG489" s="43">
        <f t="shared" si="362"/>
        <v>5750.73</v>
      </c>
      <c r="AH489" s="29"/>
      <c r="AI489" s="29"/>
      <c r="AJ489" s="29"/>
      <c r="AK489" s="29"/>
      <c r="AL489" s="27"/>
      <c r="AM489" s="44"/>
      <c r="AN489" s="115"/>
      <c r="AO489" s="46"/>
      <c r="AP489" s="47"/>
      <c r="AQ489" s="43">
        <f t="shared" si="363"/>
        <v>6053.4</v>
      </c>
      <c r="AR489" s="43">
        <f t="shared" si="2"/>
        <v>302.67</v>
      </c>
      <c r="AS489" s="43">
        <f t="shared" si="3"/>
        <v>1059.345</v>
      </c>
      <c r="AT489" s="48">
        <f t="shared" si="4"/>
        <v>4691.385</v>
      </c>
      <c r="AU489" s="103">
        <f t="shared" si="359"/>
        <v>4691.385</v>
      </c>
      <c r="AV489" s="48"/>
      <c r="AW489" s="34">
        <f t="shared" si="341"/>
        <v>23883.78</v>
      </c>
      <c r="AX489" s="50">
        <f t="shared" si="248"/>
        <v>4691.385</v>
      </c>
      <c r="AY489" s="43"/>
      <c r="AZ489" s="43"/>
      <c r="BA489" s="48">
        <f t="shared" si="361"/>
        <v>4691.385</v>
      </c>
      <c r="BB489" s="27"/>
      <c r="BC489" s="27"/>
      <c r="BD489" s="51"/>
      <c r="BE489" s="52"/>
      <c r="BF489" s="27" t="s">
        <v>1722</v>
      </c>
      <c r="BG489" s="53">
        <v>0.0</v>
      </c>
      <c r="BH489" s="53" t="str">
        <f>'[1]2023'!Q559</f>
        <v>#REF!</v>
      </c>
      <c r="BI489" s="27"/>
      <c r="BJ489" s="27"/>
      <c r="BK489" s="27" t="s">
        <v>76</v>
      </c>
      <c r="BL489" s="27"/>
    </row>
    <row r="490" ht="14.25" customHeight="1">
      <c r="A490" s="26" t="s">
        <v>55</v>
      </c>
      <c r="B490" s="26" t="s">
        <v>56</v>
      </c>
      <c r="C490" s="26" t="s">
        <v>57</v>
      </c>
      <c r="D490" s="26" t="s">
        <v>81</v>
      </c>
      <c r="E490" s="27" t="s">
        <v>1725</v>
      </c>
      <c r="F490" s="28" t="s">
        <v>1726</v>
      </c>
      <c r="G490" s="29" t="s">
        <v>1724</v>
      </c>
      <c r="H490" s="30">
        <v>45071.0</v>
      </c>
      <c r="I490" s="30">
        <v>45436.0</v>
      </c>
      <c r="J490" s="31">
        <v>0.0</v>
      </c>
      <c r="K490" s="26" t="s">
        <v>427</v>
      </c>
      <c r="L490" s="32" t="s">
        <v>75</v>
      </c>
      <c r="M490" s="33">
        <v>33040.0</v>
      </c>
      <c r="N490" s="34">
        <v>35129.36</v>
      </c>
      <c r="O490" s="27" t="s">
        <v>76</v>
      </c>
      <c r="P490" s="35" t="s">
        <v>89</v>
      </c>
      <c r="Q490" s="35" t="s">
        <v>108</v>
      </c>
      <c r="R490" s="36" t="e">
        <v>#VALUE!</v>
      </c>
      <c r="S490" s="35" t="s">
        <v>86</v>
      </c>
      <c r="T490" s="35">
        <v>0.0</v>
      </c>
      <c r="U490" s="37" t="s">
        <v>67</v>
      </c>
      <c r="V490" s="38"/>
      <c r="W490" s="38"/>
      <c r="X490" s="27"/>
      <c r="Y490" s="39"/>
      <c r="Z490" s="39"/>
      <c r="AA490" s="39"/>
      <c r="AB490" s="40"/>
      <c r="AC490" s="27">
        <f t="shared" si="324"/>
        <v>0</v>
      </c>
      <c r="AD490" s="41">
        <f>IF(AND(S490="0",O490="Paid"),M490*15%,0)</f>
        <v>4956</v>
      </c>
      <c r="AE490" s="42"/>
      <c r="AF490" s="27" t="s">
        <v>880</v>
      </c>
      <c r="AG490" s="43">
        <f t="shared" si="362"/>
        <v>8474.76</v>
      </c>
      <c r="AH490" s="29"/>
      <c r="AI490" s="29"/>
      <c r="AJ490" s="29"/>
      <c r="AK490" s="29"/>
      <c r="AL490" s="27"/>
      <c r="AM490" s="27"/>
      <c r="AN490" s="93"/>
      <c r="AO490" s="76"/>
      <c r="AP490" s="47"/>
      <c r="AQ490" s="43">
        <f t="shared" si="363"/>
        <v>8920.8</v>
      </c>
      <c r="AR490" s="43">
        <f t="shared" si="2"/>
        <v>446.04</v>
      </c>
      <c r="AS490" s="43">
        <f t="shared" si="3"/>
        <v>1561.14</v>
      </c>
      <c r="AT490" s="48">
        <f t="shared" si="4"/>
        <v>6913.62</v>
      </c>
      <c r="AU490" s="49">
        <f t="shared" si="359"/>
        <v>6913.62</v>
      </c>
      <c r="AV490" s="48"/>
      <c r="AW490" s="34">
        <f t="shared" si="341"/>
        <v>30173.36</v>
      </c>
      <c r="AX490" s="50">
        <f t="shared" si="248"/>
        <v>1957.62</v>
      </c>
      <c r="AY490" s="43"/>
      <c r="AZ490" s="43"/>
      <c r="BA490" s="48">
        <f t="shared" si="361"/>
        <v>6913.62</v>
      </c>
      <c r="BB490" s="27"/>
      <c r="BC490" s="27"/>
      <c r="BD490" s="51"/>
      <c r="BE490" s="52"/>
      <c r="BF490" s="27" t="s">
        <v>1725</v>
      </c>
      <c r="BG490" s="58" t="s">
        <v>1727</v>
      </c>
      <c r="BH490" s="53" t="str">
        <f>'[1]2023'!Q600</f>
        <v>#REF!</v>
      </c>
      <c r="BI490" s="27"/>
      <c r="BJ490" s="27"/>
      <c r="BK490" s="27" t="s">
        <v>76</v>
      </c>
      <c r="BL490" s="27"/>
    </row>
    <row r="491" ht="14.25" customHeight="1">
      <c r="A491" s="26" t="s">
        <v>55</v>
      </c>
      <c r="B491" s="26" t="s">
        <v>1099</v>
      </c>
      <c r="C491" s="26" t="s">
        <v>70</v>
      </c>
      <c r="D491" s="26" t="s">
        <v>71</v>
      </c>
      <c r="E491" s="27" t="s">
        <v>1728</v>
      </c>
      <c r="F491" s="28" t="s">
        <v>1729</v>
      </c>
      <c r="G491" s="29" t="s">
        <v>1724</v>
      </c>
      <c r="H491" s="30">
        <v>45071.0</v>
      </c>
      <c r="I491" s="30">
        <v>45436.0</v>
      </c>
      <c r="J491" s="31">
        <v>0.0</v>
      </c>
      <c r="K491" s="26" t="s">
        <v>427</v>
      </c>
      <c r="L491" s="32" t="s">
        <v>75</v>
      </c>
      <c r="M491" s="108">
        <v>119186.0</v>
      </c>
      <c r="N491" s="34">
        <v>119186.0</v>
      </c>
      <c r="O491" s="27" t="s">
        <v>76</v>
      </c>
      <c r="P491" s="35" t="s">
        <v>89</v>
      </c>
      <c r="Q491" s="35">
        <v>0.0</v>
      </c>
      <c r="R491" s="36" t="e">
        <v>#VALUE!</v>
      </c>
      <c r="S491" s="35" t="s">
        <v>66</v>
      </c>
      <c r="T491" s="35">
        <v>0.0</v>
      </c>
      <c r="U491" s="37" t="s">
        <v>1099</v>
      </c>
      <c r="V491" s="38"/>
      <c r="W491" s="38"/>
      <c r="X491" s="27"/>
      <c r="Y491" s="39"/>
      <c r="Z491" s="39"/>
      <c r="AA491" s="39"/>
      <c r="AB491" s="40"/>
      <c r="AC491" s="27">
        <f t="shared" si="324"/>
        <v>0</v>
      </c>
      <c r="AD491" s="41">
        <f t="shared" ref="AD491:AD492" si="367">IF(AND(S491="0",O491="Paid"),(M491*15%)-AC491,0)</f>
        <v>0</v>
      </c>
      <c r="AE491" s="42"/>
      <c r="AF491" s="27"/>
      <c r="AG491" s="43">
        <f t="shared" si="362"/>
        <v>30571.209</v>
      </c>
      <c r="AH491" s="29"/>
      <c r="AI491" s="29"/>
      <c r="AJ491" s="29"/>
      <c r="AK491" s="29"/>
      <c r="AL491" s="27"/>
      <c r="AM491" s="46">
        <f>((M491*10%)-AC491-((M491*10%)*22.5%))*30%</f>
        <v>2771.0745</v>
      </c>
      <c r="AN491" s="45" t="s">
        <v>1730</v>
      </c>
      <c r="AO491" s="46"/>
      <c r="AP491" s="47"/>
      <c r="AQ491" s="43">
        <f t="shared" si="363"/>
        <v>0</v>
      </c>
      <c r="AR491" s="43">
        <f t="shared" si="2"/>
        <v>0</v>
      </c>
      <c r="AS491" s="43">
        <f t="shared" si="3"/>
        <v>0</v>
      </c>
      <c r="AT491" s="48">
        <f t="shared" si="4"/>
        <v>0</v>
      </c>
      <c r="AU491" s="49">
        <f t="shared" si="359"/>
        <v>0</v>
      </c>
      <c r="AV491" s="48"/>
      <c r="AW491" s="34">
        <f t="shared" si="341"/>
        <v>119186</v>
      </c>
      <c r="AX491" s="50">
        <f t="shared" si="248"/>
        <v>27800.1345</v>
      </c>
      <c r="AY491" s="43"/>
      <c r="AZ491" s="43"/>
      <c r="BA491" s="48">
        <f t="shared" si="361"/>
        <v>-2771.0745</v>
      </c>
      <c r="BB491" s="27"/>
      <c r="BC491" s="27"/>
      <c r="BD491" s="51"/>
      <c r="BE491" s="52"/>
      <c r="BF491" s="27" t="s">
        <v>1728</v>
      </c>
      <c r="BG491" s="58" t="s">
        <v>1731</v>
      </c>
      <c r="BH491" s="53" t="str">
        <f>'[1]2023'!Q710</f>
        <v>#REF!</v>
      </c>
      <c r="BI491" s="27"/>
      <c r="BJ491" s="27"/>
      <c r="BK491" s="27" t="s">
        <v>76</v>
      </c>
      <c r="BL491" s="27"/>
    </row>
    <row r="492" ht="14.25" customHeight="1">
      <c r="A492" s="26" t="s">
        <v>55</v>
      </c>
      <c r="B492" s="26" t="s">
        <v>56</v>
      </c>
      <c r="C492" s="26" t="s">
        <v>57</v>
      </c>
      <c r="D492" s="26" t="s">
        <v>81</v>
      </c>
      <c r="E492" s="27" t="s">
        <v>1732</v>
      </c>
      <c r="F492" s="28" t="s">
        <v>1733</v>
      </c>
      <c r="G492" s="29" t="s">
        <v>1724</v>
      </c>
      <c r="H492" s="30">
        <v>45071.0</v>
      </c>
      <c r="I492" s="30">
        <v>45436.0</v>
      </c>
      <c r="J492" s="31">
        <v>0.0</v>
      </c>
      <c r="K492" s="26" t="s">
        <v>427</v>
      </c>
      <c r="L492" s="32" t="s">
        <v>75</v>
      </c>
      <c r="M492" s="33">
        <v>22715.0</v>
      </c>
      <c r="N492" s="34">
        <v>24196.19</v>
      </c>
      <c r="O492" s="27" t="s">
        <v>76</v>
      </c>
      <c r="P492" s="35" t="s">
        <v>430</v>
      </c>
      <c r="Q492" s="35" t="s">
        <v>90</v>
      </c>
      <c r="R492" s="36" t="e">
        <v>#VALUE!</v>
      </c>
      <c r="S492" s="35" t="s">
        <v>86</v>
      </c>
      <c r="T492" s="35">
        <v>0.0</v>
      </c>
      <c r="U492" s="37" t="s">
        <v>67</v>
      </c>
      <c r="V492" s="38"/>
      <c r="W492" s="38"/>
      <c r="X492" s="27"/>
      <c r="Y492" s="39"/>
      <c r="Z492" s="79" t="s">
        <v>208</v>
      </c>
      <c r="AA492" s="39"/>
      <c r="AB492" s="40">
        <v>0.05</v>
      </c>
      <c r="AC492" s="27">
        <f t="shared" si="324"/>
        <v>1135.75</v>
      </c>
      <c r="AD492" s="41">
        <f t="shared" si="367"/>
        <v>2271.5</v>
      </c>
      <c r="AE492" s="42"/>
      <c r="AF492" s="27"/>
      <c r="AG492" s="43">
        <f t="shared" si="362"/>
        <v>5826.3975</v>
      </c>
      <c r="AH492" s="29"/>
      <c r="AI492" s="29"/>
      <c r="AJ492" s="29"/>
      <c r="AK492" s="29"/>
      <c r="AL492" s="27"/>
      <c r="AM492" s="44"/>
      <c r="AN492" s="45"/>
      <c r="AO492" s="46"/>
      <c r="AP492" s="47"/>
      <c r="AQ492" s="43">
        <f t="shared" si="363"/>
        <v>6133.05</v>
      </c>
      <c r="AR492" s="43">
        <f t="shared" si="2"/>
        <v>306.6525</v>
      </c>
      <c r="AS492" s="43">
        <f t="shared" si="3"/>
        <v>1073.28375</v>
      </c>
      <c r="AT492" s="48">
        <f t="shared" si="4"/>
        <v>4753.11375</v>
      </c>
      <c r="AU492" s="49">
        <f t="shared" si="359"/>
        <v>3617.36375</v>
      </c>
      <c r="AV492" s="48"/>
      <c r="AW492" s="34">
        <f t="shared" si="341"/>
        <v>20788.94</v>
      </c>
      <c r="AX492" s="50">
        <f t="shared" si="248"/>
        <v>2481.61375</v>
      </c>
      <c r="AY492" s="43"/>
      <c r="AZ492" s="43"/>
      <c r="BA492" s="48">
        <f t="shared" si="361"/>
        <v>3617.36375</v>
      </c>
      <c r="BB492" s="27"/>
      <c r="BC492" s="27"/>
      <c r="BD492" s="51"/>
      <c r="BE492" s="52"/>
      <c r="BF492" s="27" t="s">
        <v>1732</v>
      </c>
      <c r="BG492" s="58" t="s">
        <v>1734</v>
      </c>
      <c r="BH492" s="53" t="str">
        <f>'[1]2023'!Q771</f>
        <v>#REF!</v>
      </c>
      <c r="BI492" s="27"/>
      <c r="BJ492" s="27"/>
      <c r="BK492" s="27" t="s">
        <v>76</v>
      </c>
      <c r="BL492" s="27"/>
    </row>
    <row r="493" ht="14.25" customHeight="1">
      <c r="A493" s="26" t="s">
        <v>111</v>
      </c>
      <c r="B493" s="26" t="s">
        <v>56</v>
      </c>
      <c r="C493" s="26" t="s">
        <v>57</v>
      </c>
      <c r="D493" s="26" t="s">
        <v>71</v>
      </c>
      <c r="E493" s="27" t="s">
        <v>1735</v>
      </c>
      <c r="F493" s="28" t="s">
        <v>1736</v>
      </c>
      <c r="G493" s="29" t="s">
        <v>1724</v>
      </c>
      <c r="H493" s="30">
        <v>45071.0</v>
      </c>
      <c r="I493" s="30">
        <v>45436.0</v>
      </c>
      <c r="J493" s="31" t="s">
        <v>1581</v>
      </c>
      <c r="K493" s="26" t="s">
        <v>427</v>
      </c>
      <c r="L493" s="32" t="s">
        <v>75</v>
      </c>
      <c r="M493" s="33">
        <v>13998.3</v>
      </c>
      <c r="N493" s="34">
        <v>15080.0</v>
      </c>
      <c r="O493" s="27" t="s">
        <v>76</v>
      </c>
      <c r="P493" s="35" t="s">
        <v>89</v>
      </c>
      <c r="Q493" s="35" t="s">
        <v>114</v>
      </c>
      <c r="R493" s="36" t="e">
        <v>#VALUE!</v>
      </c>
      <c r="S493" s="35" t="s">
        <v>78</v>
      </c>
      <c r="T493" s="54" t="s">
        <v>1271</v>
      </c>
      <c r="U493" s="37" t="s">
        <v>115</v>
      </c>
      <c r="V493" s="38">
        <v>580000.0</v>
      </c>
      <c r="W493" s="38"/>
      <c r="X493" s="27"/>
      <c r="Y493" s="39"/>
      <c r="Z493" s="79" t="s">
        <v>1582</v>
      </c>
      <c r="AA493" s="39"/>
      <c r="AB493" s="40"/>
      <c r="AC493" s="27">
        <f t="shared" si="324"/>
        <v>0</v>
      </c>
      <c r="AD493" s="41"/>
      <c r="AE493" s="42"/>
      <c r="AF493" s="27"/>
      <c r="AG493" s="43">
        <f>IF(O493="Paid",IF(A493="Alwataniya",(M493*21%)-((M493*21%)*5%),IF((A493="GIG"),(M493*25%)-((M493*25%)*5%),IF((A493="Allianz"),(M493*27%)-((M493*27%)*20%),0))),0)</f>
        <v>3324.59625</v>
      </c>
      <c r="AH493" s="29">
        <v>45052.0</v>
      </c>
      <c r="AI493" s="105" t="s">
        <v>1588</v>
      </c>
      <c r="AJ493" s="40"/>
      <c r="AK493" s="62" t="s">
        <v>63</v>
      </c>
      <c r="AL493" s="27"/>
      <c r="AM493" s="44"/>
      <c r="AN493" s="45"/>
      <c r="AO493" s="46">
        <f>(M493*15%)-AC493</f>
        <v>2099.745</v>
      </c>
      <c r="AP493" s="57">
        <v>45113.0</v>
      </c>
      <c r="AQ493" s="43">
        <f t="shared" si="363"/>
        <v>3499.575</v>
      </c>
      <c r="AR493" s="43">
        <f t="shared" si="2"/>
        <v>174.97875</v>
      </c>
      <c r="AS493" s="43">
        <f t="shared" si="3"/>
        <v>612.425625</v>
      </c>
      <c r="AT493" s="48">
        <f t="shared" si="4"/>
        <v>2712.170625</v>
      </c>
      <c r="AU493" s="49">
        <f t="shared" si="359"/>
        <v>2712.170625</v>
      </c>
      <c r="AV493" s="48"/>
      <c r="AW493" s="34">
        <f t="shared" si="341"/>
        <v>15080</v>
      </c>
      <c r="AX493" s="50">
        <f t="shared" si="248"/>
        <v>612.425625</v>
      </c>
      <c r="AY493" s="43"/>
      <c r="AZ493" s="43"/>
      <c r="BA493" s="48">
        <f t="shared" si="361"/>
        <v>612.425625</v>
      </c>
      <c r="BB493" s="27"/>
      <c r="BC493" s="27"/>
      <c r="BD493" s="51"/>
      <c r="BE493" s="52"/>
      <c r="BF493" s="27" t="s">
        <v>1735</v>
      </c>
      <c r="BG493" s="53">
        <v>0.0</v>
      </c>
      <c r="BH493" s="53" t="str">
        <f>'[1]2023'!Q779</f>
        <v>#REF!</v>
      </c>
      <c r="BI493" s="27"/>
      <c r="BJ493" s="27"/>
      <c r="BK493" s="27" t="s">
        <v>76</v>
      </c>
      <c r="BL493" s="27"/>
    </row>
    <row r="494" ht="14.25" customHeight="1">
      <c r="A494" s="26" t="s">
        <v>55</v>
      </c>
      <c r="B494" s="26" t="s">
        <v>56</v>
      </c>
      <c r="C494" s="26" t="s">
        <v>57</v>
      </c>
      <c r="D494" s="26" t="s">
        <v>81</v>
      </c>
      <c r="E494" s="27" t="s">
        <v>1737</v>
      </c>
      <c r="F494" s="28" t="s">
        <v>1738</v>
      </c>
      <c r="G494" s="29" t="s">
        <v>1739</v>
      </c>
      <c r="H494" s="30">
        <v>45072.0</v>
      </c>
      <c r="I494" s="30">
        <v>45437.0</v>
      </c>
      <c r="J494" s="31">
        <v>0.0</v>
      </c>
      <c r="K494" s="26" t="s">
        <v>427</v>
      </c>
      <c r="L494" s="32" t="s">
        <v>75</v>
      </c>
      <c r="M494" s="33">
        <v>17700.0</v>
      </c>
      <c r="N494" s="34">
        <v>18884.3</v>
      </c>
      <c r="O494" s="27" t="s">
        <v>76</v>
      </c>
      <c r="P494" s="35" t="s">
        <v>122</v>
      </c>
      <c r="Q494" s="35" t="s">
        <v>65</v>
      </c>
      <c r="R494" s="36" t="e">
        <v>#VALUE!</v>
      </c>
      <c r="S494" s="35" t="s">
        <v>86</v>
      </c>
      <c r="T494" s="35">
        <v>0.0</v>
      </c>
      <c r="U494" s="37" t="s">
        <v>67</v>
      </c>
      <c r="V494" s="38"/>
      <c r="W494" s="38"/>
      <c r="X494" s="27"/>
      <c r="Y494" s="39"/>
      <c r="Z494" s="39"/>
      <c r="AA494" s="39"/>
      <c r="AB494" s="40"/>
      <c r="AC494" s="27">
        <f t="shared" si="324"/>
        <v>0</v>
      </c>
      <c r="AD494" s="41"/>
      <c r="AE494" s="42"/>
      <c r="AF494" s="27"/>
      <c r="AG494" s="43">
        <f t="shared" ref="AG494:AG495" si="368">IF(O494="Paid",IF(A494="Alwataniya",(M494*21%)-((M494*21%)*5%),IF((A494="GIG"),(M494*25%)-((M494*25%)*5%),IF((A494="Allianz"),(M494*27%)-((M494*27%)*5%),0))),0)</f>
        <v>4540.05</v>
      </c>
      <c r="AH494" s="29"/>
      <c r="AI494" s="29"/>
      <c r="AJ494" s="29"/>
      <c r="AK494" s="29"/>
      <c r="AL494" s="27"/>
      <c r="AM494" s="44"/>
      <c r="AN494" s="115"/>
      <c r="AO494" s="46"/>
      <c r="AP494" s="47"/>
      <c r="AQ494" s="43">
        <f t="shared" si="363"/>
        <v>4779</v>
      </c>
      <c r="AR494" s="43">
        <f t="shared" si="2"/>
        <v>238.95</v>
      </c>
      <c r="AS494" s="43">
        <f t="shared" si="3"/>
        <v>836.325</v>
      </c>
      <c r="AT494" s="48">
        <f t="shared" si="4"/>
        <v>3703.725</v>
      </c>
      <c r="AU494" s="49">
        <f t="shared" si="359"/>
        <v>3703.725</v>
      </c>
      <c r="AV494" s="48"/>
      <c r="AW494" s="34">
        <f t="shared" si="341"/>
        <v>18884.3</v>
      </c>
      <c r="AX494" s="50">
        <f t="shared" si="248"/>
        <v>3703.725</v>
      </c>
      <c r="AY494" s="43"/>
      <c r="AZ494" s="43"/>
      <c r="BA494" s="48">
        <f t="shared" si="361"/>
        <v>3703.725</v>
      </c>
      <c r="BB494" s="27"/>
      <c r="BC494" s="27"/>
      <c r="BD494" s="51"/>
      <c r="BE494" s="52"/>
      <c r="BF494" s="27" t="s">
        <v>1737</v>
      </c>
      <c r="BG494" s="53">
        <v>0.0</v>
      </c>
      <c r="BH494" s="53" t="str">
        <f>'[1]2023'!Q629</f>
        <v>#REF!</v>
      </c>
      <c r="BI494" s="27"/>
      <c r="BJ494" s="27"/>
      <c r="BK494" s="27" t="s">
        <v>76</v>
      </c>
      <c r="BL494" s="27"/>
    </row>
    <row r="495" ht="14.25" customHeight="1">
      <c r="A495" s="26" t="s">
        <v>55</v>
      </c>
      <c r="B495" s="26" t="s">
        <v>56</v>
      </c>
      <c r="C495" s="26" t="s">
        <v>57</v>
      </c>
      <c r="D495" s="26" t="s">
        <v>81</v>
      </c>
      <c r="E495" s="27" t="s">
        <v>1740</v>
      </c>
      <c r="F495" s="28" t="s">
        <v>1741</v>
      </c>
      <c r="G495" s="29" t="s">
        <v>1742</v>
      </c>
      <c r="H495" s="30">
        <v>45074.0</v>
      </c>
      <c r="I495" s="30">
        <v>45439.0</v>
      </c>
      <c r="J495" s="31">
        <v>0.0</v>
      </c>
      <c r="K495" s="26" t="s">
        <v>427</v>
      </c>
      <c r="L495" s="32" t="s">
        <v>75</v>
      </c>
      <c r="M495" s="33">
        <v>22715.0</v>
      </c>
      <c r="N495" s="34">
        <v>24196.19</v>
      </c>
      <c r="O495" s="27" t="s">
        <v>76</v>
      </c>
      <c r="P495" s="35" t="s">
        <v>122</v>
      </c>
      <c r="Q495" s="35" t="s">
        <v>90</v>
      </c>
      <c r="R495" s="36" t="e">
        <v>#VALUE!</v>
      </c>
      <c r="S495" s="35" t="s">
        <v>86</v>
      </c>
      <c r="T495" s="35">
        <v>0.0</v>
      </c>
      <c r="U495" s="37" t="s">
        <v>67</v>
      </c>
      <c r="V495" s="38"/>
      <c r="W495" s="38"/>
      <c r="X495" s="27"/>
      <c r="Y495" s="39"/>
      <c r="Z495" s="79" t="s">
        <v>208</v>
      </c>
      <c r="AA495" s="39"/>
      <c r="AB495" s="40"/>
      <c r="AC495" s="27">
        <f t="shared" si="324"/>
        <v>0</v>
      </c>
      <c r="AD495" s="41">
        <f>IF(AND(S495="0",O495="Paid"),M495*15%,0)</f>
        <v>3407.25</v>
      </c>
      <c r="AE495" s="42"/>
      <c r="AF495" s="27"/>
      <c r="AG495" s="43">
        <f t="shared" si="368"/>
        <v>5826.3975</v>
      </c>
      <c r="AH495" s="29"/>
      <c r="AI495" s="29"/>
      <c r="AJ495" s="29"/>
      <c r="AK495" s="29"/>
      <c r="AL495" s="27"/>
      <c r="AM495" s="44"/>
      <c r="AN495" s="115"/>
      <c r="AO495" s="46"/>
      <c r="AP495" s="47"/>
      <c r="AQ495" s="43">
        <f t="shared" si="363"/>
        <v>6133.05</v>
      </c>
      <c r="AR495" s="43">
        <f t="shared" si="2"/>
        <v>306.6525</v>
      </c>
      <c r="AS495" s="43">
        <f t="shared" si="3"/>
        <v>1073.28375</v>
      </c>
      <c r="AT495" s="48">
        <f t="shared" si="4"/>
        <v>4753.11375</v>
      </c>
      <c r="AU495" s="49">
        <f t="shared" si="359"/>
        <v>4753.11375</v>
      </c>
      <c r="AV495" s="48"/>
      <c r="AW495" s="34">
        <f t="shared" si="341"/>
        <v>20788.94</v>
      </c>
      <c r="AX495" s="50">
        <f t="shared" si="248"/>
        <v>1345.86375</v>
      </c>
      <c r="AY495" s="43"/>
      <c r="AZ495" s="43"/>
      <c r="BA495" s="48">
        <f t="shared" si="361"/>
        <v>4753.11375</v>
      </c>
      <c r="BB495" s="27"/>
      <c r="BC495" s="27"/>
      <c r="BD495" s="51"/>
      <c r="BE495" s="52"/>
      <c r="BF495" s="27" t="s">
        <v>1740</v>
      </c>
      <c r="BG495" s="53">
        <v>0.0</v>
      </c>
      <c r="BH495" s="53" t="str">
        <f>'[1]2023'!Q560</f>
        <v>#REF!</v>
      </c>
      <c r="BI495" s="27"/>
      <c r="BJ495" s="27"/>
      <c r="BK495" s="27" t="s">
        <v>76</v>
      </c>
      <c r="BL495" s="27"/>
    </row>
    <row r="496" ht="14.25" customHeight="1">
      <c r="A496" s="26" t="s">
        <v>111</v>
      </c>
      <c r="B496" s="26" t="s">
        <v>56</v>
      </c>
      <c r="C496" s="26" t="s">
        <v>57</v>
      </c>
      <c r="D496" s="26" t="s">
        <v>71</v>
      </c>
      <c r="E496" s="27" t="s">
        <v>1743</v>
      </c>
      <c r="F496" s="28" t="s">
        <v>1744</v>
      </c>
      <c r="G496" s="29" t="s">
        <v>1742</v>
      </c>
      <c r="H496" s="30">
        <v>45074.0</v>
      </c>
      <c r="I496" s="30">
        <v>45439.0</v>
      </c>
      <c r="J496" s="31" t="s">
        <v>1745</v>
      </c>
      <c r="K496" s="26" t="s">
        <v>427</v>
      </c>
      <c r="L496" s="69">
        <v>45126.0</v>
      </c>
      <c r="M496" s="33">
        <v>21854.77</v>
      </c>
      <c r="N496" s="34">
        <v>23400.0</v>
      </c>
      <c r="O496" s="27" t="s">
        <v>76</v>
      </c>
      <c r="P496" s="35" t="s">
        <v>89</v>
      </c>
      <c r="Q496" s="35" t="s">
        <v>114</v>
      </c>
      <c r="R496" s="36" t="e">
        <v>#VALUE!</v>
      </c>
      <c r="S496" s="35" t="s">
        <v>66</v>
      </c>
      <c r="T496" s="35">
        <v>0.0</v>
      </c>
      <c r="U496" s="37" t="s">
        <v>115</v>
      </c>
      <c r="V496" s="38">
        <v>900000.0</v>
      </c>
      <c r="W496" s="38"/>
      <c r="X496" s="27"/>
      <c r="Y496" s="39"/>
      <c r="Z496" s="79" t="s">
        <v>1746</v>
      </c>
      <c r="AA496" s="39"/>
      <c r="AB496" s="40"/>
      <c r="AC496" s="27">
        <f t="shared" si="324"/>
        <v>0</v>
      </c>
      <c r="AD496" s="41">
        <f t="shared" ref="AD496:AD497" si="369">IF(AND(S496="0",O496="Paid"),(M496*15%)-AC496,0)</f>
        <v>0</v>
      </c>
      <c r="AE496" s="42"/>
      <c r="AF496" s="27"/>
      <c r="AG496" s="43">
        <f t="shared" ref="AG496:AG497" si="370">IF(O496="Paid",IF(A496="Alwataniya",(M496*21%)-((M496*21%)*5%),IF((A496="GIG"),(M496*22.334%)-((M496*22.334%)*5%),IF((A496="Allianz"),(M496*27%)-((M496*27%)*20%),0))),0)</f>
        <v>4636.992115</v>
      </c>
      <c r="AH496" s="29" t="s">
        <v>1747</v>
      </c>
      <c r="AI496" s="29">
        <v>45177.0</v>
      </c>
      <c r="AJ496" s="151">
        <v>0.22334</v>
      </c>
      <c r="AK496" s="29" t="s">
        <v>922</v>
      </c>
      <c r="AL496" s="27"/>
      <c r="AM496" s="152">
        <f t="shared" ref="AM496:AM497" si="371">((M496*22.33%)-((M496*22.33%)*22.5%))*30%</f>
        <v>1134.639558</v>
      </c>
      <c r="AN496" s="146" t="s">
        <v>1038</v>
      </c>
      <c r="AO496" s="152" t="s">
        <v>1748</v>
      </c>
      <c r="AP496" s="96">
        <f t="shared" ref="AP496:AP497" si="372">AM496-AO496</f>
        <v>229.6395578</v>
      </c>
      <c r="AQ496" s="43">
        <f t="shared" si="363"/>
        <v>5463.6925</v>
      </c>
      <c r="AR496" s="43">
        <f t="shared" si="2"/>
        <v>273.184625</v>
      </c>
      <c r="AS496" s="43">
        <f t="shared" si="3"/>
        <v>956.1461875</v>
      </c>
      <c r="AT496" s="48">
        <f t="shared" si="4"/>
        <v>4234.361688</v>
      </c>
      <c r="AU496" s="49">
        <f t="shared" si="359"/>
        <v>4234.361688</v>
      </c>
      <c r="AV496" s="48"/>
      <c r="AW496" s="34">
        <f t="shared" si="341"/>
        <v>23400</v>
      </c>
      <c r="AX496" s="50">
        <f t="shared" si="248"/>
        <v>1641.20637</v>
      </c>
      <c r="AY496" s="43"/>
      <c r="AZ496" s="43"/>
      <c r="BA496" s="48">
        <f t="shared" si="361"/>
        <v>2194.72213</v>
      </c>
      <c r="BB496" s="27"/>
      <c r="BC496" s="27"/>
      <c r="BD496" s="51"/>
      <c r="BE496" s="52" t="s">
        <v>440</v>
      </c>
      <c r="BF496" s="27" t="s">
        <v>1743</v>
      </c>
      <c r="BG496" s="58" t="s">
        <v>1749</v>
      </c>
      <c r="BH496" s="53" t="str">
        <f t="shared" ref="BH496:BH497" si="373">'[1]2023'!Q741</f>
        <v>#REF!</v>
      </c>
      <c r="BI496" s="27"/>
      <c r="BJ496" s="27"/>
      <c r="BK496" s="27" t="s">
        <v>76</v>
      </c>
      <c r="BL496" s="64" t="s">
        <v>1750</v>
      </c>
    </row>
    <row r="497" ht="14.25" customHeight="1">
      <c r="A497" s="26" t="s">
        <v>111</v>
      </c>
      <c r="B497" s="26" t="s">
        <v>56</v>
      </c>
      <c r="C497" s="26" t="s">
        <v>57</v>
      </c>
      <c r="D497" s="26" t="s">
        <v>71</v>
      </c>
      <c r="E497" s="27" t="s">
        <v>1751</v>
      </c>
      <c r="F497" s="28" t="s">
        <v>1752</v>
      </c>
      <c r="G497" s="29" t="s">
        <v>1742</v>
      </c>
      <c r="H497" s="30">
        <v>45074.0</v>
      </c>
      <c r="I497" s="30">
        <v>45439.0</v>
      </c>
      <c r="J497" s="31" t="s">
        <v>1745</v>
      </c>
      <c r="K497" s="26" t="s">
        <v>427</v>
      </c>
      <c r="L497" s="69">
        <v>45126.0</v>
      </c>
      <c r="M497" s="33">
        <v>20627.2</v>
      </c>
      <c r="N497" s="34">
        <v>22100.0</v>
      </c>
      <c r="O497" s="27" t="s">
        <v>76</v>
      </c>
      <c r="P497" s="35" t="s">
        <v>89</v>
      </c>
      <c r="Q497" s="35" t="s">
        <v>114</v>
      </c>
      <c r="R497" s="36" t="e">
        <v>#VALUE!</v>
      </c>
      <c r="S497" s="35" t="s">
        <v>66</v>
      </c>
      <c r="T497" s="35">
        <v>0.0</v>
      </c>
      <c r="U497" s="37" t="s">
        <v>115</v>
      </c>
      <c r="V497" s="38">
        <v>850000.0</v>
      </c>
      <c r="W497" s="38"/>
      <c r="X497" s="27"/>
      <c r="Y497" s="39"/>
      <c r="Z497" s="79" t="s">
        <v>1753</v>
      </c>
      <c r="AA497" s="39"/>
      <c r="AB497" s="40"/>
      <c r="AC497" s="27">
        <f t="shared" si="324"/>
        <v>0</v>
      </c>
      <c r="AD497" s="41">
        <f t="shared" si="369"/>
        <v>0</v>
      </c>
      <c r="AE497" s="42"/>
      <c r="AF497" s="27"/>
      <c r="AG497" s="43">
        <f t="shared" si="370"/>
        <v>4376.534906</v>
      </c>
      <c r="AH497" s="29" t="s">
        <v>1747</v>
      </c>
      <c r="AI497" s="29">
        <v>45177.0</v>
      </c>
      <c r="AJ497" s="151">
        <v>0.22334</v>
      </c>
      <c r="AK497" s="29" t="s">
        <v>922</v>
      </c>
      <c r="AL497" s="27"/>
      <c r="AM497" s="152">
        <f t="shared" si="371"/>
        <v>1070.907499</v>
      </c>
      <c r="AN497" s="146" t="s">
        <v>1038</v>
      </c>
      <c r="AO497" s="152">
        <v>856.0</v>
      </c>
      <c r="AP497" s="96">
        <f t="shared" si="372"/>
        <v>214.9074992</v>
      </c>
      <c r="AQ497" s="43">
        <f t="shared" si="363"/>
        <v>5156.8</v>
      </c>
      <c r="AR497" s="43">
        <f t="shared" si="2"/>
        <v>257.84</v>
      </c>
      <c r="AS497" s="43">
        <f t="shared" si="3"/>
        <v>902.44</v>
      </c>
      <c r="AT497" s="48">
        <f t="shared" si="4"/>
        <v>3996.52</v>
      </c>
      <c r="AU497" s="49">
        <f t="shared" si="359"/>
        <v>3996.52</v>
      </c>
      <c r="AV497" s="48"/>
      <c r="AW497" s="34">
        <f t="shared" si="341"/>
        <v>22100</v>
      </c>
      <c r="AX497" s="50">
        <f t="shared" si="248"/>
        <v>1547.187406</v>
      </c>
      <c r="AY497" s="43"/>
      <c r="AZ497" s="43"/>
      <c r="BA497" s="48">
        <f t="shared" si="361"/>
        <v>2069.612501</v>
      </c>
      <c r="BB497" s="27"/>
      <c r="BC497" s="27"/>
      <c r="BD497" s="51"/>
      <c r="BE497" s="52" t="s">
        <v>440</v>
      </c>
      <c r="BF497" s="27" t="s">
        <v>1751</v>
      </c>
      <c r="BG497" s="58" t="s">
        <v>1749</v>
      </c>
      <c r="BH497" s="53" t="str">
        <f t="shared" si="373"/>
        <v>#REF!</v>
      </c>
      <c r="BI497" s="27"/>
      <c r="BJ497" s="27"/>
      <c r="BK497" s="27" t="s">
        <v>76</v>
      </c>
      <c r="BL497" s="64" t="s">
        <v>1754</v>
      </c>
    </row>
    <row r="498" ht="14.25" customHeight="1">
      <c r="A498" s="26" t="s">
        <v>55</v>
      </c>
      <c r="B498" s="26" t="s">
        <v>56</v>
      </c>
      <c r="C498" s="26" t="s">
        <v>57</v>
      </c>
      <c r="D498" s="26" t="s">
        <v>58</v>
      </c>
      <c r="E498" s="27" t="s">
        <v>1755</v>
      </c>
      <c r="F498" s="28" t="s">
        <v>1756</v>
      </c>
      <c r="G498" s="29" t="s">
        <v>1742</v>
      </c>
      <c r="H498" s="30">
        <v>45074.0</v>
      </c>
      <c r="I498" s="30">
        <v>45439.0</v>
      </c>
      <c r="J498" s="31" t="s">
        <v>1757</v>
      </c>
      <c r="K498" s="26" t="s">
        <v>427</v>
      </c>
      <c r="L498" s="32" t="s">
        <v>75</v>
      </c>
      <c r="M498" s="33">
        <v>2485.61</v>
      </c>
      <c r="N498" s="34">
        <v>2632.26</v>
      </c>
      <c r="O498" s="27" t="s">
        <v>76</v>
      </c>
      <c r="P498" s="35" t="s">
        <v>89</v>
      </c>
      <c r="Q498" s="35" t="s">
        <v>65</v>
      </c>
      <c r="R498" s="36" t="e">
        <v>#VALUE!</v>
      </c>
      <c r="S498" s="35" t="s">
        <v>86</v>
      </c>
      <c r="T498" s="35">
        <v>0.0</v>
      </c>
      <c r="U498" s="37" t="s">
        <v>67</v>
      </c>
      <c r="V498" s="38"/>
      <c r="W498" s="38"/>
      <c r="X498" s="27"/>
      <c r="Y498" s="39"/>
      <c r="Z498" s="39"/>
      <c r="AA498" s="39"/>
      <c r="AB498" s="40"/>
      <c r="AC498" s="27">
        <f t="shared" si="324"/>
        <v>0</v>
      </c>
      <c r="AD498" s="41"/>
      <c r="AE498" s="42"/>
      <c r="AF498" s="27"/>
      <c r="AG498" s="43">
        <f t="shared" ref="AG498:AG501" si="374">IF(O498="Paid",IF(A498="Alwataniya",(M498*21%)-((M498*21%)*5%),IF((A498="GIG"),(M498*25%)-((M498*25%)*5%),IF((A498="Allianz"),(M498*27%)-((M498*27%)*5%),0))),0)</f>
        <v>637.558965</v>
      </c>
      <c r="AH498" s="29"/>
      <c r="AI498" s="29"/>
      <c r="AJ498" s="29"/>
      <c r="AK498" s="29"/>
      <c r="AL498" s="27"/>
      <c r="AM498" s="44"/>
      <c r="AN498" s="45"/>
      <c r="AO498" s="46"/>
      <c r="AP498" s="47"/>
      <c r="AQ498" s="43">
        <f t="shared" si="363"/>
        <v>671.1147</v>
      </c>
      <c r="AR498" s="43">
        <f t="shared" si="2"/>
        <v>33.555735</v>
      </c>
      <c r="AS498" s="43">
        <f t="shared" si="3"/>
        <v>117.4450725</v>
      </c>
      <c r="AT498" s="48">
        <f t="shared" si="4"/>
        <v>520.1138925</v>
      </c>
      <c r="AU498" s="49">
        <f t="shared" si="359"/>
        <v>520.1138925</v>
      </c>
      <c r="AV498" s="48"/>
      <c r="AW498" s="34">
        <f t="shared" si="341"/>
        <v>2632.26</v>
      </c>
      <c r="AX498" s="50">
        <f t="shared" si="248"/>
        <v>520.1138925</v>
      </c>
      <c r="AY498" s="43"/>
      <c r="AZ498" s="43"/>
      <c r="BA498" s="48">
        <f t="shared" si="361"/>
        <v>520.1138925</v>
      </c>
      <c r="BB498" s="27"/>
      <c r="BC498" s="27"/>
      <c r="BD498" s="51"/>
      <c r="BE498" s="52"/>
      <c r="BF498" s="27" t="s">
        <v>1758</v>
      </c>
      <c r="BG498" s="58" t="s">
        <v>1759</v>
      </c>
      <c r="BH498" s="53" t="str">
        <f>'[1]2023'!Q769</f>
        <v>#REF!</v>
      </c>
      <c r="BI498" s="27"/>
      <c r="BJ498" s="27"/>
      <c r="BK498" s="27" t="s">
        <v>76</v>
      </c>
      <c r="BL498" s="27"/>
    </row>
    <row r="499" ht="14.25" customHeight="1">
      <c r="A499" s="26" t="s">
        <v>55</v>
      </c>
      <c r="B499" s="26" t="s">
        <v>56</v>
      </c>
      <c r="C499" s="26" t="s">
        <v>57</v>
      </c>
      <c r="D499" s="26" t="s">
        <v>81</v>
      </c>
      <c r="E499" s="27" t="s">
        <v>1760</v>
      </c>
      <c r="F499" s="28" t="s">
        <v>1761</v>
      </c>
      <c r="G499" s="29" t="s">
        <v>1762</v>
      </c>
      <c r="H499" s="30">
        <v>45075.0</v>
      </c>
      <c r="I499" s="30">
        <v>45440.0</v>
      </c>
      <c r="J499" s="31">
        <v>0.0</v>
      </c>
      <c r="K499" s="26" t="s">
        <v>427</v>
      </c>
      <c r="L499" s="32" t="s">
        <v>75</v>
      </c>
      <c r="M499" s="33">
        <v>12226.5</v>
      </c>
      <c r="N499" s="34">
        <v>13088.87</v>
      </c>
      <c r="O499" s="27" t="s">
        <v>76</v>
      </c>
      <c r="P499" s="35" t="s">
        <v>89</v>
      </c>
      <c r="Q499" s="35">
        <v>0.0</v>
      </c>
      <c r="R499" s="36" t="e">
        <v>#VALUE!</v>
      </c>
      <c r="S499" s="35" t="s">
        <v>86</v>
      </c>
      <c r="T499" s="35">
        <v>0.0</v>
      </c>
      <c r="U499" s="37" t="s">
        <v>67</v>
      </c>
      <c r="V499" s="38"/>
      <c r="W499" s="38"/>
      <c r="X499" s="27"/>
      <c r="Y499" s="39"/>
      <c r="Z499" s="39"/>
      <c r="AA499" s="39"/>
      <c r="AB499" s="40"/>
      <c r="AC499" s="27">
        <f t="shared" si="324"/>
        <v>0</v>
      </c>
      <c r="AD499" s="41">
        <f>IF(AND(S499="0",O499="Paid"),M499*15%,0)</f>
        <v>1833.975</v>
      </c>
      <c r="AE499" s="42"/>
      <c r="AF499" s="27"/>
      <c r="AG499" s="43">
        <f t="shared" si="374"/>
        <v>3136.09725</v>
      </c>
      <c r="AH499" s="29"/>
      <c r="AI499" s="29"/>
      <c r="AJ499" s="29"/>
      <c r="AK499" s="29"/>
      <c r="AL499" s="27"/>
      <c r="AM499" s="44"/>
      <c r="AN499" s="115"/>
      <c r="AO499" s="46"/>
      <c r="AP499" s="47"/>
      <c r="AQ499" s="43">
        <f t="shared" si="363"/>
        <v>3301.155</v>
      </c>
      <c r="AR499" s="43">
        <f t="shared" si="2"/>
        <v>165.05775</v>
      </c>
      <c r="AS499" s="43">
        <f t="shared" si="3"/>
        <v>577.702125</v>
      </c>
      <c r="AT499" s="48">
        <f t="shared" si="4"/>
        <v>2558.395125</v>
      </c>
      <c r="AU499" s="49">
        <f t="shared" si="359"/>
        <v>2558.395125</v>
      </c>
      <c r="AV499" s="48"/>
      <c r="AW499" s="34">
        <f t="shared" si="341"/>
        <v>11254.895</v>
      </c>
      <c r="AX499" s="50">
        <f t="shared" si="248"/>
        <v>724.420125</v>
      </c>
      <c r="AY499" s="43"/>
      <c r="AZ499" s="43"/>
      <c r="BA499" s="48">
        <f t="shared" si="361"/>
        <v>2558.395125</v>
      </c>
      <c r="BB499" s="27"/>
      <c r="BC499" s="27"/>
      <c r="BD499" s="51"/>
      <c r="BE499" s="52"/>
      <c r="BF499" s="27" t="s">
        <v>1760</v>
      </c>
      <c r="BG499" s="58" t="s">
        <v>1763</v>
      </c>
      <c r="BH499" s="53" t="str">
        <f>'[1]2023'!Q613</f>
        <v>#REF!</v>
      </c>
      <c r="BI499" s="27"/>
      <c r="BJ499" s="27"/>
      <c r="BK499" s="27" t="s">
        <v>76</v>
      </c>
      <c r="BL499" s="27"/>
    </row>
    <row r="500" ht="14.25" customHeight="1">
      <c r="A500" s="26" t="s">
        <v>55</v>
      </c>
      <c r="B500" s="26" t="s">
        <v>56</v>
      </c>
      <c r="C500" s="26" t="s">
        <v>57</v>
      </c>
      <c r="D500" s="26" t="s">
        <v>81</v>
      </c>
      <c r="E500" s="27" t="s">
        <v>1764</v>
      </c>
      <c r="F500" s="28" t="s">
        <v>1765</v>
      </c>
      <c r="G500" s="29" t="s">
        <v>1762</v>
      </c>
      <c r="H500" s="30">
        <v>45075.0</v>
      </c>
      <c r="I500" s="30">
        <v>45440.0</v>
      </c>
      <c r="J500" s="31">
        <v>0.0</v>
      </c>
      <c r="K500" s="26" t="s">
        <v>427</v>
      </c>
      <c r="L500" s="32" t="s">
        <v>75</v>
      </c>
      <c r="M500" s="33">
        <v>11000.0</v>
      </c>
      <c r="N500" s="34">
        <v>11790.0</v>
      </c>
      <c r="O500" s="27" t="s">
        <v>76</v>
      </c>
      <c r="P500" s="35" t="s">
        <v>89</v>
      </c>
      <c r="Q500" s="35" t="s">
        <v>65</v>
      </c>
      <c r="R500" s="36" t="e">
        <v>#VALUE!</v>
      </c>
      <c r="S500" s="35" t="s">
        <v>86</v>
      </c>
      <c r="T500" s="35">
        <v>0.0</v>
      </c>
      <c r="U500" s="37" t="s">
        <v>67</v>
      </c>
      <c r="V500" s="38"/>
      <c r="W500" s="38"/>
      <c r="X500" s="27"/>
      <c r="Y500" s="39"/>
      <c r="Z500" s="39"/>
      <c r="AA500" s="39"/>
      <c r="AB500" s="40"/>
      <c r="AC500" s="27">
        <f t="shared" si="324"/>
        <v>0</v>
      </c>
      <c r="AD500" s="41"/>
      <c r="AE500" s="42"/>
      <c r="AF500" s="27"/>
      <c r="AG500" s="43">
        <f t="shared" si="374"/>
        <v>2821.5</v>
      </c>
      <c r="AH500" s="29"/>
      <c r="AI500" s="29"/>
      <c r="AJ500" s="29"/>
      <c r="AK500" s="29"/>
      <c r="AL500" s="27"/>
      <c r="AM500" s="27"/>
      <c r="AN500" s="93"/>
      <c r="AO500" s="46"/>
      <c r="AP500" s="47"/>
      <c r="AQ500" s="43">
        <f t="shared" si="363"/>
        <v>2970</v>
      </c>
      <c r="AR500" s="43">
        <f t="shared" si="2"/>
        <v>148.5</v>
      </c>
      <c r="AS500" s="43">
        <f t="shared" si="3"/>
        <v>519.75</v>
      </c>
      <c r="AT500" s="48">
        <f t="shared" si="4"/>
        <v>2301.75</v>
      </c>
      <c r="AU500" s="49">
        <f t="shared" si="359"/>
        <v>2301.75</v>
      </c>
      <c r="AV500" s="48"/>
      <c r="AW500" s="34">
        <f t="shared" si="341"/>
        <v>11790</v>
      </c>
      <c r="AX500" s="50">
        <f t="shared" si="248"/>
        <v>2301.75</v>
      </c>
      <c r="AY500" s="43"/>
      <c r="AZ500" s="43"/>
      <c r="BA500" s="48">
        <f t="shared" si="361"/>
        <v>2301.75</v>
      </c>
      <c r="BB500" s="27"/>
      <c r="BC500" s="27"/>
      <c r="BD500" s="51"/>
      <c r="BE500" s="52"/>
      <c r="BF500" s="27" t="s">
        <v>1764</v>
      </c>
      <c r="BG500" s="53">
        <v>0.0</v>
      </c>
      <c r="BH500" s="53" t="str">
        <f>'[1]2023'!Q662</f>
        <v>#REF!</v>
      </c>
      <c r="BI500" s="27"/>
      <c r="BJ500" s="27"/>
      <c r="BK500" s="27" t="s">
        <v>76</v>
      </c>
      <c r="BL500" s="27"/>
    </row>
    <row r="501" ht="14.25" customHeight="1">
      <c r="A501" s="26" t="s">
        <v>55</v>
      </c>
      <c r="B501" s="26" t="s">
        <v>56</v>
      </c>
      <c r="C501" s="26" t="s">
        <v>57</v>
      </c>
      <c r="D501" s="26" t="s">
        <v>71</v>
      </c>
      <c r="E501" s="27" t="s">
        <v>1766</v>
      </c>
      <c r="F501" s="28" t="s">
        <v>1767</v>
      </c>
      <c r="G501" s="29" t="s">
        <v>1762</v>
      </c>
      <c r="H501" s="30">
        <v>45075.0</v>
      </c>
      <c r="I501" s="30">
        <v>45440.0</v>
      </c>
      <c r="J501" s="31" t="s">
        <v>1768</v>
      </c>
      <c r="K501" s="26" t="s">
        <v>440</v>
      </c>
      <c r="L501" s="69">
        <v>44932.0</v>
      </c>
      <c r="M501" s="33">
        <v>22000.0</v>
      </c>
      <c r="N501" s="34">
        <v>23439.0</v>
      </c>
      <c r="O501" s="27" t="s">
        <v>76</v>
      </c>
      <c r="P501" s="35" t="s">
        <v>430</v>
      </c>
      <c r="Q501" s="35" t="s">
        <v>65</v>
      </c>
      <c r="R501" s="36" t="e">
        <v>#VALUE!</v>
      </c>
      <c r="S501" s="35" t="s">
        <v>1103</v>
      </c>
      <c r="T501" s="35">
        <v>0.0</v>
      </c>
      <c r="U501" s="37" t="s">
        <v>67</v>
      </c>
      <c r="V501" s="38">
        <v>1000000.0</v>
      </c>
      <c r="W501" s="78"/>
      <c r="X501" s="27">
        <v>2022.0</v>
      </c>
      <c r="Y501" s="39"/>
      <c r="Z501" s="79" t="s">
        <v>1769</v>
      </c>
      <c r="AA501" s="39"/>
      <c r="AB501" s="40"/>
      <c r="AC501" s="27">
        <f t="shared" si="324"/>
        <v>0</v>
      </c>
      <c r="AD501" s="41"/>
      <c r="AE501" s="42"/>
      <c r="AF501" s="27"/>
      <c r="AG501" s="43">
        <f t="shared" si="374"/>
        <v>5643</v>
      </c>
      <c r="AH501" s="29"/>
      <c r="AI501" s="29"/>
      <c r="AJ501" s="29"/>
      <c r="AK501" s="29"/>
      <c r="AL501" s="27"/>
      <c r="AM501" s="68">
        <f>((M501*27%)-((M501*27%)*22.5%))*10%</f>
        <v>460.35</v>
      </c>
      <c r="AN501" s="68" t="s">
        <v>75</v>
      </c>
      <c r="AO501" s="46"/>
      <c r="AP501" s="47"/>
      <c r="AQ501" s="43">
        <f>M501*27%</f>
        <v>5940</v>
      </c>
      <c r="AR501" s="43">
        <f t="shared" si="2"/>
        <v>297</v>
      </c>
      <c r="AS501" s="43">
        <f t="shared" si="3"/>
        <v>1039.5</v>
      </c>
      <c r="AT501" s="48">
        <f t="shared" si="4"/>
        <v>4603.5</v>
      </c>
      <c r="AU501" s="48">
        <f>AQ501-AR501-AS501</f>
        <v>4603.5</v>
      </c>
      <c r="AV501" s="106">
        <f>BA501*10%</f>
        <v>414.315</v>
      </c>
      <c r="AW501" s="34">
        <f t="shared" si="341"/>
        <v>23439</v>
      </c>
      <c r="AX501" s="50">
        <f t="shared" si="248"/>
        <v>3728.835</v>
      </c>
      <c r="AY501" s="43"/>
      <c r="AZ501" s="43"/>
      <c r="BA501" s="48">
        <f t="shared" si="361"/>
        <v>4143.15</v>
      </c>
      <c r="BB501" s="27"/>
      <c r="BC501" s="27"/>
      <c r="BD501" s="51">
        <v>1.0</v>
      </c>
      <c r="BE501" s="52" t="s">
        <v>440</v>
      </c>
      <c r="BF501" s="27" t="s">
        <v>1766</v>
      </c>
      <c r="BG501" s="53">
        <v>0.0</v>
      </c>
      <c r="BH501" s="53" t="str">
        <f>'[1]2023'!Q752</f>
        <v>#REF!</v>
      </c>
      <c r="BI501" s="27"/>
      <c r="BJ501" s="27"/>
      <c r="BK501" s="27" t="s">
        <v>76</v>
      </c>
      <c r="BL501" s="27"/>
    </row>
    <row r="502" ht="14.25" customHeight="1">
      <c r="A502" s="26" t="s">
        <v>55</v>
      </c>
      <c r="B502" s="26" t="s">
        <v>56</v>
      </c>
      <c r="C502" s="26" t="s">
        <v>57</v>
      </c>
      <c r="D502" s="26" t="s">
        <v>58</v>
      </c>
      <c r="E502" s="27" t="s">
        <v>1770</v>
      </c>
      <c r="F502" s="28" t="s">
        <v>1771</v>
      </c>
      <c r="G502" s="29" t="s">
        <v>1762</v>
      </c>
      <c r="H502" s="30">
        <v>45075.0</v>
      </c>
      <c r="I502" s="30">
        <v>45440.0</v>
      </c>
      <c r="J502" s="31">
        <v>0.0</v>
      </c>
      <c r="K502" s="26" t="s">
        <v>427</v>
      </c>
      <c r="L502" s="32" t="s">
        <v>63</v>
      </c>
      <c r="M502" s="33">
        <v>0.0</v>
      </c>
      <c r="N502" s="34">
        <v>0.0</v>
      </c>
      <c r="O502" s="27" t="s">
        <v>64</v>
      </c>
      <c r="P502" s="35">
        <v>0.0</v>
      </c>
      <c r="Q502" s="35" t="s">
        <v>65</v>
      </c>
      <c r="R502" s="36" t="e">
        <v>#VALUE!</v>
      </c>
      <c r="S502" s="35" t="s">
        <v>86</v>
      </c>
      <c r="T502" s="35">
        <v>0.0</v>
      </c>
      <c r="U502" s="37">
        <v>0.0</v>
      </c>
      <c r="V502" s="38"/>
      <c r="W502" s="38"/>
      <c r="X502" s="27"/>
      <c r="Y502" s="39"/>
      <c r="Z502" s="39"/>
      <c r="AA502" s="39"/>
      <c r="AB502" s="40"/>
      <c r="AC502" s="27">
        <f t="shared" si="324"/>
        <v>0</v>
      </c>
      <c r="AD502" s="41">
        <f>IF(AND(S502="0",O502="Paid"),(M502*15%)-AC502,0)</f>
        <v>0</v>
      </c>
      <c r="AE502" s="42"/>
      <c r="AF502" s="27"/>
      <c r="AG502" s="43">
        <f>IF(O502="Paid",IF(A502="Alwataniya",(M502*21%)-((M502*21%)*5%),IF((A502="GIG"),(M502*25%)-((M502*25%)*5%),IF((A502="Allianz"),(M502*27%)-((M502*27%)*20%),0))),0)</f>
        <v>0</v>
      </c>
      <c r="AH502" s="29"/>
      <c r="AI502" s="29"/>
      <c r="AJ502" s="29"/>
      <c r="AK502" s="29"/>
      <c r="AL502" s="27"/>
      <c r="AM502" s="44"/>
      <c r="AN502" s="45"/>
      <c r="AO502" s="46"/>
      <c r="AP502" s="47"/>
      <c r="AQ502" s="43" t="b">
        <f>IF(O502="Paid",IF(U502="Motor Plus",(M502*27%),IF(U502="Motor One",(M502*22%),(IF(U502="Golden",(M502*25%),(IF(U502="Classic",(M502*15%),(IF(U502="Wethaq",(M502*28%),IF(U502="Alwataniya",(M502*21%))*0)))))))))</f>
        <v>0</v>
      </c>
      <c r="AR502" s="43">
        <f t="shared" si="2"/>
        <v>0</v>
      </c>
      <c r="AS502" s="43">
        <f t="shared" si="3"/>
        <v>0</v>
      </c>
      <c r="AT502" s="48">
        <f t="shared" si="4"/>
        <v>0</v>
      </c>
      <c r="AU502" s="49">
        <f t="shared" ref="AU502:AU513" si="375">AQ502-AR502-AS502-AC502</f>
        <v>0</v>
      </c>
      <c r="AV502" s="48"/>
      <c r="AW502" s="34">
        <f t="shared" si="341"/>
        <v>0</v>
      </c>
      <c r="AX502" s="50">
        <f t="shared" si="248"/>
        <v>0</v>
      </c>
      <c r="AY502" s="43"/>
      <c r="AZ502" s="43"/>
      <c r="BA502" s="48">
        <f t="shared" si="361"/>
        <v>0</v>
      </c>
      <c r="BB502" s="27"/>
      <c r="BC502" s="27"/>
      <c r="BD502" s="51"/>
      <c r="BE502" s="52"/>
      <c r="BF502" s="27" t="s">
        <v>1770</v>
      </c>
      <c r="BG502" s="53">
        <v>0.0</v>
      </c>
      <c r="BH502" s="53" t="str">
        <f>'[1]2023'!Q768</f>
        <v>#REF!</v>
      </c>
      <c r="BI502" s="27"/>
      <c r="BJ502" s="27"/>
      <c r="BK502" s="27" t="s">
        <v>64</v>
      </c>
      <c r="BL502" s="27"/>
    </row>
    <row r="503" ht="14.25" customHeight="1">
      <c r="A503" s="26" t="s">
        <v>55</v>
      </c>
      <c r="B503" s="26" t="s">
        <v>56</v>
      </c>
      <c r="C503" s="26" t="s">
        <v>57</v>
      </c>
      <c r="D503" s="26" t="s">
        <v>81</v>
      </c>
      <c r="E503" s="27" t="s">
        <v>1772</v>
      </c>
      <c r="F503" s="28" t="s">
        <v>1773</v>
      </c>
      <c r="G503" s="29" t="s">
        <v>1774</v>
      </c>
      <c r="H503" s="30">
        <v>45076.0</v>
      </c>
      <c r="I503" s="30">
        <v>45441.0</v>
      </c>
      <c r="J503" s="31">
        <v>0.0</v>
      </c>
      <c r="K503" s="26" t="s">
        <v>427</v>
      </c>
      <c r="L503" s="32" t="s">
        <v>75</v>
      </c>
      <c r="M503" s="33">
        <v>6483.75</v>
      </c>
      <c r="N503" s="34">
        <v>7007.29</v>
      </c>
      <c r="O503" s="27" t="s">
        <v>76</v>
      </c>
      <c r="P503" s="35" t="s">
        <v>122</v>
      </c>
      <c r="Q503" s="35" t="s">
        <v>65</v>
      </c>
      <c r="R503" s="36" t="e">
        <v>#VALUE!</v>
      </c>
      <c r="S503" s="35" t="s">
        <v>86</v>
      </c>
      <c r="T503" s="35">
        <v>0.0</v>
      </c>
      <c r="U503" s="37" t="s">
        <v>67</v>
      </c>
      <c r="V503" s="38"/>
      <c r="W503" s="38"/>
      <c r="X503" s="27"/>
      <c r="Y503" s="39"/>
      <c r="Z503" s="39"/>
      <c r="AA503" s="39"/>
      <c r="AB503" s="40"/>
      <c r="AC503" s="27">
        <f t="shared" si="324"/>
        <v>0</v>
      </c>
      <c r="AD503" s="41"/>
      <c r="AE503" s="42"/>
      <c r="AF503" s="27"/>
      <c r="AG503" s="43">
        <f t="shared" ref="AG503:AG507" si="376">IF(O503="Paid",IF(A503="Alwataniya",(M503*21%)-((M503*21%)*5%),IF((A503="GIG"),(M503*25%)-((M503*25%)*5%),IF((A503="Allianz"),(M503*27%)-((M503*27%)*5%),0))),0)</f>
        <v>1663.081875</v>
      </c>
      <c r="AH503" s="29"/>
      <c r="AI503" s="29"/>
      <c r="AJ503" s="29"/>
      <c r="AK503" s="29"/>
      <c r="AL503" s="27"/>
      <c r="AM503" s="44"/>
      <c r="AN503" s="115"/>
      <c r="AO503" s="46"/>
      <c r="AP503" s="47"/>
      <c r="AQ503" s="43">
        <f t="shared" ref="AQ503:AQ510" si="377">IF(U503="Motor Plus",(M503*27%),IF(U503="Motor One",(M503*22%),(IF(U503="Golden",(M503*25%),(IF(U503="Classic",(M503*15%),(IF(U503="Wethaq",(M503*28%),IF(U503="Alwataniya",(M503*21%))*0))))))))</f>
        <v>1750.6125</v>
      </c>
      <c r="AR503" s="43">
        <f t="shared" si="2"/>
        <v>87.530625</v>
      </c>
      <c r="AS503" s="43">
        <f t="shared" si="3"/>
        <v>306.3571875</v>
      </c>
      <c r="AT503" s="48">
        <f t="shared" si="4"/>
        <v>1356.724688</v>
      </c>
      <c r="AU503" s="49">
        <f t="shared" si="375"/>
        <v>1356.724688</v>
      </c>
      <c r="AV503" s="48"/>
      <c r="AW503" s="34">
        <f t="shared" si="341"/>
        <v>7007.29</v>
      </c>
      <c r="AX503" s="50">
        <f t="shared" si="248"/>
        <v>1356.724688</v>
      </c>
      <c r="AY503" s="43"/>
      <c r="AZ503" s="43"/>
      <c r="BA503" s="48">
        <f t="shared" si="361"/>
        <v>1356.724688</v>
      </c>
      <c r="BB503" s="27"/>
      <c r="BC503" s="27"/>
      <c r="BD503" s="51"/>
      <c r="BE503" s="52"/>
      <c r="BF503" s="27" t="s">
        <v>1772</v>
      </c>
      <c r="BG503" s="58" t="s">
        <v>1775</v>
      </c>
      <c r="BH503" s="53" t="str">
        <f t="shared" ref="BH503:BH505" si="378">'[1]2023'!Q561</f>
        <v>#REF!</v>
      </c>
      <c r="BI503" s="27"/>
      <c r="BJ503" s="27"/>
      <c r="BK503" s="27" t="s">
        <v>76</v>
      </c>
      <c r="BL503" s="27"/>
    </row>
    <row r="504" ht="14.25" customHeight="1">
      <c r="A504" s="26" t="s">
        <v>55</v>
      </c>
      <c r="B504" s="26" t="s">
        <v>56</v>
      </c>
      <c r="C504" s="26" t="s">
        <v>57</v>
      </c>
      <c r="D504" s="26" t="s">
        <v>81</v>
      </c>
      <c r="E504" s="27" t="s">
        <v>1776</v>
      </c>
      <c r="F504" s="28" t="s">
        <v>1777</v>
      </c>
      <c r="G504" s="29" t="s">
        <v>1774</v>
      </c>
      <c r="H504" s="30">
        <v>45076.0</v>
      </c>
      <c r="I504" s="30">
        <v>45441.0</v>
      </c>
      <c r="J504" s="31">
        <v>0.0</v>
      </c>
      <c r="K504" s="26" t="s">
        <v>427</v>
      </c>
      <c r="L504" s="32" t="s">
        <v>75</v>
      </c>
      <c r="M504" s="33">
        <v>17517.5</v>
      </c>
      <c r="N504" s="34">
        <v>18692.05</v>
      </c>
      <c r="O504" s="27" t="s">
        <v>76</v>
      </c>
      <c r="P504" s="35" t="s">
        <v>430</v>
      </c>
      <c r="Q504" s="35" t="s">
        <v>90</v>
      </c>
      <c r="R504" s="36" t="e">
        <v>#VALUE!</v>
      </c>
      <c r="S504" s="35" t="s">
        <v>86</v>
      </c>
      <c r="T504" s="35">
        <v>0.0</v>
      </c>
      <c r="U504" s="37" t="s">
        <v>67</v>
      </c>
      <c r="V504" s="38"/>
      <c r="W504" s="38"/>
      <c r="X504" s="27"/>
      <c r="Y504" s="39"/>
      <c r="Z504" s="79" t="s">
        <v>764</v>
      </c>
      <c r="AA504" s="39"/>
      <c r="AB504" s="40"/>
      <c r="AC504" s="27">
        <f t="shared" si="324"/>
        <v>0</v>
      </c>
      <c r="AD504" s="41">
        <f>IF(AND(S504="0",O504="Paid"),M504*15%,0)</f>
        <v>2627.625</v>
      </c>
      <c r="AE504" s="42"/>
      <c r="AF504" s="27"/>
      <c r="AG504" s="43">
        <f t="shared" si="376"/>
        <v>4493.23875</v>
      </c>
      <c r="AH504" s="29"/>
      <c r="AI504" s="29"/>
      <c r="AJ504" s="29"/>
      <c r="AK504" s="29"/>
      <c r="AL504" s="27"/>
      <c r="AM504" s="44"/>
      <c r="AN504" s="115"/>
      <c r="AO504" s="46"/>
      <c r="AP504" s="47"/>
      <c r="AQ504" s="43">
        <f t="shared" si="377"/>
        <v>4729.725</v>
      </c>
      <c r="AR504" s="43">
        <f t="shared" si="2"/>
        <v>236.48625</v>
      </c>
      <c r="AS504" s="43">
        <f t="shared" si="3"/>
        <v>827.701875</v>
      </c>
      <c r="AT504" s="48">
        <f t="shared" si="4"/>
        <v>3665.536875</v>
      </c>
      <c r="AU504" s="49">
        <f t="shared" si="375"/>
        <v>3665.536875</v>
      </c>
      <c r="AV504" s="48"/>
      <c r="AW504" s="34">
        <f t="shared" si="341"/>
        <v>16064.425</v>
      </c>
      <c r="AX504" s="50">
        <f t="shared" si="248"/>
        <v>1037.911875</v>
      </c>
      <c r="AY504" s="43"/>
      <c r="AZ504" s="43"/>
      <c r="BA504" s="48">
        <f t="shared" si="361"/>
        <v>3665.536875</v>
      </c>
      <c r="BB504" s="27"/>
      <c r="BC504" s="27"/>
      <c r="BD504" s="51"/>
      <c r="BE504" s="52"/>
      <c r="BF504" s="27" t="s">
        <v>1776</v>
      </c>
      <c r="BG504" s="53">
        <v>0.0</v>
      </c>
      <c r="BH504" s="53" t="str">
        <f t="shared" si="378"/>
        <v>#REF!</v>
      </c>
      <c r="BI504" s="27"/>
      <c r="BJ504" s="27"/>
      <c r="BK504" s="27" t="s">
        <v>76</v>
      </c>
      <c r="BL504" s="27"/>
    </row>
    <row r="505" ht="14.25" customHeight="1">
      <c r="A505" s="26" t="s">
        <v>55</v>
      </c>
      <c r="B505" s="26" t="s">
        <v>56</v>
      </c>
      <c r="C505" s="26" t="s">
        <v>57</v>
      </c>
      <c r="D505" s="26" t="s">
        <v>81</v>
      </c>
      <c r="E505" s="27" t="s">
        <v>1778</v>
      </c>
      <c r="F505" s="28" t="s">
        <v>1779</v>
      </c>
      <c r="G505" s="29" t="s">
        <v>1774</v>
      </c>
      <c r="H505" s="30">
        <v>45076.0</v>
      </c>
      <c r="I505" s="30">
        <v>45441.0</v>
      </c>
      <c r="J505" s="31">
        <v>0.0</v>
      </c>
      <c r="K505" s="26" t="s">
        <v>427</v>
      </c>
      <c r="L505" s="89">
        <v>45075.0</v>
      </c>
      <c r="M505" s="33">
        <v>24380.0</v>
      </c>
      <c r="N505" s="34">
        <v>25959.42</v>
      </c>
      <c r="O505" s="27" t="s">
        <v>76</v>
      </c>
      <c r="P505" s="35" t="s">
        <v>89</v>
      </c>
      <c r="Q505" s="35" t="s">
        <v>65</v>
      </c>
      <c r="R505" s="36" t="e">
        <v>#VALUE!</v>
      </c>
      <c r="S505" s="35" t="s">
        <v>86</v>
      </c>
      <c r="T505" s="54" t="s">
        <v>163</v>
      </c>
      <c r="U505" s="37" t="s">
        <v>67</v>
      </c>
      <c r="V505" s="38"/>
      <c r="W505" s="38"/>
      <c r="X505" s="27"/>
      <c r="Y505" s="39"/>
      <c r="Z505" s="39"/>
      <c r="AA505" s="39"/>
      <c r="AB505" s="40"/>
      <c r="AC505" s="27">
        <f t="shared" si="324"/>
        <v>0</v>
      </c>
      <c r="AD505" s="41"/>
      <c r="AE505" s="42"/>
      <c r="AF505" s="27"/>
      <c r="AG505" s="43">
        <f t="shared" si="376"/>
        <v>6253.47</v>
      </c>
      <c r="AH505" s="29"/>
      <c r="AI505" s="29"/>
      <c r="AJ505" s="29"/>
      <c r="AK505" s="29"/>
      <c r="AL505" s="27"/>
      <c r="AM505" s="44"/>
      <c r="AN505" s="115"/>
      <c r="AO505" s="70">
        <f>M505*15%</f>
        <v>3657</v>
      </c>
      <c r="AP505" s="71">
        <v>45267.0</v>
      </c>
      <c r="AQ505" s="43">
        <f t="shared" si="377"/>
        <v>6582.6</v>
      </c>
      <c r="AR505" s="43">
        <f t="shared" si="2"/>
        <v>329.13</v>
      </c>
      <c r="AS505" s="43">
        <f t="shared" si="3"/>
        <v>1151.955</v>
      </c>
      <c r="AT505" s="48">
        <f t="shared" si="4"/>
        <v>5101.515</v>
      </c>
      <c r="AU505" s="49">
        <f t="shared" si="375"/>
        <v>5101.515</v>
      </c>
      <c r="AV505" s="48"/>
      <c r="AW505" s="34">
        <f t="shared" si="341"/>
        <v>25959.42</v>
      </c>
      <c r="AX505" s="50">
        <f t="shared" si="248"/>
        <v>1444.515</v>
      </c>
      <c r="AY505" s="43"/>
      <c r="AZ505" s="43"/>
      <c r="BA505" s="48">
        <f t="shared" si="361"/>
        <v>1444.515</v>
      </c>
      <c r="BB505" s="27"/>
      <c r="BC505" s="27"/>
      <c r="BD505" s="51"/>
      <c r="BE505" s="52"/>
      <c r="BF505" s="27" t="s">
        <v>1778</v>
      </c>
      <c r="BG505" s="53">
        <v>0.0</v>
      </c>
      <c r="BH505" s="53" t="str">
        <f t="shared" si="378"/>
        <v>#REF!</v>
      </c>
      <c r="BI505" s="27"/>
      <c r="BJ505" s="27"/>
      <c r="BK505" s="27" t="s">
        <v>76</v>
      </c>
      <c r="BL505" s="27"/>
    </row>
    <row r="506" ht="14.25" customHeight="1">
      <c r="A506" s="26" t="s">
        <v>55</v>
      </c>
      <c r="B506" s="26" t="s">
        <v>56</v>
      </c>
      <c r="C506" s="26" t="s">
        <v>57</v>
      </c>
      <c r="D506" s="26" t="s">
        <v>81</v>
      </c>
      <c r="E506" s="27" t="s">
        <v>1780</v>
      </c>
      <c r="F506" s="28" t="s">
        <v>1781</v>
      </c>
      <c r="G506" s="29" t="s">
        <v>1774</v>
      </c>
      <c r="H506" s="30">
        <v>45076.0</v>
      </c>
      <c r="I506" s="30">
        <v>45441.0</v>
      </c>
      <c r="J506" s="31">
        <v>0.0</v>
      </c>
      <c r="K506" s="26" t="s">
        <v>427</v>
      </c>
      <c r="L506" s="32" t="s">
        <v>75</v>
      </c>
      <c r="M506" s="33">
        <v>26845.0</v>
      </c>
      <c r="N506" s="34">
        <v>28569.86</v>
      </c>
      <c r="O506" s="27" t="s">
        <v>76</v>
      </c>
      <c r="P506" s="35" t="s">
        <v>89</v>
      </c>
      <c r="Q506" s="35" t="s">
        <v>90</v>
      </c>
      <c r="R506" s="36" t="e">
        <v>#VALUE!</v>
      </c>
      <c r="S506" s="35" t="s">
        <v>86</v>
      </c>
      <c r="T506" s="35">
        <v>0.0</v>
      </c>
      <c r="U506" s="37" t="s">
        <v>67</v>
      </c>
      <c r="V506" s="38"/>
      <c r="W506" s="38"/>
      <c r="X506" s="27"/>
      <c r="Y506" s="39"/>
      <c r="Z506" s="39">
        <v>5008.0</v>
      </c>
      <c r="AA506" s="39"/>
      <c r="AB506" s="40"/>
      <c r="AC506" s="27">
        <f t="shared" si="324"/>
        <v>0</v>
      </c>
      <c r="AD506" s="41">
        <f t="shared" ref="AD506:AD507" si="379">IF(AND(S506="0",O506="Paid"),M506*15%,0)</f>
        <v>4026.75</v>
      </c>
      <c r="AE506" s="42"/>
      <c r="AF506" s="27"/>
      <c r="AG506" s="43">
        <f t="shared" si="376"/>
        <v>6885.7425</v>
      </c>
      <c r="AH506" s="29"/>
      <c r="AI506" s="29"/>
      <c r="AJ506" s="29"/>
      <c r="AK506" s="29"/>
      <c r="AL506" s="27"/>
      <c r="AM506" s="44"/>
      <c r="AN506" s="115"/>
      <c r="AO506" s="46"/>
      <c r="AP506" s="47"/>
      <c r="AQ506" s="43">
        <f t="shared" si="377"/>
        <v>7248.15</v>
      </c>
      <c r="AR506" s="43">
        <f t="shared" si="2"/>
        <v>362.4075</v>
      </c>
      <c r="AS506" s="43">
        <f t="shared" si="3"/>
        <v>1268.42625</v>
      </c>
      <c r="AT506" s="48">
        <f t="shared" si="4"/>
        <v>5617.31625</v>
      </c>
      <c r="AU506" s="49">
        <f t="shared" si="375"/>
        <v>5617.31625</v>
      </c>
      <c r="AV506" s="48"/>
      <c r="AW506" s="34">
        <f t="shared" si="341"/>
        <v>24543.11</v>
      </c>
      <c r="AX506" s="50">
        <f t="shared" si="248"/>
        <v>1590.56625</v>
      </c>
      <c r="AY506" s="43"/>
      <c r="AZ506" s="43"/>
      <c r="BA506" s="48">
        <f t="shared" si="361"/>
        <v>5617.31625</v>
      </c>
      <c r="BB506" s="27"/>
      <c r="BC506" s="27"/>
      <c r="BD506" s="51"/>
      <c r="BE506" s="52"/>
      <c r="BF506" s="27" t="s">
        <v>1780</v>
      </c>
      <c r="BG506" s="53">
        <v>0.0</v>
      </c>
      <c r="BH506" s="53" t="str">
        <f>'[1]2023'!Q598</f>
        <v>#REF!</v>
      </c>
      <c r="BI506" s="27"/>
      <c r="BJ506" s="27"/>
      <c r="BK506" s="27" t="s">
        <v>76</v>
      </c>
      <c r="BL506" s="27"/>
    </row>
    <row r="507" ht="14.25" customHeight="1">
      <c r="A507" s="26" t="s">
        <v>55</v>
      </c>
      <c r="B507" s="26" t="s">
        <v>56</v>
      </c>
      <c r="C507" s="26" t="s">
        <v>57</v>
      </c>
      <c r="D507" s="26" t="s">
        <v>81</v>
      </c>
      <c r="E507" s="27" t="s">
        <v>1782</v>
      </c>
      <c r="F507" s="28" t="s">
        <v>1783</v>
      </c>
      <c r="G507" s="29" t="s">
        <v>1774</v>
      </c>
      <c r="H507" s="30">
        <v>45076.0</v>
      </c>
      <c r="I507" s="30">
        <v>45441.0</v>
      </c>
      <c r="J507" s="31">
        <v>0.0</v>
      </c>
      <c r="K507" s="26" t="s">
        <v>427</v>
      </c>
      <c r="L507" s="32" t="s">
        <v>75</v>
      </c>
      <c r="M507" s="33">
        <v>7800.0</v>
      </c>
      <c r="N507" s="34">
        <v>8401.2</v>
      </c>
      <c r="O507" s="27" t="s">
        <v>76</v>
      </c>
      <c r="P507" s="35" t="s">
        <v>430</v>
      </c>
      <c r="Q507" s="35">
        <v>0.0</v>
      </c>
      <c r="R507" s="36" t="e">
        <v>#VALUE!</v>
      </c>
      <c r="S507" s="35" t="s">
        <v>86</v>
      </c>
      <c r="T507" s="35">
        <v>0.0</v>
      </c>
      <c r="U507" s="37" t="s">
        <v>67</v>
      </c>
      <c r="V507" s="38"/>
      <c r="W507" s="38"/>
      <c r="X507" s="27"/>
      <c r="Y507" s="39"/>
      <c r="Z507" s="39"/>
      <c r="AA507" s="39"/>
      <c r="AB507" s="40"/>
      <c r="AC507" s="27">
        <f t="shared" si="324"/>
        <v>0</v>
      </c>
      <c r="AD507" s="41">
        <f t="shared" si="379"/>
        <v>1170</v>
      </c>
      <c r="AE507" s="42"/>
      <c r="AF507" s="27"/>
      <c r="AG507" s="43">
        <f t="shared" si="376"/>
        <v>2000.7</v>
      </c>
      <c r="AH507" s="29"/>
      <c r="AI507" s="29"/>
      <c r="AJ507" s="29"/>
      <c r="AK507" s="29"/>
      <c r="AL507" s="27"/>
      <c r="AM507" s="44"/>
      <c r="AN507" s="115"/>
      <c r="AO507" s="46"/>
      <c r="AP507" s="47"/>
      <c r="AQ507" s="43">
        <f t="shared" si="377"/>
        <v>2106</v>
      </c>
      <c r="AR507" s="43">
        <f t="shared" si="2"/>
        <v>105.3</v>
      </c>
      <c r="AS507" s="43">
        <f t="shared" si="3"/>
        <v>368.55</v>
      </c>
      <c r="AT507" s="48">
        <f t="shared" si="4"/>
        <v>1632.15</v>
      </c>
      <c r="AU507" s="49">
        <f t="shared" si="375"/>
        <v>1632.15</v>
      </c>
      <c r="AV507" s="48"/>
      <c r="AW507" s="34">
        <f t="shared" si="341"/>
        <v>7231.2</v>
      </c>
      <c r="AX507" s="50">
        <f t="shared" si="248"/>
        <v>462.15</v>
      </c>
      <c r="AY507" s="43"/>
      <c r="AZ507" s="43"/>
      <c r="BA507" s="48">
        <f t="shared" si="361"/>
        <v>1632.15</v>
      </c>
      <c r="BB507" s="27"/>
      <c r="BC507" s="27"/>
      <c r="BD507" s="51"/>
      <c r="BE507" s="52"/>
      <c r="BF507" s="27" t="s">
        <v>1782</v>
      </c>
      <c r="BG507" s="53">
        <v>0.0</v>
      </c>
      <c r="BH507" s="53" t="str">
        <f>'[1]2023'!Q649</f>
        <v>#REF!</v>
      </c>
      <c r="BI507" s="27"/>
      <c r="BJ507" s="27"/>
      <c r="BK507" s="27" t="s">
        <v>76</v>
      </c>
      <c r="BL507" s="27"/>
    </row>
    <row r="508" ht="14.25" customHeight="1">
      <c r="A508" s="26" t="s">
        <v>55</v>
      </c>
      <c r="B508" s="26" t="s">
        <v>1099</v>
      </c>
      <c r="C508" s="26" t="s">
        <v>57</v>
      </c>
      <c r="D508" s="26">
        <v>0.0</v>
      </c>
      <c r="E508" s="27" t="s">
        <v>1784</v>
      </c>
      <c r="F508" s="28" t="s">
        <v>1785</v>
      </c>
      <c r="G508" s="29" t="s">
        <v>1774</v>
      </c>
      <c r="H508" s="30">
        <v>45076.0</v>
      </c>
      <c r="I508" s="30">
        <v>45441.0</v>
      </c>
      <c r="J508" s="31">
        <v>0.0</v>
      </c>
      <c r="K508" s="26" t="s">
        <v>427</v>
      </c>
      <c r="L508" s="32" t="s">
        <v>75</v>
      </c>
      <c r="M508" s="33">
        <v>0.0</v>
      </c>
      <c r="N508" s="34">
        <v>5933.0</v>
      </c>
      <c r="O508" s="27" t="s">
        <v>76</v>
      </c>
      <c r="P508" s="35" t="s">
        <v>95</v>
      </c>
      <c r="Q508" s="35">
        <v>0.0</v>
      </c>
      <c r="R508" s="36" t="e">
        <v>#VALUE!</v>
      </c>
      <c r="S508" s="35" t="s">
        <v>86</v>
      </c>
      <c r="T508" s="35">
        <v>0.0</v>
      </c>
      <c r="U508" s="37" t="s">
        <v>1099</v>
      </c>
      <c r="V508" s="38"/>
      <c r="W508" s="38"/>
      <c r="X508" s="27"/>
      <c r="Y508" s="39"/>
      <c r="Z508" s="39"/>
      <c r="AA508" s="39"/>
      <c r="AB508" s="40"/>
      <c r="AC508" s="27">
        <f t="shared" si="324"/>
        <v>0</v>
      </c>
      <c r="AD508" s="41">
        <f t="shared" ref="AD508:AD511" si="380">IF(AND(S508="0",O508="Paid"),(M508*15%)-AC508,0)</f>
        <v>0</v>
      </c>
      <c r="AE508" s="42"/>
      <c r="AF508" s="27"/>
      <c r="AG508" s="43">
        <f t="shared" ref="AG508:AG511" si="381">IF(O508="Paid",IF(A508="Alwataniya",(M508*21%)-((M508*21%)*5%),IF((A508="GIG"),(M508*25%)-((M508*25%)*5%),IF((A508="Allianz"),(M508*27%)-((M508*27%)*20%),0))),0)</f>
        <v>0</v>
      </c>
      <c r="AH508" s="29"/>
      <c r="AI508" s="29"/>
      <c r="AJ508" s="29"/>
      <c r="AK508" s="29"/>
      <c r="AL508" s="27"/>
      <c r="AM508" s="44"/>
      <c r="AN508" s="45"/>
      <c r="AO508" s="46"/>
      <c r="AP508" s="47"/>
      <c r="AQ508" s="43">
        <f t="shared" si="377"/>
        <v>0</v>
      </c>
      <c r="AR508" s="43">
        <f t="shared" si="2"/>
        <v>0</v>
      </c>
      <c r="AS508" s="43">
        <f t="shared" si="3"/>
        <v>0</v>
      </c>
      <c r="AT508" s="48">
        <f t="shared" si="4"/>
        <v>0</v>
      </c>
      <c r="AU508" s="49">
        <f t="shared" si="375"/>
        <v>0</v>
      </c>
      <c r="AV508" s="48"/>
      <c r="AW508" s="34">
        <f t="shared" si="341"/>
        <v>5933</v>
      </c>
      <c r="AX508" s="50">
        <f t="shared" si="248"/>
        <v>0</v>
      </c>
      <c r="AY508" s="43"/>
      <c r="AZ508" s="43"/>
      <c r="BA508" s="48">
        <f t="shared" si="361"/>
        <v>0</v>
      </c>
      <c r="BB508" s="27"/>
      <c r="BC508" s="27"/>
      <c r="BD508" s="51"/>
      <c r="BE508" s="52"/>
      <c r="BF508" s="27" t="s">
        <v>1784</v>
      </c>
      <c r="BG508" s="53">
        <v>0.0</v>
      </c>
      <c r="BH508" s="53" t="str">
        <f t="shared" ref="BH508:BH510" si="382">'[1]2023'!Q745</f>
        <v>#REF!</v>
      </c>
      <c r="BI508" s="27"/>
      <c r="BJ508" s="27"/>
      <c r="BK508" s="27" t="s">
        <v>76</v>
      </c>
      <c r="BL508" s="27"/>
    </row>
    <row r="509" ht="14.25" customHeight="1">
      <c r="A509" s="26" t="s">
        <v>55</v>
      </c>
      <c r="B509" s="26" t="s">
        <v>1786</v>
      </c>
      <c r="C509" s="26" t="s">
        <v>57</v>
      </c>
      <c r="D509" s="26">
        <v>0.0</v>
      </c>
      <c r="E509" s="27" t="s">
        <v>1787</v>
      </c>
      <c r="F509" s="26">
        <v>0.0</v>
      </c>
      <c r="G509" s="29" t="s">
        <v>1774</v>
      </c>
      <c r="H509" s="30">
        <v>45076.0</v>
      </c>
      <c r="I509" s="30">
        <v>45441.0</v>
      </c>
      <c r="J509" s="31">
        <v>0.0</v>
      </c>
      <c r="K509" s="26" t="s">
        <v>427</v>
      </c>
      <c r="L509" s="73" t="s">
        <v>75</v>
      </c>
      <c r="M509" s="33">
        <v>0.0</v>
      </c>
      <c r="N509" s="34">
        <v>6183.94</v>
      </c>
      <c r="O509" s="27" t="s">
        <v>76</v>
      </c>
      <c r="P509" s="35" t="s">
        <v>95</v>
      </c>
      <c r="Q509" s="35">
        <v>0.0</v>
      </c>
      <c r="R509" s="36" t="e">
        <v>#VALUE!</v>
      </c>
      <c r="S509" s="35" t="s">
        <v>86</v>
      </c>
      <c r="T509" s="35">
        <v>0.0</v>
      </c>
      <c r="U509" s="37" t="s">
        <v>1786</v>
      </c>
      <c r="V509" s="38"/>
      <c r="W509" s="38"/>
      <c r="X509" s="27"/>
      <c r="Y509" s="39"/>
      <c r="Z509" s="39"/>
      <c r="AA509" s="39"/>
      <c r="AB509" s="40"/>
      <c r="AC509" s="27">
        <f t="shared" si="324"/>
        <v>0</v>
      </c>
      <c r="AD509" s="41">
        <f t="shared" si="380"/>
        <v>0</v>
      </c>
      <c r="AE509" s="42"/>
      <c r="AF509" s="27"/>
      <c r="AG509" s="43">
        <f t="shared" si="381"/>
        <v>0</v>
      </c>
      <c r="AH509" s="29"/>
      <c r="AI509" s="29"/>
      <c r="AJ509" s="29"/>
      <c r="AK509" s="75"/>
      <c r="AL509" s="27"/>
      <c r="AM509" s="44"/>
      <c r="AN509" s="45"/>
      <c r="AO509" s="46"/>
      <c r="AP509" s="47"/>
      <c r="AQ509" s="43">
        <f t="shared" si="377"/>
        <v>0</v>
      </c>
      <c r="AR509" s="43">
        <f t="shared" si="2"/>
        <v>0</v>
      </c>
      <c r="AS509" s="43">
        <f t="shared" si="3"/>
        <v>0</v>
      </c>
      <c r="AT509" s="48">
        <f t="shared" si="4"/>
        <v>0</v>
      </c>
      <c r="AU509" s="49">
        <f t="shared" si="375"/>
        <v>0</v>
      </c>
      <c r="AV509" s="48"/>
      <c r="AW509" s="34">
        <f t="shared" si="341"/>
        <v>6183.94</v>
      </c>
      <c r="AX509" s="50">
        <f t="shared" si="248"/>
        <v>0</v>
      </c>
      <c r="AY509" s="43"/>
      <c r="AZ509" s="43"/>
      <c r="BA509" s="48">
        <f t="shared" si="361"/>
        <v>0</v>
      </c>
      <c r="BB509" s="27"/>
      <c r="BC509" s="27"/>
      <c r="BD509" s="51"/>
      <c r="BE509" s="52"/>
      <c r="BF509" s="27" t="s">
        <v>1787</v>
      </c>
      <c r="BG509" s="53">
        <v>0.0</v>
      </c>
      <c r="BH509" s="53" t="str">
        <f t="shared" si="382"/>
        <v>#REF!</v>
      </c>
      <c r="BI509" s="27"/>
      <c r="BJ509" s="27"/>
      <c r="BK509" s="27" t="s">
        <v>76</v>
      </c>
      <c r="BL509" s="27"/>
    </row>
    <row r="510" ht="14.25" customHeight="1">
      <c r="A510" s="26" t="s">
        <v>55</v>
      </c>
      <c r="B510" s="26" t="s">
        <v>1099</v>
      </c>
      <c r="C510" s="26" t="s">
        <v>57</v>
      </c>
      <c r="D510" s="26">
        <v>0.0</v>
      </c>
      <c r="E510" s="27" t="s">
        <v>1788</v>
      </c>
      <c r="F510" s="28" t="s">
        <v>1789</v>
      </c>
      <c r="G510" s="29" t="s">
        <v>1774</v>
      </c>
      <c r="H510" s="30">
        <v>45076.0</v>
      </c>
      <c r="I510" s="30">
        <v>45441.0</v>
      </c>
      <c r="J510" s="31">
        <v>0.0</v>
      </c>
      <c r="K510" s="26" t="s">
        <v>427</v>
      </c>
      <c r="L510" s="32" t="s">
        <v>75</v>
      </c>
      <c r="M510" s="33">
        <v>0.0</v>
      </c>
      <c r="N510" s="34">
        <v>15569.0</v>
      </c>
      <c r="O510" s="27" t="s">
        <v>76</v>
      </c>
      <c r="P510" s="35" t="s">
        <v>95</v>
      </c>
      <c r="Q510" s="35">
        <v>0.0</v>
      </c>
      <c r="R510" s="36" t="e">
        <v>#VALUE!</v>
      </c>
      <c r="S510" s="35" t="s">
        <v>86</v>
      </c>
      <c r="T510" s="35">
        <v>0.0</v>
      </c>
      <c r="U510" s="37" t="s">
        <v>1099</v>
      </c>
      <c r="V510" s="38"/>
      <c r="W510" s="38"/>
      <c r="X510" s="27"/>
      <c r="Y510" s="39"/>
      <c r="Z510" s="39"/>
      <c r="AA510" s="39"/>
      <c r="AB510" s="40"/>
      <c r="AC510" s="27">
        <f t="shared" si="324"/>
        <v>0</v>
      </c>
      <c r="AD510" s="41">
        <f t="shared" si="380"/>
        <v>0</v>
      </c>
      <c r="AE510" s="42"/>
      <c r="AF510" s="27"/>
      <c r="AG510" s="43">
        <f t="shared" si="381"/>
        <v>0</v>
      </c>
      <c r="AH510" s="29"/>
      <c r="AI510" s="29"/>
      <c r="AJ510" s="29"/>
      <c r="AK510" s="29"/>
      <c r="AL510" s="27"/>
      <c r="AM510" s="44"/>
      <c r="AN510" s="45"/>
      <c r="AO510" s="46"/>
      <c r="AP510" s="47"/>
      <c r="AQ510" s="43">
        <f t="shared" si="377"/>
        <v>0</v>
      </c>
      <c r="AR510" s="43">
        <f t="shared" si="2"/>
        <v>0</v>
      </c>
      <c r="AS510" s="43">
        <f t="shared" si="3"/>
        <v>0</v>
      </c>
      <c r="AT510" s="48">
        <f t="shared" si="4"/>
        <v>0</v>
      </c>
      <c r="AU510" s="49">
        <f t="shared" si="375"/>
        <v>0</v>
      </c>
      <c r="AV510" s="48"/>
      <c r="AW510" s="34">
        <f t="shared" si="341"/>
        <v>15569</v>
      </c>
      <c r="AX510" s="50">
        <f t="shared" si="248"/>
        <v>0</v>
      </c>
      <c r="AY510" s="43"/>
      <c r="AZ510" s="43"/>
      <c r="BA510" s="48">
        <f t="shared" si="361"/>
        <v>0</v>
      </c>
      <c r="BB510" s="27"/>
      <c r="BC510" s="27"/>
      <c r="BD510" s="51"/>
      <c r="BE510" s="52"/>
      <c r="BF510" s="27" t="s">
        <v>1788</v>
      </c>
      <c r="BG510" s="53">
        <v>0.0</v>
      </c>
      <c r="BH510" s="53" t="str">
        <f t="shared" si="382"/>
        <v>#REF!</v>
      </c>
      <c r="BI510" s="27"/>
      <c r="BJ510" s="27"/>
      <c r="BK510" s="27" t="s">
        <v>76</v>
      </c>
      <c r="BL510" s="27"/>
    </row>
    <row r="511" ht="14.25" customHeight="1">
      <c r="A511" s="26" t="s">
        <v>111</v>
      </c>
      <c r="B511" s="26" t="s">
        <v>56</v>
      </c>
      <c r="C511" s="26" t="s">
        <v>57</v>
      </c>
      <c r="D511" s="26" t="s">
        <v>71</v>
      </c>
      <c r="E511" s="27" t="s">
        <v>1790</v>
      </c>
      <c r="F511" s="28" t="s">
        <v>1791</v>
      </c>
      <c r="G511" s="29" t="s">
        <v>1774</v>
      </c>
      <c r="H511" s="30">
        <v>45076.0</v>
      </c>
      <c r="I511" s="30">
        <v>45441.0</v>
      </c>
      <c r="J511" s="31" t="s">
        <v>709</v>
      </c>
      <c r="K511" s="26" t="s">
        <v>427</v>
      </c>
      <c r="L511" s="32" t="s">
        <v>63</v>
      </c>
      <c r="M511" s="33">
        <v>14489.33</v>
      </c>
      <c r="N511" s="34">
        <v>15600.0</v>
      </c>
      <c r="O511" s="27" t="s">
        <v>64</v>
      </c>
      <c r="P511" s="35" t="s">
        <v>430</v>
      </c>
      <c r="Q511" s="35" t="s">
        <v>114</v>
      </c>
      <c r="R511" s="36" t="e">
        <v>#VALUE!</v>
      </c>
      <c r="S511" s="35" t="s">
        <v>683</v>
      </c>
      <c r="T511" s="54" t="s">
        <v>1792</v>
      </c>
      <c r="U511" s="37" t="s">
        <v>115</v>
      </c>
      <c r="V511" s="38">
        <v>600000.0</v>
      </c>
      <c r="W511" s="38"/>
      <c r="X511" s="27"/>
      <c r="Y511" s="39"/>
      <c r="Z511" s="79" t="s">
        <v>1793</v>
      </c>
      <c r="AA511" s="39"/>
      <c r="AB511" s="40"/>
      <c r="AC511" s="27">
        <f t="shared" si="324"/>
        <v>0</v>
      </c>
      <c r="AD511" s="41">
        <f t="shared" si="380"/>
        <v>0</v>
      </c>
      <c r="AE511" s="42"/>
      <c r="AF511" s="27"/>
      <c r="AG511" s="43">
        <f t="shared" si="381"/>
        <v>0</v>
      </c>
      <c r="AH511" s="29"/>
      <c r="AI511" s="29"/>
      <c r="AJ511" s="29"/>
      <c r="AK511" s="29"/>
      <c r="AL511" s="27"/>
      <c r="AM511" s="44"/>
      <c r="AN511" s="45"/>
      <c r="AO511" s="46"/>
      <c r="AP511" s="47"/>
      <c r="AQ511" s="43" t="b">
        <f>IF(O511="Paid",IF(U511="Motor Plus",(M511*27%),IF(U511="Motor One",(M511*22%),(IF(U511="Golden",(M511*25%),(IF(U511="Classic",(M511*15%),(IF(U511="Wethaq",(M511*28%),IF(U511="Alwataniya",(M511*21%))*0)))))))))</f>
        <v>0</v>
      </c>
      <c r="AR511" s="43">
        <f t="shared" si="2"/>
        <v>0</v>
      </c>
      <c r="AS511" s="43">
        <f t="shared" si="3"/>
        <v>0</v>
      </c>
      <c r="AT511" s="48">
        <f t="shared" si="4"/>
        <v>0</v>
      </c>
      <c r="AU511" s="49">
        <f t="shared" si="375"/>
        <v>0</v>
      </c>
      <c r="AV511" s="133">
        <v>44.0</v>
      </c>
      <c r="AW511" s="34">
        <f t="shared" si="341"/>
        <v>15600</v>
      </c>
      <c r="AX511" s="50">
        <f t="shared" si="248"/>
        <v>0</v>
      </c>
      <c r="AY511" s="43"/>
      <c r="AZ511" s="43"/>
      <c r="BA511" s="48">
        <f t="shared" si="361"/>
        <v>0</v>
      </c>
      <c r="BB511" s="27"/>
      <c r="BC511" s="27"/>
      <c r="BD511" s="51"/>
      <c r="BE511" s="52"/>
      <c r="BF511" s="27" t="s">
        <v>1790</v>
      </c>
      <c r="BG511" s="53">
        <v>0.0</v>
      </c>
      <c r="BH511" s="53" t="str">
        <f>'[1]2023'!Q751</f>
        <v>#REF!</v>
      </c>
      <c r="BI511" s="27"/>
      <c r="BJ511" s="27"/>
      <c r="BK511" s="27" t="s">
        <v>64</v>
      </c>
      <c r="BL511" s="27"/>
    </row>
    <row r="512" ht="14.25" customHeight="1">
      <c r="A512" s="26" t="s">
        <v>55</v>
      </c>
      <c r="B512" s="26" t="s">
        <v>56</v>
      </c>
      <c r="C512" s="26" t="s">
        <v>57</v>
      </c>
      <c r="D512" s="26" t="s">
        <v>81</v>
      </c>
      <c r="E512" s="27" t="s">
        <v>1794</v>
      </c>
      <c r="F512" s="28" t="s">
        <v>1795</v>
      </c>
      <c r="G512" s="29" t="s">
        <v>1774</v>
      </c>
      <c r="H512" s="30">
        <v>45076.0</v>
      </c>
      <c r="I512" s="30">
        <v>45441.0</v>
      </c>
      <c r="J512" s="31">
        <v>0.0</v>
      </c>
      <c r="K512" s="26" t="s">
        <v>427</v>
      </c>
      <c r="L512" s="32" t="s">
        <v>75</v>
      </c>
      <c r="M512" s="33">
        <v>20650.0</v>
      </c>
      <c r="N512" s="34">
        <v>22009.35</v>
      </c>
      <c r="O512" s="27" t="s">
        <v>76</v>
      </c>
      <c r="P512" s="35" t="s">
        <v>89</v>
      </c>
      <c r="Q512" s="35" t="s">
        <v>65</v>
      </c>
      <c r="R512" s="36" t="e">
        <v>#VALUE!</v>
      </c>
      <c r="S512" s="35" t="s">
        <v>86</v>
      </c>
      <c r="T512" s="54" t="s">
        <v>163</v>
      </c>
      <c r="U512" s="37" t="s">
        <v>67</v>
      </c>
      <c r="V512" s="38"/>
      <c r="W512" s="38"/>
      <c r="X512" s="27"/>
      <c r="Y512" s="39"/>
      <c r="Z512" s="39"/>
      <c r="AA512" s="39"/>
      <c r="AB512" s="40"/>
      <c r="AC512" s="27">
        <f t="shared" si="324"/>
        <v>0</v>
      </c>
      <c r="AD512" s="41"/>
      <c r="AE512" s="42"/>
      <c r="AF512" s="27"/>
      <c r="AG512" s="43">
        <f>IF(O512="Paid",IF(A512="Alwataniya",(M512*21%)-((M512*21%)*5%),IF((A512="GIG"),(M512*25%)-((M512*25%)*5%),IF((A512="Allianz"),(M512*27%)-((M512*27%)*5%),0))),0)</f>
        <v>5296.725</v>
      </c>
      <c r="AH512" s="29"/>
      <c r="AI512" s="29"/>
      <c r="AJ512" s="29"/>
      <c r="AK512" s="29"/>
      <c r="AL512" s="27"/>
      <c r="AM512" s="27"/>
      <c r="AN512" s="63"/>
      <c r="AO512" s="70">
        <f>M512*15%</f>
        <v>3097.5</v>
      </c>
      <c r="AP512" s="71">
        <v>45267.0</v>
      </c>
      <c r="AQ512" s="43">
        <f t="shared" ref="AQ512:AQ513" si="383">IF(U512="Motor Plus",(M512*27%),IF(U512="Motor One",(M512*22%),(IF(U512="Golden",(M512*25%),(IF(U512="Classic",(M512*15%),(IF(U512="Wethaq",(M512*28%),IF(U512="Alwataniya",(M512*21%))*0))))))))</f>
        <v>5575.5</v>
      </c>
      <c r="AR512" s="43">
        <f t="shared" si="2"/>
        <v>278.775</v>
      </c>
      <c r="AS512" s="43">
        <f t="shared" si="3"/>
        <v>975.7125</v>
      </c>
      <c r="AT512" s="48">
        <f t="shared" si="4"/>
        <v>4321.0125</v>
      </c>
      <c r="AU512" s="103">
        <f t="shared" si="375"/>
        <v>4321.0125</v>
      </c>
      <c r="AV512" s="48"/>
      <c r="AW512" s="34">
        <f t="shared" si="341"/>
        <v>22009.35</v>
      </c>
      <c r="AX512" s="50">
        <f t="shared" si="248"/>
        <v>1223.5125</v>
      </c>
      <c r="AY512" s="43"/>
      <c r="AZ512" s="43"/>
      <c r="BA512" s="48">
        <f t="shared" si="361"/>
        <v>1223.5125</v>
      </c>
      <c r="BB512" s="27"/>
      <c r="BC512" s="27"/>
      <c r="BD512" s="51"/>
      <c r="BE512" s="52"/>
      <c r="BF512" s="27" t="s">
        <v>1794</v>
      </c>
      <c r="BG512" s="53">
        <v>0.0</v>
      </c>
      <c r="BH512" s="53" t="str">
        <f>'[1]2023'!Q762</f>
        <v>#REF!</v>
      </c>
      <c r="BI512" s="27"/>
      <c r="BJ512" s="27"/>
      <c r="BK512" s="27" t="s">
        <v>76</v>
      </c>
      <c r="BL512" s="27"/>
    </row>
    <row r="513" ht="14.25" customHeight="1">
      <c r="A513" s="26" t="s">
        <v>111</v>
      </c>
      <c r="B513" s="26" t="s">
        <v>56</v>
      </c>
      <c r="C513" s="26" t="s">
        <v>57</v>
      </c>
      <c r="D513" s="26" t="s">
        <v>71</v>
      </c>
      <c r="E513" s="27" t="s">
        <v>1796</v>
      </c>
      <c r="F513" s="28" t="s">
        <v>1797</v>
      </c>
      <c r="G513" s="29" t="s">
        <v>1774</v>
      </c>
      <c r="H513" s="30">
        <v>45076.0</v>
      </c>
      <c r="I513" s="30">
        <v>45441.0</v>
      </c>
      <c r="J513" s="31" t="s">
        <v>1798</v>
      </c>
      <c r="K513" s="26" t="s">
        <v>427</v>
      </c>
      <c r="L513" s="69">
        <v>45144.0</v>
      </c>
      <c r="M513" s="33">
        <v>32902.93</v>
      </c>
      <c r="N513" s="34">
        <v>35100.0</v>
      </c>
      <c r="O513" s="27" t="s">
        <v>76</v>
      </c>
      <c r="P513" s="35" t="s">
        <v>142</v>
      </c>
      <c r="Q513" s="35" t="s">
        <v>108</v>
      </c>
      <c r="R513" s="36" t="e">
        <v>#VALUE!</v>
      </c>
      <c r="S513" s="35" t="s">
        <v>86</v>
      </c>
      <c r="T513" s="35">
        <v>0.0</v>
      </c>
      <c r="U513" s="37" t="s">
        <v>115</v>
      </c>
      <c r="V513" s="38">
        <v>1350000.0</v>
      </c>
      <c r="W513" s="38"/>
      <c r="X513" s="27"/>
      <c r="Y513" s="39"/>
      <c r="Z513" s="79" t="s">
        <v>1799</v>
      </c>
      <c r="AA513" s="39"/>
      <c r="AB513" s="40"/>
      <c r="AC513" s="27">
        <f t="shared" si="324"/>
        <v>0</v>
      </c>
      <c r="AD513" s="41">
        <f>IF(AND(S513="0",O513="Paid"),M513*15%,0)</f>
        <v>4935.4395</v>
      </c>
      <c r="AE513" s="42">
        <v>650.0</v>
      </c>
      <c r="AF513" s="29">
        <v>45144.0</v>
      </c>
      <c r="AG513" s="43">
        <f>IF(O513="Paid",IF(A513="Alwataniya",(M513*21%)-((M513*21%)*5%),IF((A513="GIG"),(M513*25%)-((M513*25%)*5%),IF((A513="Allianz"),(M513*27%)-((M513*27%)*20%),0))),0)</f>
        <v>7814.445875</v>
      </c>
      <c r="AH513" s="29" t="s">
        <v>901</v>
      </c>
      <c r="AI513" s="29" t="s">
        <v>902</v>
      </c>
      <c r="AJ513" s="40"/>
      <c r="AK513" s="62" t="s">
        <v>63</v>
      </c>
      <c r="AL513" s="27"/>
      <c r="AM513" s="44"/>
      <c r="AN513" s="45"/>
      <c r="AO513" s="46"/>
      <c r="AP513" s="47"/>
      <c r="AQ513" s="43">
        <f t="shared" si="383"/>
        <v>8225.7325</v>
      </c>
      <c r="AR513" s="43">
        <f t="shared" si="2"/>
        <v>411.286625</v>
      </c>
      <c r="AS513" s="43">
        <f t="shared" si="3"/>
        <v>1439.503188</v>
      </c>
      <c r="AT513" s="48">
        <f t="shared" si="4"/>
        <v>6374.942688</v>
      </c>
      <c r="AU513" s="49">
        <f t="shared" si="375"/>
        <v>6374.942688</v>
      </c>
      <c r="AV513" s="48"/>
      <c r="AW513" s="34">
        <f t="shared" si="341"/>
        <v>29514.5605</v>
      </c>
      <c r="AX513" s="50">
        <f t="shared" si="248"/>
        <v>789.5031875</v>
      </c>
      <c r="AY513" s="43"/>
      <c r="AZ513" s="43"/>
      <c r="BA513" s="48">
        <f t="shared" si="361"/>
        <v>6374.942688</v>
      </c>
      <c r="BB513" s="27"/>
      <c r="BC513" s="27"/>
      <c r="BD513" s="51"/>
      <c r="BE513" s="52"/>
      <c r="BF513" s="27" t="s">
        <v>1796</v>
      </c>
      <c r="BG513" s="53">
        <v>0.0</v>
      </c>
      <c r="BH513" s="53" t="str">
        <f>'[1]2023'!Q781</f>
        <v>#REF!</v>
      </c>
      <c r="BI513" s="27"/>
      <c r="BJ513" s="27"/>
      <c r="BK513" s="27" t="s">
        <v>76</v>
      </c>
      <c r="BL513" s="27"/>
    </row>
    <row r="514" ht="14.25" customHeight="1">
      <c r="A514" s="26" t="s">
        <v>55</v>
      </c>
      <c r="B514" s="26" t="s">
        <v>56</v>
      </c>
      <c r="C514" s="26" t="s">
        <v>57</v>
      </c>
      <c r="D514" s="26" t="s">
        <v>71</v>
      </c>
      <c r="E514" s="27" t="s">
        <v>1800</v>
      </c>
      <c r="F514" s="28" t="s">
        <v>1801</v>
      </c>
      <c r="G514" s="29" t="s">
        <v>1774</v>
      </c>
      <c r="H514" s="30">
        <v>45076.0</v>
      </c>
      <c r="I514" s="30">
        <v>45441.0</v>
      </c>
      <c r="J514" s="31" t="s">
        <v>1802</v>
      </c>
      <c r="K514" s="26" t="s">
        <v>440</v>
      </c>
      <c r="L514" s="69">
        <v>45052.0</v>
      </c>
      <c r="M514" s="33">
        <v>26845.0</v>
      </c>
      <c r="N514" s="34">
        <v>28569.86</v>
      </c>
      <c r="O514" s="27" t="s">
        <v>76</v>
      </c>
      <c r="P514" s="35" t="s">
        <v>430</v>
      </c>
      <c r="Q514" s="35" t="s">
        <v>65</v>
      </c>
      <c r="R514" s="36" t="e">
        <v>#VALUE!</v>
      </c>
      <c r="S514" s="35" t="s">
        <v>1103</v>
      </c>
      <c r="T514" s="35">
        <v>0.0</v>
      </c>
      <c r="U514" s="37" t="s">
        <v>67</v>
      </c>
      <c r="V514" s="38">
        <v>1300000.0</v>
      </c>
      <c r="W514" s="78" t="s">
        <v>1803</v>
      </c>
      <c r="X514" s="27">
        <v>2021.0</v>
      </c>
      <c r="Y514" s="39"/>
      <c r="Z514" s="79" t="s">
        <v>476</v>
      </c>
      <c r="AA514" s="39"/>
      <c r="AB514" s="40"/>
      <c r="AC514" s="27">
        <f t="shared" si="324"/>
        <v>0</v>
      </c>
      <c r="AD514" s="41"/>
      <c r="AE514" s="42"/>
      <c r="AF514" s="27"/>
      <c r="AG514" s="43">
        <f t="shared" ref="AG514:AG516" si="384">IF(O514="Paid",IF(A514="Alwataniya",(M514*21%)-((M514*21%)*5%),IF((A514="GIG"),(M514*25%)-((M514*25%)*5%),IF((A514="Allianz"),(M514*27%)-((M514*27%)*5%),0))),0)</f>
        <v>6885.7425</v>
      </c>
      <c r="AH514" s="29"/>
      <c r="AI514" s="29"/>
      <c r="AJ514" s="29"/>
      <c r="AK514" s="29"/>
      <c r="AL514" s="27"/>
      <c r="AM514" s="68">
        <f>((M514*27%)-((M514*27%)*22.5%))*20%</f>
        <v>1123.46325</v>
      </c>
      <c r="AN514" s="68" t="s">
        <v>75</v>
      </c>
      <c r="AO514" s="46"/>
      <c r="AP514" s="47"/>
      <c r="AQ514" s="43">
        <f>M514*27%</f>
        <v>7248.15</v>
      </c>
      <c r="AR514" s="43">
        <f t="shared" si="2"/>
        <v>362.4075</v>
      </c>
      <c r="AS514" s="43">
        <f t="shared" si="3"/>
        <v>1268.42625</v>
      </c>
      <c r="AT514" s="48">
        <f t="shared" si="4"/>
        <v>5617.31625</v>
      </c>
      <c r="AU514" s="48">
        <f>AQ514-AR514-AS514</f>
        <v>5617.31625</v>
      </c>
      <c r="AV514" s="106">
        <f>BA514*10%</f>
        <v>449.3853</v>
      </c>
      <c r="AW514" s="34">
        <f t="shared" si="341"/>
        <v>28569.86</v>
      </c>
      <c r="AX514" s="50">
        <f t="shared" si="248"/>
        <v>4044.4677</v>
      </c>
      <c r="AY514" s="43"/>
      <c r="AZ514" s="43"/>
      <c r="BA514" s="48">
        <f t="shared" si="361"/>
        <v>4493.853</v>
      </c>
      <c r="BB514" s="27"/>
      <c r="BC514" s="27"/>
      <c r="BD514" s="51">
        <v>3.0</v>
      </c>
      <c r="BE514" s="52" t="s">
        <v>440</v>
      </c>
      <c r="BF514" s="27" t="s">
        <v>1800</v>
      </c>
      <c r="BG514" s="53">
        <v>0.0</v>
      </c>
      <c r="BH514" s="53" t="str">
        <f>'[1]2023'!Q788</f>
        <v>#REF!</v>
      </c>
      <c r="BI514" s="27"/>
      <c r="BJ514" s="27"/>
      <c r="BK514" s="27" t="s">
        <v>76</v>
      </c>
      <c r="BL514" s="27"/>
    </row>
    <row r="515" ht="14.25" customHeight="1">
      <c r="A515" s="26" t="s">
        <v>55</v>
      </c>
      <c r="B515" s="26" t="s">
        <v>56</v>
      </c>
      <c r="C515" s="26" t="s">
        <v>57</v>
      </c>
      <c r="D515" s="26" t="s">
        <v>81</v>
      </c>
      <c r="E515" s="27" t="s">
        <v>1804</v>
      </c>
      <c r="F515" s="28" t="s">
        <v>1805</v>
      </c>
      <c r="G515" s="29" t="s">
        <v>1774</v>
      </c>
      <c r="H515" s="30">
        <v>45076.0</v>
      </c>
      <c r="I515" s="30">
        <v>45441.0</v>
      </c>
      <c r="J515" s="31">
        <v>0.0</v>
      </c>
      <c r="K515" s="26" t="s">
        <v>427</v>
      </c>
      <c r="L515" s="32" t="s">
        <v>75</v>
      </c>
      <c r="M515" s="33">
        <v>23747.5</v>
      </c>
      <c r="N515" s="34">
        <v>25289.62</v>
      </c>
      <c r="O515" s="27" t="s">
        <v>76</v>
      </c>
      <c r="P515" s="35" t="s">
        <v>122</v>
      </c>
      <c r="Q515" s="35" t="s">
        <v>90</v>
      </c>
      <c r="R515" s="36" t="e">
        <v>#VALUE!</v>
      </c>
      <c r="S515" s="35" t="s">
        <v>86</v>
      </c>
      <c r="T515" s="35">
        <v>0.0</v>
      </c>
      <c r="U515" s="37" t="s">
        <v>67</v>
      </c>
      <c r="V515" s="38"/>
      <c r="W515" s="38"/>
      <c r="X515" s="27"/>
      <c r="Y515" s="39"/>
      <c r="Z515" s="79" t="s">
        <v>476</v>
      </c>
      <c r="AA515" s="39"/>
      <c r="AB515" s="40"/>
      <c r="AC515" s="27">
        <f t="shared" si="324"/>
        <v>0</v>
      </c>
      <c r="AD515" s="41">
        <f>IF(AND(S515="0",O515="Paid"),M515*15%,0)</f>
        <v>3562.125</v>
      </c>
      <c r="AE515" s="42"/>
      <c r="AF515" s="27"/>
      <c r="AG515" s="43">
        <f t="shared" si="384"/>
        <v>6091.23375</v>
      </c>
      <c r="AH515" s="29"/>
      <c r="AI515" s="29"/>
      <c r="AJ515" s="29"/>
      <c r="AK515" s="29"/>
      <c r="AL515" s="27"/>
      <c r="AM515" s="44"/>
      <c r="AN515" s="45"/>
      <c r="AO515" s="46"/>
      <c r="AP515" s="47"/>
      <c r="AQ515" s="43">
        <f>IF(U515="Motor Plus",(M515*27%),IF(U515="Motor One",(M515*22%),(IF(U515="Golden",(M515*25%),(IF(U515="Classic",(M515*15%),(IF(U515="Wethaq",(M515*28%),IF(U515="Alwataniya",(M515*21%))*0))))))))</f>
        <v>6411.825</v>
      </c>
      <c r="AR515" s="43">
        <f t="shared" si="2"/>
        <v>320.59125</v>
      </c>
      <c r="AS515" s="43">
        <f t="shared" si="3"/>
        <v>1122.069375</v>
      </c>
      <c r="AT515" s="48">
        <f t="shared" si="4"/>
        <v>4969.164375</v>
      </c>
      <c r="AU515" s="49">
        <f>AQ515-AR515-AS515-AC515</f>
        <v>4969.164375</v>
      </c>
      <c r="AV515" s="48"/>
      <c r="AW515" s="34">
        <f t="shared" si="341"/>
        <v>21727.495</v>
      </c>
      <c r="AX515" s="50">
        <f t="shared" si="248"/>
        <v>1407.039375</v>
      </c>
      <c r="AY515" s="43"/>
      <c r="AZ515" s="43"/>
      <c r="BA515" s="48">
        <f t="shared" si="361"/>
        <v>4969.164375</v>
      </c>
      <c r="BB515" s="27"/>
      <c r="BC515" s="27"/>
      <c r="BD515" s="51"/>
      <c r="BE515" s="52"/>
      <c r="BF515" s="27" t="s">
        <v>1804</v>
      </c>
      <c r="BG515" s="53">
        <v>0.0</v>
      </c>
      <c r="BH515" s="53" t="str">
        <f>'[1]2023'!Q864</f>
        <v>#REF!</v>
      </c>
      <c r="BI515" s="27"/>
      <c r="BJ515" s="27"/>
      <c r="BK515" s="27" t="s">
        <v>76</v>
      </c>
      <c r="BL515" s="27"/>
    </row>
    <row r="516" ht="14.25" customHeight="1">
      <c r="A516" s="26" t="s">
        <v>55</v>
      </c>
      <c r="B516" s="26" t="s">
        <v>56</v>
      </c>
      <c r="C516" s="26" t="s">
        <v>57</v>
      </c>
      <c r="D516" s="26" t="s">
        <v>58</v>
      </c>
      <c r="E516" s="27" t="s">
        <v>1806</v>
      </c>
      <c r="F516" s="28" t="s">
        <v>1807</v>
      </c>
      <c r="G516" s="29">
        <v>45076.0</v>
      </c>
      <c r="H516" s="30">
        <v>45076.0</v>
      </c>
      <c r="I516" s="30">
        <v>45441.0</v>
      </c>
      <c r="J516" s="31">
        <v>0.0</v>
      </c>
      <c r="K516" s="26" t="s">
        <v>427</v>
      </c>
      <c r="L516" s="32" t="s">
        <v>63</v>
      </c>
      <c r="M516" s="33">
        <v>0.0</v>
      </c>
      <c r="N516" s="34">
        <v>0.0</v>
      </c>
      <c r="O516" s="27" t="s">
        <v>64</v>
      </c>
      <c r="P516" s="35">
        <v>0.0</v>
      </c>
      <c r="Q516" s="35">
        <v>0.0</v>
      </c>
      <c r="R516" s="36">
        <v>45076.0</v>
      </c>
      <c r="S516" s="35" t="s">
        <v>86</v>
      </c>
      <c r="T516" s="35">
        <v>0.0</v>
      </c>
      <c r="U516" s="37">
        <v>0.0</v>
      </c>
      <c r="V516" s="38"/>
      <c r="W516" s="38"/>
      <c r="X516" s="27"/>
      <c r="Y516" s="39"/>
      <c r="Z516" s="39"/>
      <c r="AA516" s="39"/>
      <c r="AB516" s="27"/>
      <c r="AC516" s="27">
        <f t="shared" si="324"/>
        <v>0</v>
      </c>
      <c r="AD516" s="41">
        <f>IF(AND(S516="0",O516="Paid"),(M516*15%)-AC516,0)</f>
        <v>0</v>
      </c>
      <c r="AE516" s="42"/>
      <c r="AF516" s="27"/>
      <c r="AG516" s="43">
        <f t="shared" si="384"/>
        <v>0</v>
      </c>
      <c r="AH516" s="29"/>
      <c r="AI516" s="29"/>
      <c r="AJ516" s="29"/>
      <c r="AK516" s="29"/>
      <c r="AL516" s="27"/>
      <c r="AM516" s="44"/>
      <c r="AN516" s="68"/>
      <c r="AO516" s="46"/>
      <c r="AP516" s="47"/>
      <c r="AQ516" s="43" t="b">
        <f>IF(O516="Paid",IF(U516="Motor Plus",(M516*27%),IF(U516="Motor One",(M516*22%),(IF(U516="Golden",(M516*25%),(IF(U516="Classic",(M516*15%),(IF(U516="Wethaq",(M516*28%),IF(U516="Alwataniya",(M516*21%))*0)))))))))</f>
        <v>0</v>
      </c>
      <c r="AR516" s="43">
        <f t="shared" si="2"/>
        <v>0</v>
      </c>
      <c r="AS516" s="43">
        <f t="shared" si="3"/>
        <v>0</v>
      </c>
      <c r="AT516" s="48">
        <f t="shared" si="4"/>
        <v>0</v>
      </c>
      <c r="AU516" s="49">
        <f>AQ516-AR516-AS516-AC516-AO516</f>
        <v>0</v>
      </c>
      <c r="AV516" s="48"/>
      <c r="AW516" s="34">
        <f t="shared" si="341"/>
        <v>0</v>
      </c>
      <c r="AX516" s="50">
        <f t="shared" si="248"/>
        <v>0</v>
      </c>
      <c r="AY516" s="43"/>
      <c r="AZ516" s="47"/>
      <c r="BA516" s="48">
        <f t="shared" si="361"/>
        <v>0</v>
      </c>
      <c r="BB516" s="27"/>
      <c r="BC516" s="27"/>
      <c r="BD516" s="51"/>
      <c r="BE516" s="52"/>
      <c r="BF516" s="27" t="s">
        <v>1806</v>
      </c>
      <c r="BG516" s="53">
        <v>0.0</v>
      </c>
      <c r="BH516" s="53" t="str">
        <f>'[1]2023'!Q1171</f>
        <v>#REF!</v>
      </c>
      <c r="BI516" s="27"/>
      <c r="BJ516" s="27"/>
      <c r="BK516" s="27" t="s">
        <v>64</v>
      </c>
      <c r="BL516" s="27"/>
    </row>
    <row r="517" ht="14.25" customHeight="1">
      <c r="A517" s="26" t="s">
        <v>68</v>
      </c>
      <c r="B517" s="26" t="s">
        <v>1185</v>
      </c>
      <c r="C517" s="26" t="s">
        <v>70</v>
      </c>
      <c r="D517" s="26" t="s">
        <v>71</v>
      </c>
      <c r="E517" s="27" t="s">
        <v>1808</v>
      </c>
      <c r="F517" s="28" t="s">
        <v>1636</v>
      </c>
      <c r="G517" s="29" t="s">
        <v>1809</v>
      </c>
      <c r="H517" s="30">
        <v>45077.0</v>
      </c>
      <c r="I517" s="30">
        <v>45442.0</v>
      </c>
      <c r="J517" s="31">
        <v>0.0</v>
      </c>
      <c r="K517" s="26" t="s">
        <v>427</v>
      </c>
      <c r="L517" s="32" t="s">
        <v>1677</v>
      </c>
      <c r="M517" s="153">
        <v>120.0</v>
      </c>
      <c r="N517" s="154">
        <v>136.0</v>
      </c>
      <c r="O517" s="27" t="s">
        <v>76</v>
      </c>
      <c r="P517" s="35" t="s">
        <v>77</v>
      </c>
      <c r="Q517" s="35">
        <v>0.0</v>
      </c>
      <c r="R517" s="36" t="e">
        <v>#VALUE!</v>
      </c>
      <c r="S517" s="35" t="s">
        <v>78</v>
      </c>
      <c r="T517" s="54" t="s">
        <v>79</v>
      </c>
      <c r="U517" s="37" t="s">
        <v>1185</v>
      </c>
      <c r="V517" s="38"/>
      <c r="W517" s="38"/>
      <c r="X517" s="27"/>
      <c r="Y517" s="39"/>
      <c r="Z517" s="39"/>
      <c r="AA517" s="39"/>
      <c r="AB517" s="40"/>
      <c r="AC517" s="27">
        <f t="shared" si="324"/>
        <v>0</v>
      </c>
      <c r="AD517" s="41"/>
      <c r="AE517" s="42"/>
      <c r="AF517" s="27"/>
      <c r="AG517" s="43">
        <f>IF(O517="Paid",IF(A517="Wethaq",(M517*15%)-((M517*15%)*5%)))</f>
        <v>17.1</v>
      </c>
      <c r="AH517" s="29"/>
      <c r="AI517" s="29"/>
      <c r="AJ517" s="40"/>
      <c r="AK517" s="155"/>
      <c r="AL517" s="27"/>
      <c r="AM517" s="44"/>
      <c r="AN517" s="45"/>
      <c r="AO517" s="46">
        <f>(AG517-(AG517*17.5%))*80%</f>
        <v>11.286</v>
      </c>
      <c r="AP517" s="47"/>
      <c r="AQ517" s="43">
        <f>IF(U517="Motor Plus",(M517*27%),IF(U517="Motor One",(M517*22%),(IF(U517="Golden",(M517*25%),(IF(U517="Classic",(M517*15%),(IF(U517="Wethaq",(M517*28%),IF(U517="Alwataniya",(M517*21%))*0))))))))</f>
        <v>0</v>
      </c>
      <c r="AR517" s="43">
        <f t="shared" si="2"/>
        <v>0</v>
      </c>
      <c r="AS517" s="43">
        <f t="shared" si="3"/>
        <v>0</v>
      </c>
      <c r="AT517" s="48">
        <f t="shared" si="4"/>
        <v>0</v>
      </c>
      <c r="AU517" s="49">
        <f t="shared" ref="AU517:AU524" si="385">AQ517-AR517-AS517-AC517</f>
        <v>0</v>
      </c>
      <c r="AV517" s="48"/>
      <c r="AW517" s="34">
        <f t="shared" si="341"/>
        <v>136</v>
      </c>
      <c r="AX517" s="50">
        <f t="shared" si="248"/>
        <v>5.814</v>
      </c>
      <c r="AY517" s="43"/>
      <c r="AZ517" s="43"/>
      <c r="BA517" s="48">
        <f t="shared" si="361"/>
        <v>-11.286</v>
      </c>
      <c r="BB517" s="27"/>
      <c r="BC517" s="27"/>
      <c r="BD517" s="51"/>
      <c r="BE517" s="52"/>
      <c r="BF517" s="27" t="s">
        <v>1810</v>
      </c>
      <c r="BG517" s="58" t="s">
        <v>1811</v>
      </c>
      <c r="BH517" s="53" t="str">
        <f t="shared" ref="BH517:BH518" si="386">'[1]2023'!Q714</f>
        <v>#REF!</v>
      </c>
      <c r="BI517" s="27"/>
      <c r="BJ517" s="27"/>
      <c r="BK517" s="27" t="s">
        <v>76</v>
      </c>
      <c r="BL517" s="27"/>
    </row>
    <row r="518" ht="14.25" customHeight="1">
      <c r="A518" s="26" t="s">
        <v>68</v>
      </c>
      <c r="B518" s="26" t="s">
        <v>1185</v>
      </c>
      <c r="C518" s="26" t="s">
        <v>70</v>
      </c>
      <c r="D518" s="26" t="s">
        <v>71</v>
      </c>
      <c r="E518" s="27" t="s">
        <v>1812</v>
      </c>
      <c r="F518" s="28" t="s">
        <v>1636</v>
      </c>
      <c r="G518" s="29" t="s">
        <v>1809</v>
      </c>
      <c r="H518" s="30">
        <v>45077.0</v>
      </c>
      <c r="I518" s="30">
        <v>45442.0</v>
      </c>
      <c r="J518" s="31">
        <v>0.0</v>
      </c>
      <c r="K518" s="26" t="s">
        <v>427</v>
      </c>
      <c r="L518" s="32" t="s">
        <v>487</v>
      </c>
      <c r="M518" s="33">
        <v>3850.0</v>
      </c>
      <c r="N518" s="34">
        <v>4145.0</v>
      </c>
      <c r="O518" s="27" t="s">
        <v>76</v>
      </c>
      <c r="P518" s="35" t="s">
        <v>77</v>
      </c>
      <c r="Q518" s="35">
        <v>0.0</v>
      </c>
      <c r="R518" s="36" t="e">
        <v>#VALUE!</v>
      </c>
      <c r="S518" s="35" t="s">
        <v>78</v>
      </c>
      <c r="T518" s="54" t="s">
        <v>79</v>
      </c>
      <c r="U518" s="37" t="s">
        <v>1185</v>
      </c>
      <c r="V518" s="38"/>
      <c r="W518" s="38"/>
      <c r="X518" s="27"/>
      <c r="Y518" s="39"/>
      <c r="Z518" s="39"/>
      <c r="AA518" s="39"/>
      <c r="AB518" s="40"/>
      <c r="AC518" s="27">
        <f t="shared" si="324"/>
        <v>0</v>
      </c>
      <c r="AD518" s="41"/>
      <c r="AE518" s="42"/>
      <c r="AF518" s="27"/>
      <c r="AG518" s="84">
        <f>IF(O518="Paid",IF(A518="Wethaq",(M518*19%)-((M518*19%)*5%)))</f>
        <v>694.925</v>
      </c>
      <c r="AH518" s="29">
        <v>45115.0</v>
      </c>
      <c r="AI518" s="29">
        <v>45115.0</v>
      </c>
      <c r="AJ518" s="81">
        <v>0.19</v>
      </c>
      <c r="AK518" s="29">
        <v>44993.0</v>
      </c>
      <c r="AL518" s="27"/>
      <c r="AM518" s="44"/>
      <c r="AN518" s="104"/>
      <c r="AO518" s="46">
        <f>((M518*AJ518)-((M518*AJ518)*22.5%))*80%</f>
        <v>453.53</v>
      </c>
      <c r="AP518" s="57">
        <v>45177.0</v>
      </c>
      <c r="AQ518" s="43">
        <f>M518*AJ518</f>
        <v>731.5</v>
      </c>
      <c r="AR518" s="43">
        <f t="shared" si="2"/>
        <v>36.575</v>
      </c>
      <c r="AS518" s="43">
        <f t="shared" si="3"/>
        <v>128.0125</v>
      </c>
      <c r="AT518" s="48">
        <f t="shared" si="4"/>
        <v>566.9125</v>
      </c>
      <c r="AU518" s="49">
        <f t="shared" si="385"/>
        <v>566.9125</v>
      </c>
      <c r="AV518" s="48"/>
      <c r="AW518" s="34">
        <f t="shared" si="341"/>
        <v>4145</v>
      </c>
      <c r="AX518" s="50">
        <f t="shared" si="248"/>
        <v>113.3825</v>
      </c>
      <c r="AY518" s="43"/>
      <c r="AZ518" s="43"/>
      <c r="BA518" s="48" t="str">
        <f>IF(S518&lt;&gt;0,AU518-#REF!-AM518,(AG518-AD518-AE518-AS518))</f>
        <v>#REF!</v>
      </c>
      <c r="BB518" s="27"/>
      <c r="BC518" s="27"/>
      <c r="BD518" s="51"/>
      <c r="BE518" s="52"/>
      <c r="BF518" s="27" t="s">
        <v>1813</v>
      </c>
      <c r="BG518" s="58" t="s">
        <v>1811</v>
      </c>
      <c r="BH518" s="53" t="str">
        <f t="shared" si="386"/>
        <v>#REF!</v>
      </c>
      <c r="BI518" s="27"/>
      <c r="BJ518" s="27"/>
      <c r="BK518" s="27" t="s">
        <v>76</v>
      </c>
      <c r="BL518" s="27"/>
    </row>
    <row r="519" ht="14.25" customHeight="1">
      <c r="A519" s="26" t="s">
        <v>55</v>
      </c>
      <c r="B519" s="26" t="s">
        <v>56</v>
      </c>
      <c r="C519" s="26" t="s">
        <v>57</v>
      </c>
      <c r="D519" s="26" t="s">
        <v>58</v>
      </c>
      <c r="E519" s="27" t="s">
        <v>1814</v>
      </c>
      <c r="F519" s="28" t="s">
        <v>1815</v>
      </c>
      <c r="G519" s="29" t="s">
        <v>1809</v>
      </c>
      <c r="H519" s="30">
        <v>45077.0</v>
      </c>
      <c r="I519" s="30">
        <v>45442.0</v>
      </c>
      <c r="J519" s="31" t="s">
        <v>1816</v>
      </c>
      <c r="K519" s="26" t="s">
        <v>427</v>
      </c>
      <c r="L519" s="32" t="s">
        <v>63</v>
      </c>
      <c r="M519" s="33">
        <v>1112.49</v>
      </c>
      <c r="N519" s="34">
        <v>1178.11</v>
      </c>
      <c r="O519" s="27" t="s">
        <v>64</v>
      </c>
      <c r="P519" s="35">
        <v>0.0</v>
      </c>
      <c r="Q519" s="35">
        <v>0.0</v>
      </c>
      <c r="R519" s="36" t="e">
        <v>#VALUE!</v>
      </c>
      <c r="S519" s="35" t="s">
        <v>86</v>
      </c>
      <c r="T519" s="35">
        <v>0.0</v>
      </c>
      <c r="U519" s="37">
        <v>0.0</v>
      </c>
      <c r="V519" s="38"/>
      <c r="W519" s="38"/>
      <c r="X519" s="27"/>
      <c r="Y519" s="39"/>
      <c r="Z519" s="39"/>
      <c r="AA519" s="39"/>
      <c r="AB519" s="40"/>
      <c r="AC519" s="27">
        <f t="shared" si="324"/>
        <v>0</v>
      </c>
      <c r="AD519" s="41">
        <f>IF(AND(S519="0",O519="Paid"),(M519*15%)-AC519,0)</f>
        <v>0</v>
      </c>
      <c r="AE519" s="42"/>
      <c r="AF519" s="27"/>
      <c r="AG519" s="43">
        <f>IF(O519="Paid",IF(A519="Alwataniya",(M519*21%)-((M519*21%)*5%),IF((A519="GIG"),(M519*25%)-((M519*25%)*5%),IF((A519="Allianz"),(M519*27%)-((M519*27%)*20%),0))),0)</f>
        <v>0</v>
      </c>
      <c r="AH519" s="29"/>
      <c r="AI519" s="29"/>
      <c r="AJ519" s="29"/>
      <c r="AK519" s="29"/>
      <c r="AL519" s="27"/>
      <c r="AM519" s="44"/>
      <c r="AN519" s="45"/>
      <c r="AO519" s="46"/>
      <c r="AP519" s="47"/>
      <c r="AQ519" s="43" t="b">
        <f>IF(O519="Paid",IF(U519="Motor Plus",(M519*27%),IF(U519="Motor One",(M519*22%),(IF(U519="Golden",(M519*25%),(IF(U519="Classic",(M519*15%),(IF(U519="Wethaq",(M519*28%),IF(U519="Alwataniya",(M519*21%))*0)))))))))</f>
        <v>0</v>
      </c>
      <c r="AR519" s="43">
        <f t="shared" si="2"/>
        <v>0</v>
      </c>
      <c r="AS519" s="43">
        <f t="shared" si="3"/>
        <v>0</v>
      </c>
      <c r="AT519" s="48">
        <f t="shared" si="4"/>
        <v>0</v>
      </c>
      <c r="AU519" s="49">
        <f t="shared" si="385"/>
        <v>0</v>
      </c>
      <c r="AV519" s="48"/>
      <c r="AW519" s="34">
        <f t="shared" si="341"/>
        <v>1178.11</v>
      </c>
      <c r="AX519" s="50">
        <f t="shared" si="248"/>
        <v>0</v>
      </c>
      <c r="AY519" s="43"/>
      <c r="AZ519" s="43"/>
      <c r="BA519" s="48">
        <f t="shared" ref="BA519:BA544" si="387">IF(S519&lt;&gt;0,AU519-AO519-AM519,(AG519-AD519-AE519-AS519))</f>
        <v>0</v>
      </c>
      <c r="BB519" s="27"/>
      <c r="BC519" s="27"/>
      <c r="BD519" s="51"/>
      <c r="BE519" s="52"/>
      <c r="BF519" s="27" t="s">
        <v>1814</v>
      </c>
      <c r="BG519" s="58" t="s">
        <v>1817</v>
      </c>
      <c r="BH519" s="53" t="str">
        <f>'[1]2023'!Q717</f>
        <v>#REF!</v>
      </c>
      <c r="BI519" s="27"/>
      <c r="BJ519" s="27"/>
      <c r="BK519" s="27" t="s">
        <v>64</v>
      </c>
      <c r="BL519" s="27"/>
    </row>
    <row r="520" ht="14.25" customHeight="1">
      <c r="A520" s="26" t="s">
        <v>55</v>
      </c>
      <c r="B520" s="26" t="s">
        <v>56</v>
      </c>
      <c r="C520" s="26" t="s">
        <v>57</v>
      </c>
      <c r="D520" s="26" t="s">
        <v>81</v>
      </c>
      <c r="E520" s="27" t="s">
        <v>1818</v>
      </c>
      <c r="F520" s="28" t="s">
        <v>1819</v>
      </c>
      <c r="G520" s="29" t="s">
        <v>1809</v>
      </c>
      <c r="H520" s="30">
        <v>45077.0</v>
      </c>
      <c r="I520" s="30">
        <v>45442.0</v>
      </c>
      <c r="J520" s="31">
        <v>0.0</v>
      </c>
      <c r="K520" s="26" t="s">
        <v>427</v>
      </c>
      <c r="L520" s="32" t="s">
        <v>75</v>
      </c>
      <c r="M520" s="33">
        <v>20060.0</v>
      </c>
      <c r="N520" s="34">
        <v>21385.54</v>
      </c>
      <c r="O520" s="27" t="s">
        <v>76</v>
      </c>
      <c r="P520" s="35" t="s">
        <v>430</v>
      </c>
      <c r="Q520" s="35" t="s">
        <v>90</v>
      </c>
      <c r="R520" s="36" t="e">
        <v>#VALUE!</v>
      </c>
      <c r="S520" s="35" t="s">
        <v>86</v>
      </c>
      <c r="T520" s="35">
        <v>0.0</v>
      </c>
      <c r="U520" s="37" t="s">
        <v>67</v>
      </c>
      <c r="V520" s="38"/>
      <c r="W520" s="38"/>
      <c r="X520" s="27"/>
      <c r="Y520" s="39"/>
      <c r="Z520" s="79" t="s">
        <v>232</v>
      </c>
      <c r="AA520" s="39"/>
      <c r="AB520" s="40"/>
      <c r="AC520" s="27">
        <f t="shared" si="324"/>
        <v>0</v>
      </c>
      <c r="AD520" s="41">
        <f>IF(AND(S520="0",O520="Paid"),M520*15%,0)</f>
        <v>3009</v>
      </c>
      <c r="AE520" s="42"/>
      <c r="AF520" s="27"/>
      <c r="AG520" s="43">
        <f>IF(O520="Paid",IF(A520="Alwataniya",(M520*21%)-((M520*21%)*5%),IF((A520="GIG"),(M520*25%)-((M520*25%)*5%),IF((A520="Allianz"),(M520*27%)-((M520*27%)*5%),0))),0)</f>
        <v>5145.39</v>
      </c>
      <c r="AH520" s="29"/>
      <c r="AI520" s="29"/>
      <c r="AJ520" s="29"/>
      <c r="AK520" s="29"/>
      <c r="AL520" s="27"/>
      <c r="AM520" s="44"/>
      <c r="AN520" s="45"/>
      <c r="AO520" s="46"/>
      <c r="AP520" s="47"/>
      <c r="AQ520" s="43">
        <f t="shared" ref="AQ520:AQ522" si="388">IF(U520="Motor Plus",(M520*27%),IF(U520="Motor One",(M520*22%),(IF(U520="Golden",(M520*25%),(IF(U520="Classic",(M520*15%),(IF(U520="Wethaq",(M520*28%),IF(U520="Alwataniya",(M520*21%))*0))))))))</f>
        <v>5416.2</v>
      </c>
      <c r="AR520" s="43">
        <f t="shared" si="2"/>
        <v>270.81</v>
      </c>
      <c r="AS520" s="43">
        <f t="shared" si="3"/>
        <v>947.835</v>
      </c>
      <c r="AT520" s="48">
        <f t="shared" si="4"/>
        <v>4197.555</v>
      </c>
      <c r="AU520" s="49">
        <f t="shared" si="385"/>
        <v>4197.555</v>
      </c>
      <c r="AV520" s="48"/>
      <c r="AW520" s="34">
        <f t="shared" si="341"/>
        <v>18376.54</v>
      </c>
      <c r="AX520" s="50">
        <f t="shared" si="248"/>
        <v>1188.555</v>
      </c>
      <c r="AY520" s="43"/>
      <c r="AZ520" s="43"/>
      <c r="BA520" s="48">
        <f t="shared" si="387"/>
        <v>4197.555</v>
      </c>
      <c r="BB520" s="27"/>
      <c r="BC520" s="27"/>
      <c r="BD520" s="51"/>
      <c r="BE520" s="52"/>
      <c r="BF520" s="27" t="s">
        <v>1818</v>
      </c>
      <c r="BG520" s="53">
        <v>0.0</v>
      </c>
      <c r="BH520" s="53" t="str">
        <f>'[1]2023'!Q744</f>
        <v>#REF!</v>
      </c>
      <c r="BI520" s="27"/>
      <c r="BJ520" s="27"/>
      <c r="BK520" s="27" t="s">
        <v>76</v>
      </c>
      <c r="BL520" s="27"/>
    </row>
    <row r="521" ht="14.25" customHeight="1">
      <c r="A521" s="26" t="s">
        <v>111</v>
      </c>
      <c r="B521" s="26" t="s">
        <v>56</v>
      </c>
      <c r="C521" s="26" t="s">
        <v>57</v>
      </c>
      <c r="D521" s="26" t="s">
        <v>71</v>
      </c>
      <c r="E521" s="27" t="s">
        <v>1820</v>
      </c>
      <c r="F521" s="28" t="s">
        <v>1821</v>
      </c>
      <c r="G521" s="29" t="s">
        <v>1809</v>
      </c>
      <c r="H521" s="30">
        <v>45077.0</v>
      </c>
      <c r="I521" s="30">
        <v>45442.0</v>
      </c>
      <c r="J521" s="31" t="s">
        <v>1822</v>
      </c>
      <c r="K521" s="26" t="s">
        <v>427</v>
      </c>
      <c r="L521" s="69">
        <v>45144.0</v>
      </c>
      <c r="M521" s="33">
        <f>101647.03-23609.82</f>
        <v>78037.21</v>
      </c>
      <c r="N521" s="34">
        <f>107900-24946</f>
        <v>82954</v>
      </c>
      <c r="O521" s="27" t="s">
        <v>76</v>
      </c>
      <c r="P521" s="35" t="s">
        <v>142</v>
      </c>
      <c r="Q521" s="35" t="s">
        <v>108</v>
      </c>
      <c r="R521" s="36" t="e">
        <v>#VALUE!</v>
      </c>
      <c r="S521" s="35" t="s">
        <v>86</v>
      </c>
      <c r="T521" s="35">
        <v>0.0</v>
      </c>
      <c r="U521" s="37" t="s">
        <v>115</v>
      </c>
      <c r="V521" s="38">
        <v>4150000.0</v>
      </c>
      <c r="W521" s="38"/>
      <c r="X521" s="27"/>
      <c r="Y521" s="39"/>
      <c r="Z521" s="79" t="s">
        <v>1823</v>
      </c>
      <c r="AA521" s="39"/>
      <c r="AB521" s="40"/>
      <c r="AC521" s="27">
        <f t="shared" si="324"/>
        <v>0</v>
      </c>
      <c r="AD521" s="41">
        <f>IF(AND(S521="0",O521="Paid"),(M521*15%),0)</f>
        <v>11705.5815</v>
      </c>
      <c r="AE521" s="42">
        <f>2000-650</f>
        <v>1350</v>
      </c>
      <c r="AF521" s="29">
        <v>45144.0</v>
      </c>
      <c r="AG521" s="156">
        <f>IF(O521="Paid",IF(A521="Alwataniya",(M521*21%)-((M521*21%)*5%),IF((A521="GIG"),(M521*25%)-((M521*25%)*5%),IF((A521="Allianz"),(M521*27%)-((M521*27%)*20%),0))),0)</f>
        <v>18533.83738</v>
      </c>
      <c r="AH521" s="29" t="s">
        <v>905</v>
      </c>
      <c r="AI521" s="29" t="s">
        <v>902</v>
      </c>
      <c r="AJ521" s="40"/>
      <c r="AK521" s="62" t="s">
        <v>63</v>
      </c>
      <c r="AL521" s="27"/>
      <c r="AM521" s="44"/>
      <c r="AN521" s="45"/>
      <c r="AO521" s="46"/>
      <c r="AP521" s="47"/>
      <c r="AQ521" s="43">
        <f t="shared" si="388"/>
        <v>19509.3025</v>
      </c>
      <c r="AR521" s="43">
        <f t="shared" si="2"/>
        <v>975.465125</v>
      </c>
      <c r="AS521" s="43">
        <f t="shared" si="3"/>
        <v>3414.127938</v>
      </c>
      <c r="AT521" s="48">
        <f t="shared" si="4"/>
        <v>15119.70944</v>
      </c>
      <c r="AU521" s="49">
        <f t="shared" si="385"/>
        <v>15119.70944</v>
      </c>
      <c r="AV521" s="48"/>
      <c r="AW521" s="34">
        <f t="shared" si="341"/>
        <v>69898.4185</v>
      </c>
      <c r="AX521" s="50">
        <f t="shared" si="248"/>
        <v>2064.127938</v>
      </c>
      <c r="AY521" s="43"/>
      <c r="AZ521" s="43"/>
      <c r="BA521" s="48">
        <f t="shared" si="387"/>
        <v>15119.70944</v>
      </c>
      <c r="BB521" s="27"/>
      <c r="BC521" s="27"/>
      <c r="BD521" s="51"/>
      <c r="BE521" s="52"/>
      <c r="BF521" s="27" t="s">
        <v>1820</v>
      </c>
      <c r="BG521" s="58" t="s">
        <v>1824</v>
      </c>
      <c r="BH521" s="53" t="str">
        <f>'[1]2023'!Q787</f>
        <v>#REF!</v>
      </c>
      <c r="BI521" s="27"/>
      <c r="BJ521" s="27"/>
      <c r="BK521" s="27" t="s">
        <v>76</v>
      </c>
      <c r="BL521" s="64" t="s">
        <v>1825</v>
      </c>
    </row>
    <row r="522" ht="14.25" customHeight="1">
      <c r="A522" s="26" t="s">
        <v>55</v>
      </c>
      <c r="B522" s="26" t="s">
        <v>56</v>
      </c>
      <c r="C522" s="26" t="s">
        <v>57</v>
      </c>
      <c r="D522" s="26" t="s">
        <v>58</v>
      </c>
      <c r="E522" s="27" t="s">
        <v>1826</v>
      </c>
      <c r="F522" s="28" t="s">
        <v>1827</v>
      </c>
      <c r="G522" s="29" t="s">
        <v>1809</v>
      </c>
      <c r="H522" s="30">
        <v>45077.0</v>
      </c>
      <c r="I522" s="30">
        <v>45442.0</v>
      </c>
      <c r="J522" s="31">
        <v>0.0</v>
      </c>
      <c r="K522" s="26" t="s">
        <v>427</v>
      </c>
      <c r="L522" s="32" t="s">
        <v>75</v>
      </c>
      <c r="M522" s="33">
        <v>2725.46</v>
      </c>
      <c r="N522" s="34">
        <v>2886.26</v>
      </c>
      <c r="O522" s="27" t="s">
        <v>76</v>
      </c>
      <c r="P522" s="35" t="s">
        <v>89</v>
      </c>
      <c r="Q522" s="35">
        <v>0.0</v>
      </c>
      <c r="R522" s="36" t="e">
        <v>#VALUE!</v>
      </c>
      <c r="S522" s="35" t="s">
        <v>86</v>
      </c>
      <c r="T522" s="35">
        <v>0.0</v>
      </c>
      <c r="U522" s="37" t="s">
        <v>67</v>
      </c>
      <c r="V522" s="38"/>
      <c r="W522" s="38"/>
      <c r="X522" s="27"/>
      <c r="Y522" s="39"/>
      <c r="Z522" s="39"/>
      <c r="AA522" s="39"/>
      <c r="AB522" s="40"/>
      <c r="AC522" s="27">
        <f t="shared" si="324"/>
        <v>0</v>
      </c>
      <c r="AD522" s="41">
        <f>IF(AND(S522="0",O522="Paid"),M522*15%,0)</f>
        <v>408.819</v>
      </c>
      <c r="AE522" s="42"/>
      <c r="AF522" s="27"/>
      <c r="AG522" s="43">
        <f>IF(O522="Paid",IF(A522="Alwataniya",(M522*21%)-((M522*21%)*5%),IF((A522="GIG"),(M522*25%)-((M522*25%)*5%),IF((A522="Allianz"),(M522*27%)-((M522*27%)*5%),0))),0)</f>
        <v>699.08049</v>
      </c>
      <c r="AH522" s="29"/>
      <c r="AI522" s="29"/>
      <c r="AJ522" s="29"/>
      <c r="AK522" s="29"/>
      <c r="AL522" s="27"/>
      <c r="AM522" s="44"/>
      <c r="AN522" s="45"/>
      <c r="AO522" s="46"/>
      <c r="AP522" s="47"/>
      <c r="AQ522" s="43">
        <f t="shared" si="388"/>
        <v>735.8742</v>
      </c>
      <c r="AR522" s="43">
        <f t="shared" si="2"/>
        <v>36.79371</v>
      </c>
      <c r="AS522" s="43">
        <f t="shared" si="3"/>
        <v>128.777985</v>
      </c>
      <c r="AT522" s="48">
        <f t="shared" si="4"/>
        <v>570.302505</v>
      </c>
      <c r="AU522" s="49">
        <f t="shared" si="385"/>
        <v>570.302505</v>
      </c>
      <c r="AV522" s="48"/>
      <c r="AW522" s="34">
        <f t="shared" si="341"/>
        <v>2477.441</v>
      </c>
      <c r="AX522" s="50">
        <f t="shared" si="248"/>
        <v>161.483505</v>
      </c>
      <c r="AY522" s="43"/>
      <c r="AZ522" s="43"/>
      <c r="BA522" s="48">
        <f t="shared" si="387"/>
        <v>570.302505</v>
      </c>
      <c r="BB522" s="27"/>
      <c r="BC522" s="27"/>
      <c r="BD522" s="51"/>
      <c r="BE522" s="52"/>
      <c r="BF522" s="27" t="s">
        <v>1826</v>
      </c>
      <c r="BG522" s="58" t="s">
        <v>1828</v>
      </c>
      <c r="BH522" s="53" t="str">
        <f>'[1]2023'!Q820</f>
        <v>#REF!</v>
      </c>
      <c r="BI522" s="27"/>
      <c r="BJ522" s="27"/>
      <c r="BK522" s="27" t="s">
        <v>76</v>
      </c>
      <c r="BL522" s="27"/>
    </row>
    <row r="523" ht="14.25" customHeight="1">
      <c r="A523" s="26" t="s">
        <v>55</v>
      </c>
      <c r="B523" s="26" t="s">
        <v>56</v>
      </c>
      <c r="C523" s="26" t="s">
        <v>57</v>
      </c>
      <c r="D523" s="26" t="s">
        <v>58</v>
      </c>
      <c r="E523" s="27" t="s">
        <v>1829</v>
      </c>
      <c r="F523" s="28" t="s">
        <v>1830</v>
      </c>
      <c r="G523" s="29" t="s">
        <v>1809</v>
      </c>
      <c r="H523" s="30">
        <v>45077.0</v>
      </c>
      <c r="I523" s="30">
        <v>45442.0</v>
      </c>
      <c r="J523" s="31">
        <v>0.0</v>
      </c>
      <c r="K523" s="26" t="s">
        <v>427</v>
      </c>
      <c r="L523" s="32" t="s">
        <v>63</v>
      </c>
      <c r="M523" s="33">
        <v>0.0</v>
      </c>
      <c r="N523" s="34">
        <v>0.0</v>
      </c>
      <c r="O523" s="27" t="s">
        <v>64</v>
      </c>
      <c r="P523" s="35">
        <v>0.0</v>
      </c>
      <c r="Q523" s="35" t="s">
        <v>90</v>
      </c>
      <c r="R523" s="36" t="e">
        <v>#VALUE!</v>
      </c>
      <c r="S523" s="35" t="s">
        <v>86</v>
      </c>
      <c r="T523" s="35">
        <v>0.0</v>
      </c>
      <c r="U523" s="37">
        <v>0.0</v>
      </c>
      <c r="V523" s="38"/>
      <c r="W523" s="38"/>
      <c r="X523" s="27"/>
      <c r="Y523" s="39"/>
      <c r="Z523" s="39"/>
      <c r="AA523" s="39"/>
      <c r="AB523" s="40"/>
      <c r="AC523" s="27">
        <f t="shared" si="324"/>
        <v>0</v>
      </c>
      <c r="AD523" s="41">
        <f>IF(AND(S523="0",O523="Paid"),(M523*15%)-AC523,0)</f>
        <v>0</v>
      </c>
      <c r="AE523" s="42"/>
      <c r="AF523" s="27"/>
      <c r="AG523" s="43">
        <f>IF(O523="Paid",IF(A523="Alwataniya",(M523*21%)-((M523*21%)*5%),IF((A523="GIG"),(M523*25%)-((M523*25%)*5%),IF((A523="Allianz"),(M523*27%)-((M523*27%)*20%),0))),0)</f>
        <v>0</v>
      </c>
      <c r="AH523" s="29"/>
      <c r="AI523" s="29"/>
      <c r="AJ523" s="29"/>
      <c r="AK523" s="29"/>
      <c r="AL523" s="27"/>
      <c r="AM523" s="44"/>
      <c r="AN523" s="45"/>
      <c r="AO523" s="46"/>
      <c r="AP523" s="47"/>
      <c r="AQ523" s="43" t="b">
        <f>IF(O523="Paid",IF(U523="Motor Plus",(M523*27%),IF(U523="Motor One",(M523*22%),(IF(U523="Golden",(M523*25%),(IF(U523="Classic",(M523*15%),(IF(U523="Wethaq",(M523*28%),IF(U523="Alwataniya",(M523*21%))*0)))))))))</f>
        <v>0</v>
      </c>
      <c r="AR523" s="43">
        <f t="shared" si="2"/>
        <v>0</v>
      </c>
      <c r="AS523" s="43">
        <f t="shared" si="3"/>
        <v>0</v>
      </c>
      <c r="AT523" s="48">
        <f t="shared" si="4"/>
        <v>0</v>
      </c>
      <c r="AU523" s="49">
        <f t="shared" si="385"/>
        <v>0</v>
      </c>
      <c r="AV523" s="48"/>
      <c r="AW523" s="34">
        <f t="shared" si="341"/>
        <v>0</v>
      </c>
      <c r="AX523" s="50">
        <f t="shared" si="248"/>
        <v>0</v>
      </c>
      <c r="AY523" s="43"/>
      <c r="AZ523" s="43"/>
      <c r="BA523" s="48">
        <f t="shared" si="387"/>
        <v>0</v>
      </c>
      <c r="BB523" s="27"/>
      <c r="BC523" s="27"/>
      <c r="BD523" s="51"/>
      <c r="BE523" s="52"/>
      <c r="BF523" s="27" t="s">
        <v>1829</v>
      </c>
      <c r="BG523" s="53">
        <v>0.0</v>
      </c>
      <c r="BH523" s="53" t="str">
        <f t="shared" ref="BH523:BH524" si="389">'[1]2023'!Q844</f>
        <v>#REF!</v>
      </c>
      <c r="BI523" s="27"/>
      <c r="BJ523" s="27"/>
      <c r="BK523" s="27" t="s">
        <v>64</v>
      </c>
      <c r="BL523" s="27"/>
    </row>
    <row r="524" ht="14.25" customHeight="1">
      <c r="A524" s="26" t="s">
        <v>55</v>
      </c>
      <c r="B524" s="26" t="s">
        <v>56</v>
      </c>
      <c r="C524" s="26" t="s">
        <v>57</v>
      </c>
      <c r="D524" s="26" t="s">
        <v>58</v>
      </c>
      <c r="E524" s="27" t="s">
        <v>1831</v>
      </c>
      <c r="F524" s="28" t="s">
        <v>1832</v>
      </c>
      <c r="G524" s="29" t="s">
        <v>1809</v>
      </c>
      <c r="H524" s="30">
        <v>45077.0</v>
      </c>
      <c r="I524" s="30">
        <v>45442.0</v>
      </c>
      <c r="J524" s="31" t="s">
        <v>1833</v>
      </c>
      <c r="K524" s="26" t="s">
        <v>427</v>
      </c>
      <c r="L524" s="32" t="s">
        <v>63</v>
      </c>
      <c r="M524" s="33">
        <v>4037.75</v>
      </c>
      <c r="N524" s="34">
        <v>4275.99</v>
      </c>
      <c r="O524" s="27" t="s">
        <v>76</v>
      </c>
      <c r="P524" s="35" t="s">
        <v>122</v>
      </c>
      <c r="Q524" s="35" t="s">
        <v>65</v>
      </c>
      <c r="R524" s="36" t="e">
        <v>#VALUE!</v>
      </c>
      <c r="S524" s="35" t="s">
        <v>86</v>
      </c>
      <c r="T524" s="35">
        <v>0.0</v>
      </c>
      <c r="U524" s="37" t="s">
        <v>58</v>
      </c>
      <c r="V524" s="38"/>
      <c r="W524" s="38"/>
      <c r="X524" s="27"/>
      <c r="Y524" s="39"/>
      <c r="Z524" s="39"/>
      <c r="AA524" s="39"/>
      <c r="AB524" s="40"/>
      <c r="AC524" s="27">
        <f t="shared" si="324"/>
        <v>0</v>
      </c>
      <c r="AD524" s="41"/>
      <c r="AE524" s="42"/>
      <c r="AF524" s="27"/>
      <c r="AG524" s="43">
        <f t="shared" ref="AG524:AG528" si="390">IF(O524="Paid",IF(A524="Alwataniya",(M524*21%)-((M524*21%)*5%),IF((A524="GIG"),(M524*25%)-((M524*25%)*5%),IF((A524="Allianz"),(M524*27%)-((M524*27%)*5%),0))),0)</f>
        <v>1035.682875</v>
      </c>
      <c r="AH524" s="29"/>
      <c r="AI524" s="29"/>
      <c r="AJ524" s="29"/>
      <c r="AK524" s="29"/>
      <c r="AL524" s="27"/>
      <c r="AM524" s="44"/>
      <c r="AN524" s="45"/>
      <c r="AO524" s="46"/>
      <c r="AP524" s="47"/>
      <c r="AQ524" s="43">
        <f>IF(U524="Motor Plus",(M524*27%),IF(U524="Motor One",(M524*22%),(IF(U524="Golden",(M524*25%),(IF(U524="Classic",(M524*15%),(IF(U524="Wethaq",(M524*28%),IF(U524="Alwataniya",(M524*21%))*0))))))))</f>
        <v>0</v>
      </c>
      <c r="AR524" s="43">
        <f t="shared" si="2"/>
        <v>0</v>
      </c>
      <c r="AS524" s="43">
        <f t="shared" si="3"/>
        <v>0</v>
      </c>
      <c r="AT524" s="48">
        <f t="shared" si="4"/>
        <v>0</v>
      </c>
      <c r="AU524" s="49">
        <f t="shared" si="385"/>
        <v>0</v>
      </c>
      <c r="AV524" s="48"/>
      <c r="AW524" s="34">
        <f t="shared" si="341"/>
        <v>4275.99</v>
      </c>
      <c r="AX524" s="50">
        <f t="shared" si="248"/>
        <v>1035.682875</v>
      </c>
      <c r="AY524" s="43"/>
      <c r="AZ524" s="43"/>
      <c r="BA524" s="48">
        <f t="shared" si="387"/>
        <v>0</v>
      </c>
      <c r="BB524" s="27"/>
      <c r="BC524" s="27"/>
      <c r="BD524" s="51"/>
      <c r="BE524" s="52"/>
      <c r="BF524" s="27" t="s">
        <v>1831</v>
      </c>
      <c r="BG524" s="58" t="s">
        <v>1834</v>
      </c>
      <c r="BH524" s="53" t="str">
        <f t="shared" si="389"/>
        <v>#REF!</v>
      </c>
      <c r="BI524" s="27"/>
      <c r="BJ524" s="27"/>
      <c r="BK524" s="27" t="s">
        <v>76</v>
      </c>
      <c r="BL524" s="27"/>
    </row>
    <row r="525" ht="14.25" customHeight="1">
      <c r="A525" s="26" t="s">
        <v>55</v>
      </c>
      <c r="B525" s="26" t="s">
        <v>56</v>
      </c>
      <c r="C525" s="26" t="s">
        <v>57</v>
      </c>
      <c r="D525" s="26" t="s">
        <v>58</v>
      </c>
      <c r="E525" s="27" t="s">
        <v>1835</v>
      </c>
      <c r="F525" s="28" t="s">
        <v>1836</v>
      </c>
      <c r="G525" s="29">
        <v>45077.0</v>
      </c>
      <c r="H525" s="30">
        <v>45077.0</v>
      </c>
      <c r="I525" s="30">
        <v>45442.0</v>
      </c>
      <c r="J525" s="31">
        <v>0.0</v>
      </c>
      <c r="K525" s="26" t="s">
        <v>427</v>
      </c>
      <c r="L525" s="73" t="s">
        <v>63</v>
      </c>
      <c r="M525" s="33">
        <v>0.0</v>
      </c>
      <c r="N525" s="34">
        <v>0.0</v>
      </c>
      <c r="O525" s="27" t="s">
        <v>64</v>
      </c>
      <c r="P525" s="35">
        <v>0.0</v>
      </c>
      <c r="Q525" s="35">
        <v>0.0</v>
      </c>
      <c r="R525" s="36">
        <v>45077.0</v>
      </c>
      <c r="S525" s="35" t="s">
        <v>86</v>
      </c>
      <c r="T525" s="35">
        <v>0.0</v>
      </c>
      <c r="U525" s="37">
        <v>0.0</v>
      </c>
      <c r="V525" s="38"/>
      <c r="W525" s="38"/>
      <c r="X525" s="27"/>
      <c r="Y525" s="39"/>
      <c r="Z525" s="39"/>
      <c r="AA525" s="39"/>
      <c r="AB525" s="27"/>
      <c r="AC525" s="27">
        <f t="shared" si="324"/>
        <v>0</v>
      </c>
      <c r="AD525" s="41">
        <f>IF(AND(S525="0",O525="Paid"),(M525*15%)-AC525,0)</f>
        <v>0</v>
      </c>
      <c r="AE525" s="42"/>
      <c r="AF525" s="27"/>
      <c r="AG525" s="43">
        <f t="shared" si="390"/>
        <v>0</v>
      </c>
      <c r="AH525" s="29"/>
      <c r="AI525" s="29"/>
      <c r="AJ525" s="29"/>
      <c r="AK525" s="75"/>
      <c r="AL525" s="27"/>
      <c r="AM525" s="27"/>
      <c r="AN525" s="47"/>
      <c r="AO525" s="46"/>
      <c r="AP525" s="47"/>
      <c r="AQ525" s="43" t="b">
        <f>IF(O525="Paid",IF(U525="Motor Plus",(M525*27%),IF(U525="Motor One",(M525*22%),(IF(U525="Golden",(M525*25%),(IF(U525="Classic",(M525*15%),(IF(U525="Wethaq",(M525*28%),IF(U525="Alwataniya",(M525*21%))*0)))))))))</f>
        <v>0</v>
      </c>
      <c r="AR525" s="43">
        <f t="shared" si="2"/>
        <v>0</v>
      </c>
      <c r="AS525" s="43">
        <f t="shared" si="3"/>
        <v>0</v>
      </c>
      <c r="AT525" s="48">
        <f t="shared" si="4"/>
        <v>0</v>
      </c>
      <c r="AU525" s="49">
        <f>AQ525-AR525-AS525-AC525-AO525</f>
        <v>0</v>
      </c>
      <c r="AV525" s="48"/>
      <c r="AW525" s="34">
        <f t="shared" si="341"/>
        <v>0</v>
      </c>
      <c r="AX525" s="50">
        <f t="shared" si="248"/>
        <v>0</v>
      </c>
      <c r="AY525" s="43"/>
      <c r="AZ525" s="47"/>
      <c r="BA525" s="48">
        <f t="shared" si="387"/>
        <v>0</v>
      </c>
      <c r="BB525" s="27"/>
      <c r="BC525" s="27"/>
      <c r="BD525" s="51"/>
      <c r="BE525" s="52"/>
      <c r="BF525" s="27" t="s">
        <v>1835</v>
      </c>
      <c r="BG525" s="53">
        <v>0.0</v>
      </c>
      <c r="BH525" s="53" t="str">
        <f>'[1]2023'!Q1142</f>
        <v>#REF!</v>
      </c>
      <c r="BI525" s="27"/>
      <c r="BJ525" s="27"/>
      <c r="BK525" s="27" t="s">
        <v>64</v>
      </c>
      <c r="BL525" s="27"/>
    </row>
    <row r="526" ht="14.25" customHeight="1">
      <c r="A526" s="26" t="s">
        <v>55</v>
      </c>
      <c r="B526" s="26" t="s">
        <v>56</v>
      </c>
      <c r="C526" s="26" t="s">
        <v>57</v>
      </c>
      <c r="D526" s="26" t="s">
        <v>81</v>
      </c>
      <c r="E526" s="27" t="s">
        <v>1837</v>
      </c>
      <c r="F526" s="26" t="s">
        <v>1838</v>
      </c>
      <c r="G526" s="29">
        <v>45078.0</v>
      </c>
      <c r="H526" s="30">
        <v>45078.0</v>
      </c>
      <c r="I526" s="30">
        <v>45443.0</v>
      </c>
      <c r="J526" s="31">
        <v>0.0</v>
      </c>
      <c r="K526" s="26" t="s">
        <v>1192</v>
      </c>
      <c r="L526" s="73" t="s">
        <v>75</v>
      </c>
      <c r="M526" s="33">
        <v>13406.25</v>
      </c>
      <c r="N526" s="34">
        <v>14338.22</v>
      </c>
      <c r="O526" s="27" t="s">
        <v>76</v>
      </c>
      <c r="P526" s="35" t="s">
        <v>104</v>
      </c>
      <c r="Q526" s="35" t="s">
        <v>65</v>
      </c>
      <c r="R526" s="36">
        <v>45078.0</v>
      </c>
      <c r="S526" s="35" t="s">
        <v>86</v>
      </c>
      <c r="T526" s="35">
        <v>0.0</v>
      </c>
      <c r="U526" s="37" t="s">
        <v>67</v>
      </c>
      <c r="V526" s="38"/>
      <c r="W526" s="38"/>
      <c r="X526" s="27"/>
      <c r="Y526" s="39"/>
      <c r="Z526" s="39"/>
      <c r="AA526" s="39"/>
      <c r="AB526" s="27"/>
      <c r="AC526" s="27">
        <f t="shared" si="324"/>
        <v>0</v>
      </c>
      <c r="AD526" s="41"/>
      <c r="AE526" s="42"/>
      <c r="AF526" s="27"/>
      <c r="AG526" s="43">
        <f t="shared" si="390"/>
        <v>3438.703125</v>
      </c>
      <c r="AH526" s="29"/>
      <c r="AI526" s="29"/>
      <c r="AJ526" s="29"/>
      <c r="AK526" s="75"/>
      <c r="AL526" s="27"/>
      <c r="AM526" s="44"/>
      <c r="AN526" s="68"/>
      <c r="AO526" s="37"/>
      <c r="AP526" s="47"/>
      <c r="AQ526" s="43">
        <f>IF(U526="Motor Plus",(M526*27%),IF(U526="Motor One",(M526*22%),(IF(U526="Golden",(M526*25%),(IF(U526="Classic",(M526*15%),(IF(U526="Wethaq",(M526*28%),IF(U526="Alwataniya",(M526*21%))*0))))))))</f>
        <v>3619.6875</v>
      </c>
      <c r="AR526" s="43">
        <f t="shared" si="2"/>
        <v>180.984375</v>
      </c>
      <c r="AS526" s="43">
        <f t="shared" si="3"/>
        <v>633.4453125</v>
      </c>
      <c r="AT526" s="48">
        <f t="shared" si="4"/>
        <v>2805.257813</v>
      </c>
      <c r="AU526" s="103">
        <f>AQ526-AR526-AS526-AC526</f>
        <v>2805.257813</v>
      </c>
      <c r="AV526" s="48"/>
      <c r="AW526" s="34">
        <f t="shared" si="341"/>
        <v>14338.22</v>
      </c>
      <c r="AX526" s="50">
        <f t="shared" si="248"/>
        <v>2805.257813</v>
      </c>
      <c r="AY526" s="43"/>
      <c r="AZ526" s="27"/>
      <c r="BA526" s="48">
        <f t="shared" si="387"/>
        <v>2805.257813</v>
      </c>
      <c r="BB526" s="27"/>
      <c r="BC526" s="27"/>
      <c r="BD526" s="51"/>
      <c r="BE526" s="52"/>
      <c r="BF526" s="27" t="s">
        <v>1837</v>
      </c>
      <c r="BG526" s="53">
        <v>0.0</v>
      </c>
      <c r="BH526" s="53" t="str">
        <f>'[1]2023'!Q71</f>
        <v>#REF!</v>
      </c>
      <c r="BI526" s="27"/>
      <c r="BJ526" s="27"/>
      <c r="BK526" s="27" t="s">
        <v>76</v>
      </c>
      <c r="BL526" s="27"/>
    </row>
    <row r="527" ht="14.25" customHeight="1">
      <c r="A527" s="26" t="s">
        <v>55</v>
      </c>
      <c r="B527" s="26" t="s">
        <v>56</v>
      </c>
      <c r="C527" s="26" t="s">
        <v>57</v>
      </c>
      <c r="D527" s="26" t="s">
        <v>58</v>
      </c>
      <c r="E527" s="27" t="s">
        <v>1839</v>
      </c>
      <c r="F527" s="28" t="s">
        <v>1840</v>
      </c>
      <c r="G527" s="29">
        <v>45078.0</v>
      </c>
      <c r="H527" s="30">
        <v>45078.0</v>
      </c>
      <c r="I527" s="30">
        <v>45443.0</v>
      </c>
      <c r="J527" s="31">
        <v>0.0</v>
      </c>
      <c r="K527" s="26" t="s">
        <v>440</v>
      </c>
      <c r="L527" s="32" t="s">
        <v>63</v>
      </c>
      <c r="M527" s="33">
        <v>0.0</v>
      </c>
      <c r="N527" s="34">
        <v>0.0</v>
      </c>
      <c r="O527" s="27" t="s">
        <v>64</v>
      </c>
      <c r="P527" s="35">
        <v>0.0</v>
      </c>
      <c r="Q527" s="35">
        <v>0.0</v>
      </c>
      <c r="R527" s="36">
        <v>45078.0</v>
      </c>
      <c r="S527" s="35" t="s">
        <v>86</v>
      </c>
      <c r="T527" s="35">
        <v>0.0</v>
      </c>
      <c r="U527" s="37">
        <v>0.0</v>
      </c>
      <c r="V527" s="38"/>
      <c r="W527" s="38"/>
      <c r="X527" s="27"/>
      <c r="Y527" s="39"/>
      <c r="Z527" s="39"/>
      <c r="AA527" s="39"/>
      <c r="AB527" s="27"/>
      <c r="AC527" s="27">
        <f t="shared" si="324"/>
        <v>0</v>
      </c>
      <c r="AD527" s="41">
        <f>IF(AND(S527="0",O527="Paid"),(M527*15%)-AC527,0)</f>
        <v>0</v>
      </c>
      <c r="AE527" s="42"/>
      <c r="AF527" s="27"/>
      <c r="AG527" s="43">
        <f t="shared" si="390"/>
        <v>0</v>
      </c>
      <c r="AH527" s="29"/>
      <c r="AI527" s="29"/>
      <c r="AJ527" s="29"/>
      <c r="AK527" s="75"/>
      <c r="AL527" s="27"/>
      <c r="AM527" s="44"/>
      <c r="AN527" s="68"/>
      <c r="AO527" s="46"/>
      <c r="AP527" s="47"/>
      <c r="AQ527" s="43" t="b">
        <f>IF(O527="Paid",IF(U527="Motor Plus",(M527*27%),IF(U527="Motor One",(M527*22%),(IF(U527="Golden",(M527*25%),(IF(U527="Classic",(M527*15%),(IF(U527="Wethaq",(M527*28%),IF(U527="Alwataniya",(M527*21%))*0)))))))))</f>
        <v>0</v>
      </c>
      <c r="AR527" s="43">
        <f t="shared" si="2"/>
        <v>0</v>
      </c>
      <c r="AS527" s="43">
        <f t="shared" si="3"/>
        <v>0</v>
      </c>
      <c r="AT527" s="48">
        <f t="shared" si="4"/>
        <v>0</v>
      </c>
      <c r="AU527" s="49">
        <f>AQ527-AR527-AS527-AC527-AO527</f>
        <v>0</v>
      </c>
      <c r="AV527" s="48"/>
      <c r="AW527" s="34">
        <f t="shared" si="341"/>
        <v>0</v>
      </c>
      <c r="AX527" s="50">
        <f t="shared" si="248"/>
        <v>0</v>
      </c>
      <c r="AY527" s="43"/>
      <c r="AZ527" s="47"/>
      <c r="BA527" s="48">
        <f t="shared" si="387"/>
        <v>0</v>
      </c>
      <c r="BB527" s="27"/>
      <c r="BC527" s="27"/>
      <c r="BD527" s="51"/>
      <c r="BE527" s="52"/>
      <c r="BF527" s="27" t="s">
        <v>1839</v>
      </c>
      <c r="BG527" s="53">
        <v>0.0</v>
      </c>
      <c r="BH527" s="53" t="str">
        <f>'[1]2023'!Q1116</f>
        <v>#REF!</v>
      </c>
      <c r="BI527" s="27"/>
      <c r="BJ527" s="27"/>
      <c r="BK527" s="27" t="s">
        <v>64</v>
      </c>
      <c r="BL527" s="27"/>
    </row>
    <row r="528" ht="14.25" customHeight="1">
      <c r="A528" s="26" t="s">
        <v>55</v>
      </c>
      <c r="B528" s="26" t="s">
        <v>56</v>
      </c>
      <c r="C528" s="26" t="s">
        <v>57</v>
      </c>
      <c r="D528" s="26" t="s">
        <v>58</v>
      </c>
      <c r="E528" s="27" t="s">
        <v>1841</v>
      </c>
      <c r="F528" s="26" t="s">
        <v>1842</v>
      </c>
      <c r="G528" s="29">
        <v>45079.0</v>
      </c>
      <c r="H528" s="30">
        <v>45079.0</v>
      </c>
      <c r="I528" s="30">
        <v>45444.0</v>
      </c>
      <c r="J528" s="31">
        <v>0.0</v>
      </c>
      <c r="K528" s="26" t="s">
        <v>62</v>
      </c>
      <c r="L528" s="32" t="s">
        <v>75</v>
      </c>
      <c r="M528" s="33">
        <v>2750.16</v>
      </c>
      <c r="N528" s="34">
        <v>2912.42</v>
      </c>
      <c r="O528" s="27" t="s">
        <v>76</v>
      </c>
      <c r="P528" s="35" t="s">
        <v>89</v>
      </c>
      <c r="Q528" s="35" t="s">
        <v>90</v>
      </c>
      <c r="R528" s="36">
        <v>45079.0</v>
      </c>
      <c r="S528" s="35" t="s">
        <v>86</v>
      </c>
      <c r="T528" s="35">
        <v>0.0</v>
      </c>
      <c r="U528" s="37" t="s">
        <v>67</v>
      </c>
      <c r="V528" s="38"/>
      <c r="W528" s="38"/>
      <c r="X528" s="27"/>
      <c r="Y528" s="39"/>
      <c r="Z528" s="39"/>
      <c r="AA528" s="39"/>
      <c r="AB528" s="27"/>
      <c r="AC528" s="27">
        <f t="shared" si="324"/>
        <v>0</v>
      </c>
      <c r="AD528" s="41">
        <f>IF(AND(S528="0",O528="Paid"),M528*15%,0)</f>
        <v>412.524</v>
      </c>
      <c r="AE528" s="42"/>
      <c r="AF528" s="27"/>
      <c r="AG528" s="43">
        <f t="shared" si="390"/>
        <v>705.41604</v>
      </c>
      <c r="AH528" s="29"/>
      <c r="AI528" s="29"/>
      <c r="AJ528" s="29"/>
      <c r="AK528" s="29"/>
      <c r="AL528" s="27"/>
      <c r="AM528" s="44"/>
      <c r="AN528" s="68"/>
      <c r="AO528" s="37"/>
      <c r="AP528" s="47"/>
      <c r="AQ528" s="43">
        <f t="shared" ref="AQ528:AQ530" si="391">IF(U528="Motor Plus",(M528*27%),IF(U528="Motor One",(M528*22%),(IF(U528="Golden",(M528*25%),(IF(U528="Classic",(M528*15%),(IF(U528="Wethaq",(M528*28%),IF(U528="Alwataniya",(M528*21%))*0))))))))</f>
        <v>742.5432</v>
      </c>
      <c r="AR528" s="43">
        <f t="shared" si="2"/>
        <v>37.12716</v>
      </c>
      <c r="AS528" s="43">
        <f t="shared" si="3"/>
        <v>129.94506</v>
      </c>
      <c r="AT528" s="48">
        <f t="shared" si="4"/>
        <v>575.47098</v>
      </c>
      <c r="AU528" s="49">
        <f>AQ528-AR528-AS528-AC528</f>
        <v>575.47098</v>
      </c>
      <c r="AV528" s="48"/>
      <c r="AW528" s="34">
        <f t="shared" si="341"/>
        <v>2499.896</v>
      </c>
      <c r="AX528" s="50">
        <f t="shared" si="248"/>
        <v>162.94698</v>
      </c>
      <c r="AY528" s="43"/>
      <c r="AZ528" s="27"/>
      <c r="BA528" s="48">
        <f t="shared" si="387"/>
        <v>575.47098</v>
      </c>
      <c r="BB528" s="27"/>
      <c r="BC528" s="27"/>
      <c r="BD528" s="51"/>
      <c r="BE528" s="52"/>
      <c r="BF528" s="27" t="s">
        <v>1843</v>
      </c>
      <c r="BG528" s="58" t="s">
        <v>1844</v>
      </c>
      <c r="BH528" s="53" t="str">
        <f t="shared" ref="BH528:BH530" si="392">'[1]2023'!Q110</f>
        <v>#REF!</v>
      </c>
      <c r="BI528" s="27"/>
      <c r="BJ528" s="27"/>
      <c r="BK528" s="27" t="s">
        <v>76</v>
      </c>
      <c r="BL528" s="27"/>
    </row>
    <row r="529" ht="14.25" customHeight="1">
      <c r="A529" s="26" t="s">
        <v>111</v>
      </c>
      <c r="B529" s="26" t="s">
        <v>56</v>
      </c>
      <c r="C529" s="26" t="s">
        <v>57</v>
      </c>
      <c r="D529" s="26" t="s">
        <v>71</v>
      </c>
      <c r="E529" s="27" t="s">
        <v>1845</v>
      </c>
      <c r="F529" s="28" t="s">
        <v>1846</v>
      </c>
      <c r="G529" s="29">
        <v>45079.0</v>
      </c>
      <c r="H529" s="30">
        <v>45079.0</v>
      </c>
      <c r="I529" s="30">
        <v>45444.0</v>
      </c>
      <c r="J529" s="31" t="s">
        <v>1847</v>
      </c>
      <c r="K529" s="26" t="s">
        <v>62</v>
      </c>
      <c r="L529" s="32" t="s">
        <v>75</v>
      </c>
      <c r="M529" s="33">
        <v>21854.0</v>
      </c>
      <c r="N529" s="34">
        <v>23400.0</v>
      </c>
      <c r="O529" s="27" t="s">
        <v>76</v>
      </c>
      <c r="P529" s="35" t="s">
        <v>104</v>
      </c>
      <c r="Q529" s="35" t="s">
        <v>114</v>
      </c>
      <c r="R529" s="36">
        <v>45088.0</v>
      </c>
      <c r="S529" s="35" t="s">
        <v>66</v>
      </c>
      <c r="T529" s="35">
        <v>0.0</v>
      </c>
      <c r="U529" s="37" t="s">
        <v>115</v>
      </c>
      <c r="V529" s="38">
        <v>900000.0</v>
      </c>
      <c r="W529" s="38" t="s">
        <v>1848</v>
      </c>
      <c r="X529" s="27">
        <v>2020.0</v>
      </c>
      <c r="Y529" s="39" t="s">
        <v>1849</v>
      </c>
      <c r="Z529" s="39" t="s">
        <v>644</v>
      </c>
      <c r="AA529" s="39"/>
      <c r="AB529" s="27"/>
      <c r="AC529" s="27">
        <f t="shared" si="324"/>
        <v>0</v>
      </c>
      <c r="AD529" s="41">
        <f>IF(AND(S529="0",O529="Paid"),(M529*15%)-AC529,0)</f>
        <v>0</v>
      </c>
      <c r="AE529" s="42"/>
      <c r="AF529" s="27"/>
      <c r="AG529" s="43">
        <f t="shared" ref="AG529:AG530" si="393">IF(AND(O529="Paid",A529="GIG"),((M529*25%)-(((M529*25%)*5%))),0)</f>
        <v>5190.325</v>
      </c>
      <c r="AH529" s="29" t="s">
        <v>75</v>
      </c>
      <c r="AI529" s="61" t="s">
        <v>1850</v>
      </c>
      <c r="AJ529" s="40"/>
      <c r="AK529" s="62" t="s">
        <v>63</v>
      </c>
      <c r="AL529" s="27"/>
      <c r="AM529" s="44">
        <f>IF((BD529&lt;=2),AU529*10%,(IF((BD529&lt;=3),AU529*20%,IF((BD529&lt;=4),AU529*20%,IF((BD529&gt;=5),AU529*30%,0)))))</f>
        <v>519.0325</v>
      </c>
      <c r="AN529" s="45" t="s">
        <v>75</v>
      </c>
      <c r="AO529" s="37"/>
      <c r="AP529" s="47"/>
      <c r="AQ529" s="43">
        <f t="shared" si="391"/>
        <v>5463.5</v>
      </c>
      <c r="AR529" s="43">
        <f t="shared" si="2"/>
        <v>273.175</v>
      </c>
      <c r="AS529" s="43">
        <f t="shared" si="3"/>
        <v>956.1125</v>
      </c>
      <c r="AT529" s="48">
        <f t="shared" si="4"/>
        <v>4234.2125</v>
      </c>
      <c r="AU529" s="48">
        <f>AQ529-AR529</f>
        <v>5190.325</v>
      </c>
      <c r="AV529" s="48"/>
      <c r="AW529" s="34">
        <f t="shared" si="341"/>
        <v>23400</v>
      </c>
      <c r="AX529" s="50">
        <f t="shared" si="248"/>
        <v>3715.18</v>
      </c>
      <c r="AY529" s="43"/>
      <c r="AZ529" s="27"/>
      <c r="BA529" s="48">
        <f t="shared" si="387"/>
        <v>4671.2925</v>
      </c>
      <c r="BB529" s="27"/>
      <c r="BC529" s="27"/>
      <c r="BD529" s="51"/>
      <c r="BE529" s="52"/>
      <c r="BF529" s="27" t="s">
        <v>1845</v>
      </c>
      <c r="BG529" s="58" t="s">
        <v>99</v>
      </c>
      <c r="BH529" s="53" t="str">
        <f t="shared" si="392"/>
        <v>#REF!</v>
      </c>
      <c r="BI529" s="27"/>
      <c r="BJ529" s="27"/>
      <c r="BK529" s="27" t="s">
        <v>76</v>
      </c>
      <c r="BL529" s="27"/>
    </row>
    <row r="530" ht="14.25" customHeight="1">
      <c r="A530" s="26" t="s">
        <v>111</v>
      </c>
      <c r="B530" s="26" t="s">
        <v>56</v>
      </c>
      <c r="C530" s="26" t="s">
        <v>57</v>
      </c>
      <c r="D530" s="26" t="s">
        <v>71</v>
      </c>
      <c r="E530" s="27">
        <v>1132.0</v>
      </c>
      <c r="F530" s="28" t="s">
        <v>1851</v>
      </c>
      <c r="G530" s="29">
        <v>45079.0</v>
      </c>
      <c r="H530" s="30">
        <v>45079.0</v>
      </c>
      <c r="I530" s="30">
        <v>45444.0</v>
      </c>
      <c r="J530" s="31" t="s">
        <v>1852</v>
      </c>
      <c r="K530" s="26" t="s">
        <v>62</v>
      </c>
      <c r="L530" s="32" t="s">
        <v>75</v>
      </c>
      <c r="M530" s="33">
        <v>95509.0</v>
      </c>
      <c r="N530" s="34">
        <v>101400.0</v>
      </c>
      <c r="O530" s="27" t="s">
        <v>76</v>
      </c>
      <c r="P530" s="35">
        <v>0.0</v>
      </c>
      <c r="Q530" s="35" t="s">
        <v>108</v>
      </c>
      <c r="R530" s="36">
        <v>45088.0</v>
      </c>
      <c r="S530" s="35" t="s">
        <v>78</v>
      </c>
      <c r="T530" s="54" t="s">
        <v>36</v>
      </c>
      <c r="U530" s="37" t="s">
        <v>115</v>
      </c>
      <c r="V530" s="38">
        <v>3900000.0</v>
      </c>
      <c r="W530" s="38" t="s">
        <v>1853</v>
      </c>
      <c r="X530" s="27">
        <v>2023.0</v>
      </c>
      <c r="Y530" s="39" t="s">
        <v>1218</v>
      </c>
      <c r="Z530" s="79" t="s">
        <v>1219</v>
      </c>
      <c r="AA530" s="39"/>
      <c r="AB530" s="27"/>
      <c r="AC530" s="27">
        <f t="shared" si="324"/>
        <v>0</v>
      </c>
      <c r="AD530" s="41"/>
      <c r="AE530" s="42"/>
      <c r="AF530" s="27" t="s">
        <v>75</v>
      </c>
      <c r="AG530" s="43">
        <f t="shared" si="393"/>
        <v>22683.3875</v>
      </c>
      <c r="AH530" s="29" t="s">
        <v>75</v>
      </c>
      <c r="AI530" s="61" t="s">
        <v>119</v>
      </c>
      <c r="AJ530" s="40"/>
      <c r="AK530" s="62" t="s">
        <v>63</v>
      </c>
      <c r="AL530" s="27"/>
      <c r="AM530" s="44"/>
      <c r="AN530" s="68"/>
      <c r="AO530" s="37"/>
      <c r="AP530" s="47"/>
      <c r="AQ530" s="43">
        <f t="shared" si="391"/>
        <v>23877.25</v>
      </c>
      <c r="AR530" s="43">
        <f t="shared" si="2"/>
        <v>1193.8625</v>
      </c>
      <c r="AS530" s="43">
        <f t="shared" si="3"/>
        <v>4178.51875</v>
      </c>
      <c r="AT530" s="48">
        <f t="shared" si="4"/>
        <v>18504.86875</v>
      </c>
      <c r="AU530" s="49">
        <f t="shared" ref="AU530:AU537" si="394">AQ530-AR530-AS530-AC530</f>
        <v>18504.86875</v>
      </c>
      <c r="AV530" s="48"/>
      <c r="AW530" s="34">
        <f t="shared" si="341"/>
        <v>101400</v>
      </c>
      <c r="AX530" s="50">
        <f t="shared" si="248"/>
        <v>18504.86875</v>
      </c>
      <c r="AY530" s="43"/>
      <c r="AZ530" s="27"/>
      <c r="BA530" s="48">
        <f t="shared" si="387"/>
        <v>18504.86875</v>
      </c>
      <c r="BB530" s="27"/>
      <c r="BC530" s="27"/>
      <c r="BD530" s="51"/>
      <c r="BE530" s="52"/>
      <c r="BF530" s="27">
        <v>1132.0</v>
      </c>
      <c r="BG530" s="58" t="s">
        <v>1854</v>
      </c>
      <c r="BH530" s="53" t="str">
        <f t="shared" si="392"/>
        <v>#REF!</v>
      </c>
      <c r="BI530" s="27"/>
      <c r="BJ530" s="27"/>
      <c r="BK530" s="27" t="s">
        <v>76</v>
      </c>
      <c r="BL530" s="27"/>
    </row>
    <row r="531" ht="14.25" customHeight="1">
      <c r="A531" s="26" t="s">
        <v>55</v>
      </c>
      <c r="B531" s="26" t="s">
        <v>56</v>
      </c>
      <c r="C531" s="26" t="s">
        <v>57</v>
      </c>
      <c r="D531" s="26" t="s">
        <v>81</v>
      </c>
      <c r="E531" s="27" t="s">
        <v>1855</v>
      </c>
      <c r="F531" s="26" t="s">
        <v>1856</v>
      </c>
      <c r="G531" s="29">
        <v>45079.0</v>
      </c>
      <c r="H531" s="30">
        <v>45079.0</v>
      </c>
      <c r="I531" s="30">
        <v>45444.0</v>
      </c>
      <c r="J531" s="31">
        <v>0.0</v>
      </c>
      <c r="K531" s="26" t="s">
        <v>62</v>
      </c>
      <c r="L531" s="32" t="s">
        <v>63</v>
      </c>
      <c r="M531" s="33">
        <v>22750.0</v>
      </c>
      <c r="N531" s="34">
        <v>24233.25</v>
      </c>
      <c r="O531" s="27" t="s">
        <v>64</v>
      </c>
      <c r="P531" s="35">
        <v>0.0</v>
      </c>
      <c r="Q531" s="35" t="s">
        <v>65</v>
      </c>
      <c r="R531" s="36">
        <v>45079.0</v>
      </c>
      <c r="S531" s="35" t="s">
        <v>86</v>
      </c>
      <c r="T531" s="35">
        <v>0.0</v>
      </c>
      <c r="U531" s="37" t="s">
        <v>67</v>
      </c>
      <c r="V531" s="38"/>
      <c r="W531" s="38"/>
      <c r="X531" s="27"/>
      <c r="Y531" s="39"/>
      <c r="Z531" s="39"/>
      <c r="AA531" s="39"/>
      <c r="AB531" s="27"/>
      <c r="AC531" s="27">
        <f t="shared" si="324"/>
        <v>0</v>
      </c>
      <c r="AD531" s="41">
        <f>IF(AND(S531="0",O531="Paid"),(M531*15%)-AC531,0)</f>
        <v>0</v>
      </c>
      <c r="AE531" s="42"/>
      <c r="AF531" s="27"/>
      <c r="AG531" s="43">
        <f t="shared" ref="AG531:AG534" si="395">IF(O531="Paid",IF(A531="Alwataniya",(M531*21%)-((M531*21%)*5%),IF((A531="GIG"),(M531*25%)-((M531*25%)*5%),IF((A531="Allianz"),(M531*27%)-((M531*27%)*5%),0))),0)</f>
        <v>0</v>
      </c>
      <c r="AH531" s="29"/>
      <c r="AI531" s="29"/>
      <c r="AJ531" s="29"/>
      <c r="AK531" s="29"/>
      <c r="AL531" s="27"/>
      <c r="AM531" s="44"/>
      <c r="AN531" s="68"/>
      <c r="AO531" s="37"/>
      <c r="AP531" s="47"/>
      <c r="AQ531" s="43" t="b">
        <f>IF(O531="Paid",IF(U531="Motor Plus",(M531*27%),IF(U531="Motor One",(M531*22%),(IF(U531="Golden",(M531*25%),(IF(U531="Classic",(M531*15%),(IF(U531="Wethaq",(M531*28%),IF(U531="Alwataniya",(M531*21%))*0)))))))))</f>
        <v>0</v>
      </c>
      <c r="AR531" s="43">
        <f t="shared" si="2"/>
        <v>0</v>
      </c>
      <c r="AS531" s="43">
        <f t="shared" si="3"/>
        <v>0</v>
      </c>
      <c r="AT531" s="48">
        <f t="shared" si="4"/>
        <v>0</v>
      </c>
      <c r="AU531" s="49">
        <f t="shared" si="394"/>
        <v>0</v>
      </c>
      <c r="AV531" s="48"/>
      <c r="AW531" s="34">
        <f t="shared" si="341"/>
        <v>24233.25</v>
      </c>
      <c r="AX531" s="50">
        <f t="shared" si="248"/>
        <v>0</v>
      </c>
      <c r="AY531" s="43"/>
      <c r="AZ531" s="27"/>
      <c r="BA531" s="48">
        <f t="shared" si="387"/>
        <v>0</v>
      </c>
      <c r="BB531" s="27"/>
      <c r="BC531" s="27"/>
      <c r="BD531" s="51"/>
      <c r="BE531" s="52"/>
      <c r="BF531" s="27" t="s">
        <v>1855</v>
      </c>
      <c r="BG531" s="53">
        <v>0.0</v>
      </c>
      <c r="BH531" s="53" t="str">
        <f>'[1]2023'!Q138</f>
        <v>#REF!</v>
      </c>
      <c r="BI531" s="27"/>
      <c r="BJ531" s="27"/>
      <c r="BK531" s="27" t="s">
        <v>64</v>
      </c>
      <c r="BL531" s="27"/>
    </row>
    <row r="532" ht="14.25" customHeight="1">
      <c r="A532" s="26" t="s">
        <v>55</v>
      </c>
      <c r="B532" s="26" t="s">
        <v>56</v>
      </c>
      <c r="C532" s="26" t="s">
        <v>57</v>
      </c>
      <c r="D532" s="26" t="s">
        <v>81</v>
      </c>
      <c r="E532" s="27" t="s">
        <v>1857</v>
      </c>
      <c r="F532" s="26" t="s">
        <v>1858</v>
      </c>
      <c r="G532" s="29">
        <v>45079.0</v>
      </c>
      <c r="H532" s="30">
        <v>45079.0</v>
      </c>
      <c r="I532" s="30">
        <v>45444.0</v>
      </c>
      <c r="J532" s="31">
        <v>0.0</v>
      </c>
      <c r="K532" s="26" t="s">
        <v>62</v>
      </c>
      <c r="L532" s="32" t="s">
        <v>75</v>
      </c>
      <c r="M532" s="33">
        <v>53100.0</v>
      </c>
      <c r="N532" s="34">
        <v>56373.9</v>
      </c>
      <c r="O532" s="27" t="s">
        <v>76</v>
      </c>
      <c r="P532" s="35" t="s">
        <v>104</v>
      </c>
      <c r="Q532" s="35" t="s">
        <v>65</v>
      </c>
      <c r="R532" s="36">
        <v>45079.0</v>
      </c>
      <c r="S532" s="35" t="s">
        <v>86</v>
      </c>
      <c r="T532" s="35">
        <v>0.0</v>
      </c>
      <c r="U532" s="37" t="s">
        <v>67</v>
      </c>
      <c r="V532" s="38"/>
      <c r="W532" s="38"/>
      <c r="X532" s="27"/>
      <c r="Y532" s="39"/>
      <c r="Z532" s="39"/>
      <c r="AA532" s="39"/>
      <c r="AB532" s="27"/>
      <c r="AC532" s="27">
        <f t="shared" si="324"/>
        <v>0</v>
      </c>
      <c r="AD532" s="41"/>
      <c r="AE532" s="42"/>
      <c r="AF532" s="27"/>
      <c r="AG532" s="43">
        <f t="shared" si="395"/>
        <v>13620.15</v>
      </c>
      <c r="AH532" s="29"/>
      <c r="AI532" s="29"/>
      <c r="AJ532" s="29"/>
      <c r="AK532" s="29"/>
      <c r="AL532" s="27"/>
      <c r="AM532" s="44"/>
      <c r="AN532" s="68"/>
      <c r="AO532" s="46"/>
      <c r="AP532" s="47"/>
      <c r="AQ532" s="43">
        <f t="shared" ref="AQ532:AQ534" si="396">IF(U532="Motor Plus",(M532*27%),IF(U532="Motor One",(M532*22%),(IF(U532="Golden",(M532*25%),(IF(U532="Classic",(M532*15%),(IF(U532="Wethaq",(M532*28%),IF(U532="Alwataniya",(M532*21%))*0))))))))</f>
        <v>14337</v>
      </c>
      <c r="AR532" s="43">
        <f t="shared" si="2"/>
        <v>716.85</v>
      </c>
      <c r="AS532" s="43">
        <f t="shared" si="3"/>
        <v>2508.975</v>
      </c>
      <c r="AT532" s="48">
        <f t="shared" si="4"/>
        <v>11111.175</v>
      </c>
      <c r="AU532" s="49">
        <f t="shared" si="394"/>
        <v>11111.175</v>
      </c>
      <c r="AV532" s="48"/>
      <c r="AW532" s="34">
        <f t="shared" si="341"/>
        <v>56373.9</v>
      </c>
      <c r="AX532" s="50">
        <f t="shared" si="248"/>
        <v>11111.175</v>
      </c>
      <c r="AY532" s="43"/>
      <c r="AZ532" s="27"/>
      <c r="BA532" s="48">
        <f t="shared" si="387"/>
        <v>11111.175</v>
      </c>
      <c r="BB532" s="27"/>
      <c r="BC532" s="27"/>
      <c r="BD532" s="51"/>
      <c r="BE532" s="52"/>
      <c r="BF532" s="27" t="s">
        <v>1857</v>
      </c>
      <c r="BG532" s="53" t="s">
        <v>1859</v>
      </c>
      <c r="BH532" s="53" t="str">
        <f>'[1]2023'!Q208</f>
        <v>#REF!</v>
      </c>
      <c r="BI532" s="27"/>
      <c r="BJ532" s="27"/>
      <c r="BK532" s="27" t="s">
        <v>76</v>
      </c>
      <c r="BL532" s="27"/>
    </row>
    <row r="533" ht="14.25" customHeight="1">
      <c r="A533" s="26" t="s">
        <v>55</v>
      </c>
      <c r="B533" s="26" t="s">
        <v>56</v>
      </c>
      <c r="C533" s="26" t="s">
        <v>57</v>
      </c>
      <c r="D533" s="26" t="s">
        <v>58</v>
      </c>
      <c r="E533" s="27" t="s">
        <v>1860</v>
      </c>
      <c r="F533" s="26" t="s">
        <v>1861</v>
      </c>
      <c r="G533" s="29">
        <v>45080.0</v>
      </c>
      <c r="H533" s="30">
        <v>45080.0</v>
      </c>
      <c r="I533" s="30">
        <v>45445.0</v>
      </c>
      <c r="J533" s="31" t="s">
        <v>1862</v>
      </c>
      <c r="K533" s="26" t="s">
        <v>63</v>
      </c>
      <c r="L533" s="69">
        <v>45020.0</v>
      </c>
      <c r="M533" s="33">
        <v>6707.0</v>
      </c>
      <c r="N533" s="34">
        <v>7103.0</v>
      </c>
      <c r="O533" s="27" t="s">
        <v>76</v>
      </c>
      <c r="P533" s="35" t="s">
        <v>162</v>
      </c>
      <c r="Q533" s="35">
        <v>0.0</v>
      </c>
      <c r="R533" s="36">
        <v>45080.0</v>
      </c>
      <c r="S533" s="35" t="s">
        <v>86</v>
      </c>
      <c r="T533" s="35">
        <v>0.0</v>
      </c>
      <c r="U533" s="37" t="s">
        <v>67</v>
      </c>
      <c r="V533" s="38"/>
      <c r="W533" s="38"/>
      <c r="X533" s="27"/>
      <c r="Y533" s="39"/>
      <c r="Z533" s="39"/>
      <c r="AA533" s="39"/>
      <c r="AB533" s="27"/>
      <c r="AC533" s="27">
        <f t="shared" si="324"/>
        <v>0</v>
      </c>
      <c r="AD533" s="41">
        <f>IF(AND(S533="0",O533="Paid"),M533*15%,0)</f>
        <v>1006.05</v>
      </c>
      <c r="AE533" s="42"/>
      <c r="AF533" s="27"/>
      <c r="AG533" s="43">
        <f t="shared" si="395"/>
        <v>1720.3455</v>
      </c>
      <c r="AH533" s="29"/>
      <c r="AI533" s="29"/>
      <c r="AJ533" s="29"/>
      <c r="AK533" s="29"/>
      <c r="AL533" s="27"/>
      <c r="AM533" s="44"/>
      <c r="AN533" s="68"/>
      <c r="AO533" s="37"/>
      <c r="AP533" s="47"/>
      <c r="AQ533" s="43">
        <f t="shared" si="396"/>
        <v>1810.89</v>
      </c>
      <c r="AR533" s="43">
        <f t="shared" si="2"/>
        <v>90.5445</v>
      </c>
      <c r="AS533" s="43">
        <f t="shared" si="3"/>
        <v>316.90575</v>
      </c>
      <c r="AT533" s="48">
        <f t="shared" si="4"/>
        <v>1403.43975</v>
      </c>
      <c r="AU533" s="49">
        <f t="shared" si="394"/>
        <v>1403.43975</v>
      </c>
      <c r="AV533" s="48"/>
      <c r="AW533" s="34">
        <f t="shared" si="341"/>
        <v>6096.95</v>
      </c>
      <c r="AX533" s="50">
        <f t="shared" si="248"/>
        <v>397.38975</v>
      </c>
      <c r="AY533" s="43"/>
      <c r="AZ533" s="27"/>
      <c r="BA533" s="48">
        <f t="shared" si="387"/>
        <v>1403.43975</v>
      </c>
      <c r="BB533" s="27"/>
      <c r="BC533" s="27"/>
      <c r="BD533" s="51"/>
      <c r="BE533" s="52"/>
      <c r="BF533" s="27" t="s">
        <v>1860</v>
      </c>
      <c r="BG533" s="58" t="s">
        <v>1863</v>
      </c>
      <c r="BH533" s="53" t="str">
        <f>'[1]2023'!Q178</f>
        <v>#REF!</v>
      </c>
      <c r="BI533" s="27"/>
      <c r="BJ533" s="27"/>
      <c r="BK533" s="27" t="s">
        <v>76</v>
      </c>
      <c r="BL533" s="27"/>
    </row>
    <row r="534" ht="14.25" customHeight="1">
      <c r="A534" s="26" t="s">
        <v>55</v>
      </c>
      <c r="B534" s="26" t="s">
        <v>56</v>
      </c>
      <c r="C534" s="26" t="s">
        <v>57</v>
      </c>
      <c r="D534" s="26" t="s">
        <v>71</v>
      </c>
      <c r="E534" s="27" t="s">
        <v>1864</v>
      </c>
      <c r="F534" s="28" t="s">
        <v>1865</v>
      </c>
      <c r="G534" s="29">
        <v>45080.0</v>
      </c>
      <c r="H534" s="30">
        <v>45080.0</v>
      </c>
      <c r="I534" s="30">
        <v>45445.0</v>
      </c>
      <c r="J534" s="31" t="s">
        <v>1866</v>
      </c>
      <c r="K534" s="26" t="s">
        <v>352</v>
      </c>
      <c r="L534" s="69">
        <v>45110.0</v>
      </c>
      <c r="M534" s="33">
        <v>25602.5</v>
      </c>
      <c r="N534" s="34">
        <v>27257.06</v>
      </c>
      <c r="O534" s="27" t="s">
        <v>76</v>
      </c>
      <c r="P534" s="35" t="s">
        <v>104</v>
      </c>
      <c r="Q534" s="35" t="s">
        <v>65</v>
      </c>
      <c r="R534" s="36">
        <v>45080.0</v>
      </c>
      <c r="S534" s="35" t="s">
        <v>66</v>
      </c>
      <c r="T534" s="35">
        <v>0.0</v>
      </c>
      <c r="U534" s="37" t="s">
        <v>67</v>
      </c>
      <c r="V534" s="38">
        <v>980000.0</v>
      </c>
      <c r="W534" s="78" t="s">
        <v>1867</v>
      </c>
      <c r="X534" s="27">
        <v>2022.0</v>
      </c>
      <c r="Y534" s="39"/>
      <c r="Z534" s="79" t="s">
        <v>211</v>
      </c>
      <c r="AA534" s="39"/>
      <c r="AB534" s="40">
        <v>0.05</v>
      </c>
      <c r="AC534" s="27">
        <v>1260.0</v>
      </c>
      <c r="AD534" s="41"/>
      <c r="AE534" s="42"/>
      <c r="AF534" s="27"/>
      <c r="AG534" s="43">
        <f t="shared" si="395"/>
        <v>6567.04125</v>
      </c>
      <c r="AH534" s="29"/>
      <c r="AI534" s="29"/>
      <c r="AJ534" s="29"/>
      <c r="AK534" s="29"/>
      <c r="AL534" s="27"/>
      <c r="AM534" s="44">
        <f>IF((BD534&lt;=2),AU534*10%,(IF((BD534&lt;=3),AU534*20%,IF((BD534&lt;=4),AU534*20%,IF((BD534&gt;=5),AU534*30%,0)))))</f>
        <v>409.7323125</v>
      </c>
      <c r="AN534" s="45" t="s">
        <v>75</v>
      </c>
      <c r="AO534" s="46"/>
      <c r="AP534" s="47"/>
      <c r="AQ534" s="43">
        <f t="shared" si="396"/>
        <v>6912.675</v>
      </c>
      <c r="AR534" s="43">
        <f t="shared" si="2"/>
        <v>345.63375</v>
      </c>
      <c r="AS534" s="43">
        <f t="shared" si="3"/>
        <v>1209.718125</v>
      </c>
      <c r="AT534" s="48">
        <f t="shared" si="4"/>
        <v>5357.323125</v>
      </c>
      <c r="AU534" s="49">
        <f t="shared" si="394"/>
        <v>4097.323125</v>
      </c>
      <c r="AV534" s="48"/>
      <c r="AW534" s="34">
        <f t="shared" si="341"/>
        <v>25997.06</v>
      </c>
      <c r="AX534" s="50">
        <f t="shared" si="248"/>
        <v>4947.590813</v>
      </c>
      <c r="AY534" s="43"/>
      <c r="AZ534" s="27"/>
      <c r="BA534" s="48">
        <f t="shared" si="387"/>
        <v>3687.590813</v>
      </c>
      <c r="BB534" s="27"/>
      <c r="BC534" s="27"/>
      <c r="BD534" s="51"/>
      <c r="BE534" s="52"/>
      <c r="BF534" s="27" t="s">
        <v>1864</v>
      </c>
      <c r="BG534" s="58" t="s">
        <v>1868</v>
      </c>
      <c r="BH534" s="53" t="str">
        <f t="shared" ref="BH534:BH536" si="397">'[1]2023'!Q287</f>
        <v>#REF!</v>
      </c>
      <c r="BI534" s="27"/>
      <c r="BJ534" s="27"/>
      <c r="BK534" s="27" t="s">
        <v>76</v>
      </c>
      <c r="BL534" s="29">
        <v>45110.0</v>
      </c>
    </row>
    <row r="535" ht="14.25" customHeight="1">
      <c r="A535" s="26" t="s">
        <v>55</v>
      </c>
      <c r="B535" s="26" t="s">
        <v>56</v>
      </c>
      <c r="C535" s="26" t="s">
        <v>57</v>
      </c>
      <c r="D535" s="26" t="s">
        <v>71</v>
      </c>
      <c r="E535" s="27" t="s">
        <v>1869</v>
      </c>
      <c r="F535" s="26" t="s">
        <v>1870</v>
      </c>
      <c r="G535" s="29">
        <v>45080.0</v>
      </c>
      <c r="H535" s="30">
        <v>45080.0</v>
      </c>
      <c r="I535" s="30">
        <v>45445.0</v>
      </c>
      <c r="J535" s="31" t="s">
        <v>1871</v>
      </c>
      <c r="K535" s="26" t="s">
        <v>352</v>
      </c>
      <c r="L535" s="32" t="s">
        <v>63</v>
      </c>
      <c r="M535" s="33">
        <v>0.0</v>
      </c>
      <c r="N535" s="34">
        <v>0.0</v>
      </c>
      <c r="O535" s="27" t="s">
        <v>64</v>
      </c>
      <c r="P535" s="35">
        <v>0.0</v>
      </c>
      <c r="Q535" s="35" t="s">
        <v>65</v>
      </c>
      <c r="R535" s="36">
        <v>45080.0</v>
      </c>
      <c r="S535" s="35" t="s">
        <v>86</v>
      </c>
      <c r="T535" s="35">
        <v>0.0</v>
      </c>
      <c r="U535" s="37" t="s">
        <v>67</v>
      </c>
      <c r="V535" s="38"/>
      <c r="W535" s="38"/>
      <c r="X535" s="27"/>
      <c r="Y535" s="39"/>
      <c r="Z535" s="39"/>
      <c r="AA535" s="39"/>
      <c r="AB535" s="40"/>
      <c r="AC535" s="27">
        <f t="shared" ref="AC535:AC542" si="398">M535*AB535</f>
        <v>0</v>
      </c>
      <c r="AD535" s="41">
        <f>IF(AND(S535="0",O535="Paid"),(M535*15%)-AC535,0)</f>
        <v>0</v>
      </c>
      <c r="AE535" s="42"/>
      <c r="AF535" s="27"/>
      <c r="AG535" s="43">
        <f>IF(O535="Paid",IF(A535="Alwataniya",(M535*21%)-((M535*21%)*5%),IF((A535="GIG"),(M535*25%)-((M535*25%)*5%),IF((A535="Allianz"),(M535*27%)-((M535*27%)*20%),0))),0)</f>
        <v>0</v>
      </c>
      <c r="AH535" s="29"/>
      <c r="AI535" s="29"/>
      <c r="AJ535" s="29"/>
      <c r="AK535" s="29"/>
      <c r="AL535" s="27"/>
      <c r="AM535" s="44"/>
      <c r="AN535" s="68"/>
      <c r="AO535" s="46"/>
      <c r="AP535" s="47"/>
      <c r="AQ535" s="43" t="b">
        <f>IF(O535="Paid",IF(U535="Motor Plus",(M535*27%),IF(U535="Motor One",(M535*22%),(IF(U535="Golden",(M535*25%),(IF(U535="Classic",(M535*15%),(IF(U535="Wethaq",(M535*28%),IF(U535="Alwataniya",(M535*21%))*0)))))))))</f>
        <v>0</v>
      </c>
      <c r="AR535" s="43">
        <f t="shared" si="2"/>
        <v>0</v>
      </c>
      <c r="AS535" s="43">
        <f t="shared" si="3"/>
        <v>0</v>
      </c>
      <c r="AT535" s="48">
        <f t="shared" si="4"/>
        <v>0</v>
      </c>
      <c r="AU535" s="49">
        <f t="shared" si="394"/>
        <v>0</v>
      </c>
      <c r="AV535" s="48"/>
      <c r="AW535" s="34">
        <f t="shared" si="341"/>
        <v>0</v>
      </c>
      <c r="AX535" s="50">
        <f t="shared" si="248"/>
        <v>0</v>
      </c>
      <c r="AY535" s="43"/>
      <c r="AZ535" s="27"/>
      <c r="BA535" s="48">
        <f t="shared" si="387"/>
        <v>0</v>
      </c>
      <c r="BB535" s="27">
        <f>M535*15%</f>
        <v>0</v>
      </c>
      <c r="BC535" s="29"/>
      <c r="BD535" s="51"/>
      <c r="BE535" s="52"/>
      <c r="BF535" s="27" t="s">
        <v>1869</v>
      </c>
      <c r="BG535" s="58" t="s">
        <v>1872</v>
      </c>
      <c r="BH535" s="53" t="str">
        <f t="shared" si="397"/>
        <v>#REF!</v>
      </c>
      <c r="BI535" s="27"/>
      <c r="BJ535" s="27"/>
      <c r="BK535" s="27" t="s">
        <v>64</v>
      </c>
      <c r="BL535" s="27"/>
    </row>
    <row r="536" ht="14.25" customHeight="1">
      <c r="A536" s="26" t="s">
        <v>55</v>
      </c>
      <c r="B536" s="26" t="s">
        <v>56</v>
      </c>
      <c r="C536" s="26" t="s">
        <v>57</v>
      </c>
      <c r="D536" s="26" t="s">
        <v>71</v>
      </c>
      <c r="E536" s="27" t="s">
        <v>1873</v>
      </c>
      <c r="F536" s="28" t="s">
        <v>1874</v>
      </c>
      <c r="G536" s="29">
        <v>45080.0</v>
      </c>
      <c r="H536" s="30">
        <v>45080.0</v>
      </c>
      <c r="I536" s="30">
        <v>45445.0</v>
      </c>
      <c r="J536" s="31" t="s">
        <v>1875</v>
      </c>
      <c r="K536" s="26" t="s">
        <v>352</v>
      </c>
      <c r="L536" s="32" t="s">
        <v>405</v>
      </c>
      <c r="M536" s="33">
        <v>32450.0</v>
      </c>
      <c r="N536" s="34">
        <v>34504.55</v>
      </c>
      <c r="O536" s="27" t="s">
        <v>76</v>
      </c>
      <c r="P536" s="35" t="s">
        <v>89</v>
      </c>
      <c r="Q536" s="35" t="s">
        <v>65</v>
      </c>
      <c r="R536" s="36">
        <v>45080.0</v>
      </c>
      <c r="S536" s="35" t="s">
        <v>78</v>
      </c>
      <c r="T536" s="54" t="s">
        <v>1876</v>
      </c>
      <c r="U536" s="37" t="s">
        <v>67</v>
      </c>
      <c r="V536" s="38">
        <v>1100000.0</v>
      </c>
      <c r="W536" s="78">
        <v>11889.0</v>
      </c>
      <c r="X536" s="27">
        <v>2022.0</v>
      </c>
      <c r="Y536" s="39"/>
      <c r="Z536" s="79" t="s">
        <v>208</v>
      </c>
      <c r="AA536" s="39"/>
      <c r="AB536" s="40"/>
      <c r="AC536" s="27">
        <f t="shared" si="398"/>
        <v>0</v>
      </c>
      <c r="AD536" s="41"/>
      <c r="AE536" s="42"/>
      <c r="AF536" s="27"/>
      <c r="AG536" s="43">
        <f t="shared" ref="AG536:AG541" si="399">IF(O536="Paid",IF(A536="Alwataniya",(M536*21%)-((M536*21%)*5%),IF((A536="GIG"),(M536*25%)-((M536*25%)*5%),IF((A536="Allianz"),(M536*27%)-((M536*27%)*5%),0))),0)</f>
        <v>8323.425</v>
      </c>
      <c r="AH536" s="29"/>
      <c r="AI536" s="29"/>
      <c r="AJ536" s="29"/>
      <c r="AK536" s="29"/>
      <c r="AL536" s="27"/>
      <c r="AM536" s="44"/>
      <c r="AN536" s="68"/>
      <c r="AO536" s="70">
        <f>M536*15%</f>
        <v>4867.5</v>
      </c>
      <c r="AP536" s="60" t="s">
        <v>1877</v>
      </c>
      <c r="AQ536" s="43">
        <f t="shared" ref="AQ536:AQ537" si="400">IF(U536="Motor Plus",(M536*27%),IF(U536="Motor One",(M536*22%),(IF(U536="Golden",(M536*25%),(IF(U536="Classic",(M536*15%),(IF(U536="Wethaq",(M536*28%),IF(U536="Alwataniya",(M536*21%))*0))))))))</f>
        <v>8761.5</v>
      </c>
      <c r="AR536" s="43">
        <f t="shared" si="2"/>
        <v>438.075</v>
      </c>
      <c r="AS536" s="43">
        <f t="shared" si="3"/>
        <v>1533.2625</v>
      </c>
      <c r="AT536" s="48">
        <f t="shared" si="4"/>
        <v>6790.1625</v>
      </c>
      <c r="AU536" s="49">
        <f t="shared" si="394"/>
        <v>6790.1625</v>
      </c>
      <c r="AV536" s="48"/>
      <c r="AW536" s="34">
        <f t="shared" si="341"/>
        <v>34504.55</v>
      </c>
      <c r="AX536" s="50">
        <f t="shared" si="248"/>
        <v>1922.6625</v>
      </c>
      <c r="AY536" s="43"/>
      <c r="AZ536" s="27"/>
      <c r="BA536" s="48">
        <f t="shared" si="387"/>
        <v>1922.6625</v>
      </c>
      <c r="BB536" s="27"/>
      <c r="BC536" s="27"/>
      <c r="BD536" s="51"/>
      <c r="BE536" s="52"/>
      <c r="BF536" s="27" t="s">
        <v>1873</v>
      </c>
      <c r="BG536" s="58" t="s">
        <v>1878</v>
      </c>
      <c r="BH536" s="53" t="str">
        <f t="shared" si="397"/>
        <v>#REF!</v>
      </c>
      <c r="BI536" s="27"/>
      <c r="BJ536" s="27"/>
      <c r="BK536" s="27" t="s">
        <v>76</v>
      </c>
      <c r="BL536" s="27"/>
    </row>
    <row r="537" ht="14.25" customHeight="1">
      <c r="A537" s="26" t="s">
        <v>55</v>
      </c>
      <c r="B537" s="26" t="s">
        <v>56</v>
      </c>
      <c r="C537" s="26" t="s">
        <v>57</v>
      </c>
      <c r="D537" s="26" t="s">
        <v>81</v>
      </c>
      <c r="E537" s="27" t="s">
        <v>1879</v>
      </c>
      <c r="F537" s="26" t="s">
        <v>1880</v>
      </c>
      <c r="G537" s="29">
        <v>45080.0</v>
      </c>
      <c r="H537" s="30">
        <v>45080.0</v>
      </c>
      <c r="I537" s="30">
        <v>45445.0</v>
      </c>
      <c r="J537" s="31">
        <v>0.0</v>
      </c>
      <c r="K537" s="26" t="s">
        <v>352</v>
      </c>
      <c r="L537" s="32" t="s">
        <v>75</v>
      </c>
      <c r="M537" s="33">
        <v>14160.0</v>
      </c>
      <c r="N537" s="34">
        <v>15136.44</v>
      </c>
      <c r="O537" s="27" t="s">
        <v>76</v>
      </c>
      <c r="P537" s="35" t="s">
        <v>95</v>
      </c>
      <c r="Q537" s="35" t="s">
        <v>90</v>
      </c>
      <c r="R537" s="36">
        <v>45080.0</v>
      </c>
      <c r="S537" s="35" t="s">
        <v>86</v>
      </c>
      <c r="T537" s="35">
        <v>0.0</v>
      </c>
      <c r="U537" s="37" t="s">
        <v>67</v>
      </c>
      <c r="V537" s="38"/>
      <c r="W537" s="38"/>
      <c r="X537" s="27"/>
      <c r="Y537" s="39"/>
      <c r="Z537" s="39"/>
      <c r="AA537" s="39"/>
      <c r="AB537" s="40"/>
      <c r="AC537" s="27">
        <f t="shared" si="398"/>
        <v>0</v>
      </c>
      <c r="AD537" s="41">
        <f>IF(AND(S537="0",O537="Paid"),M537*15%,0)</f>
        <v>2124</v>
      </c>
      <c r="AE537" s="42"/>
      <c r="AF537" s="27"/>
      <c r="AG537" s="43">
        <f t="shared" si="399"/>
        <v>3632.04</v>
      </c>
      <c r="AH537" s="29"/>
      <c r="AI537" s="29"/>
      <c r="AJ537" s="29"/>
      <c r="AK537" s="29"/>
      <c r="AL537" s="27"/>
      <c r="AM537" s="44"/>
      <c r="AN537" s="68"/>
      <c r="AO537" s="46"/>
      <c r="AP537" s="47"/>
      <c r="AQ537" s="43">
        <f t="shared" si="400"/>
        <v>3823.2</v>
      </c>
      <c r="AR537" s="43">
        <f t="shared" si="2"/>
        <v>191.16</v>
      </c>
      <c r="AS537" s="43">
        <f t="shared" si="3"/>
        <v>669.06</v>
      </c>
      <c r="AT537" s="48">
        <f t="shared" si="4"/>
        <v>2962.98</v>
      </c>
      <c r="AU537" s="49">
        <f t="shared" si="394"/>
        <v>2962.98</v>
      </c>
      <c r="AV537" s="48"/>
      <c r="AW537" s="34">
        <f t="shared" si="341"/>
        <v>13012.44</v>
      </c>
      <c r="AX537" s="50">
        <f t="shared" si="248"/>
        <v>838.98</v>
      </c>
      <c r="AY537" s="43"/>
      <c r="AZ537" s="27"/>
      <c r="BA537" s="48">
        <f t="shared" si="387"/>
        <v>2962.98</v>
      </c>
      <c r="BB537" s="27"/>
      <c r="BC537" s="27"/>
      <c r="BD537" s="51"/>
      <c r="BE537" s="52"/>
      <c r="BF537" s="27" t="s">
        <v>1879</v>
      </c>
      <c r="BG537" s="58" t="s">
        <v>562</v>
      </c>
      <c r="BH537" s="53" t="str">
        <f>'[1]2023'!Q348</f>
        <v>#REF!</v>
      </c>
      <c r="BI537" s="27"/>
      <c r="BJ537" s="27"/>
      <c r="BK537" s="27" t="s">
        <v>76</v>
      </c>
      <c r="BL537" s="27"/>
    </row>
    <row r="538" ht="14.25" customHeight="1">
      <c r="A538" s="26" t="s">
        <v>55</v>
      </c>
      <c r="B538" s="26" t="s">
        <v>56</v>
      </c>
      <c r="C538" s="26" t="s">
        <v>57</v>
      </c>
      <c r="D538" s="26" t="s">
        <v>58</v>
      </c>
      <c r="E538" s="27" t="s">
        <v>1881</v>
      </c>
      <c r="F538" s="28" t="s">
        <v>1882</v>
      </c>
      <c r="G538" s="29">
        <v>45080.0</v>
      </c>
      <c r="H538" s="30">
        <v>45080.0</v>
      </c>
      <c r="I538" s="30">
        <v>45445.0</v>
      </c>
      <c r="J538" s="31">
        <v>0.0</v>
      </c>
      <c r="K538" s="26" t="s">
        <v>440</v>
      </c>
      <c r="L538" s="32" t="s">
        <v>63</v>
      </c>
      <c r="M538" s="33">
        <v>0.0</v>
      </c>
      <c r="N538" s="34">
        <v>0.0</v>
      </c>
      <c r="O538" s="27" t="s">
        <v>64</v>
      </c>
      <c r="P538" s="35">
        <v>0.0</v>
      </c>
      <c r="Q538" s="35" t="s">
        <v>108</v>
      </c>
      <c r="R538" s="36">
        <v>45080.0</v>
      </c>
      <c r="S538" s="35" t="s">
        <v>86</v>
      </c>
      <c r="T538" s="35">
        <v>0.0</v>
      </c>
      <c r="U538" s="37">
        <v>0.0</v>
      </c>
      <c r="V538" s="38"/>
      <c r="W538" s="38"/>
      <c r="X538" s="27"/>
      <c r="Y538" s="39"/>
      <c r="Z538" s="39"/>
      <c r="AA538" s="39"/>
      <c r="AB538" s="27"/>
      <c r="AC538" s="27">
        <f t="shared" si="398"/>
        <v>0</v>
      </c>
      <c r="AD538" s="41">
        <f t="shared" ref="AD538:AD539" si="401">IF(AND(S538="0",O538="Paid"),(M538*15%)-AC538,0)</f>
        <v>0</v>
      </c>
      <c r="AE538" s="42"/>
      <c r="AF538" s="27"/>
      <c r="AG538" s="43">
        <f t="shared" si="399"/>
        <v>0</v>
      </c>
      <c r="AH538" s="29"/>
      <c r="AI538" s="29"/>
      <c r="AJ538" s="29"/>
      <c r="AK538" s="29"/>
      <c r="AL538" s="27"/>
      <c r="AM538" s="44"/>
      <c r="AN538" s="68"/>
      <c r="AO538" s="46"/>
      <c r="AP538" s="47"/>
      <c r="AQ538" s="43" t="b">
        <f t="shared" ref="AQ538:AQ539" si="402">IF(O538="Paid",IF(U538="Motor Plus",(M538*27%),IF(U538="Motor One",(M538*22%),(IF(U538="Golden",(M538*25%),(IF(U538="Classic",(M538*15%),(IF(U538="Wethaq",(M538*28%),IF(U538="Alwataniya",(M538*21%))*0)))))))))</f>
        <v>0</v>
      </c>
      <c r="AR538" s="43">
        <f t="shared" si="2"/>
        <v>0</v>
      </c>
      <c r="AS538" s="43">
        <f t="shared" si="3"/>
        <v>0</v>
      </c>
      <c r="AT538" s="48">
        <f t="shared" si="4"/>
        <v>0</v>
      </c>
      <c r="AU538" s="49">
        <f t="shared" ref="AU538:AU539" si="403">AQ538-AR538-AS538-AC538-AO538</f>
        <v>0</v>
      </c>
      <c r="AV538" s="48"/>
      <c r="AW538" s="34">
        <f t="shared" si="341"/>
        <v>0</v>
      </c>
      <c r="AX538" s="50">
        <f t="shared" si="248"/>
        <v>0</v>
      </c>
      <c r="AY538" s="43"/>
      <c r="AZ538" s="47"/>
      <c r="BA538" s="48">
        <f t="shared" si="387"/>
        <v>0</v>
      </c>
      <c r="BB538" s="27"/>
      <c r="BC538" s="27"/>
      <c r="BD538" s="51"/>
      <c r="BE538" s="52"/>
      <c r="BF538" s="27" t="s">
        <v>1881</v>
      </c>
      <c r="BG538" s="53">
        <v>0.0</v>
      </c>
      <c r="BH538" s="53" t="str">
        <f>'[1]2023'!Q1115</f>
        <v>#REF!</v>
      </c>
      <c r="BI538" s="27"/>
      <c r="BJ538" s="27"/>
      <c r="BK538" s="27" t="s">
        <v>64</v>
      </c>
      <c r="BL538" s="27"/>
    </row>
    <row r="539" ht="14.25" customHeight="1">
      <c r="A539" s="26" t="s">
        <v>55</v>
      </c>
      <c r="B539" s="26" t="s">
        <v>56</v>
      </c>
      <c r="C539" s="26" t="s">
        <v>57</v>
      </c>
      <c r="D539" s="26" t="s">
        <v>58</v>
      </c>
      <c r="E539" s="27" t="s">
        <v>1883</v>
      </c>
      <c r="F539" s="28" t="s">
        <v>1884</v>
      </c>
      <c r="G539" s="29">
        <v>45080.0</v>
      </c>
      <c r="H539" s="30">
        <v>45080.0</v>
      </c>
      <c r="I539" s="30">
        <v>45445.0</v>
      </c>
      <c r="J539" s="31">
        <v>0.0</v>
      </c>
      <c r="K539" s="26" t="s">
        <v>440</v>
      </c>
      <c r="L539" s="73" t="s">
        <v>63</v>
      </c>
      <c r="M539" s="33">
        <v>0.0</v>
      </c>
      <c r="N539" s="34">
        <v>0.0</v>
      </c>
      <c r="O539" s="27" t="s">
        <v>64</v>
      </c>
      <c r="P539" s="35">
        <v>0.0</v>
      </c>
      <c r="Q539" s="35">
        <v>0.0</v>
      </c>
      <c r="R539" s="36">
        <v>45080.0</v>
      </c>
      <c r="S539" s="35" t="s">
        <v>86</v>
      </c>
      <c r="T539" s="35">
        <v>0.0</v>
      </c>
      <c r="U539" s="37">
        <v>0.0</v>
      </c>
      <c r="V539" s="38"/>
      <c r="W539" s="38"/>
      <c r="X539" s="27"/>
      <c r="Y539" s="39"/>
      <c r="Z539" s="39"/>
      <c r="AA539" s="39"/>
      <c r="AB539" s="27"/>
      <c r="AC539" s="27">
        <f t="shared" si="398"/>
        <v>0</v>
      </c>
      <c r="AD539" s="41">
        <f t="shared" si="401"/>
        <v>0</v>
      </c>
      <c r="AE539" s="42"/>
      <c r="AF539" s="27"/>
      <c r="AG539" s="43">
        <f t="shared" si="399"/>
        <v>0</v>
      </c>
      <c r="AH539" s="29"/>
      <c r="AI539" s="29"/>
      <c r="AJ539" s="29"/>
      <c r="AK539" s="75"/>
      <c r="AL539" s="27"/>
      <c r="AM539" s="27"/>
      <c r="AN539" s="47"/>
      <c r="AO539" s="46"/>
      <c r="AP539" s="47"/>
      <c r="AQ539" s="43" t="b">
        <f t="shared" si="402"/>
        <v>0</v>
      </c>
      <c r="AR539" s="43">
        <f t="shared" si="2"/>
        <v>0</v>
      </c>
      <c r="AS539" s="43">
        <f t="shared" si="3"/>
        <v>0</v>
      </c>
      <c r="AT539" s="48">
        <f t="shared" si="4"/>
        <v>0</v>
      </c>
      <c r="AU539" s="49">
        <f t="shared" si="403"/>
        <v>0</v>
      </c>
      <c r="AV539" s="48"/>
      <c r="AW539" s="34">
        <f t="shared" si="341"/>
        <v>0</v>
      </c>
      <c r="AX539" s="50">
        <f t="shared" si="248"/>
        <v>0</v>
      </c>
      <c r="AY539" s="43"/>
      <c r="AZ539" s="47"/>
      <c r="BA539" s="48">
        <f t="shared" si="387"/>
        <v>0</v>
      </c>
      <c r="BB539" s="27"/>
      <c r="BC539" s="27"/>
      <c r="BD539" s="51"/>
      <c r="BE539" s="52"/>
      <c r="BF539" s="27" t="s">
        <v>1883</v>
      </c>
      <c r="BG539" s="53">
        <v>0.0</v>
      </c>
      <c r="BH539" s="53" t="str">
        <f>'[1]2023'!Q1117</f>
        <v>#REF!</v>
      </c>
      <c r="BI539" s="27"/>
      <c r="BJ539" s="27"/>
      <c r="BK539" s="27" t="s">
        <v>64</v>
      </c>
      <c r="BL539" s="27"/>
    </row>
    <row r="540" ht="14.25" customHeight="1">
      <c r="A540" s="26" t="s">
        <v>55</v>
      </c>
      <c r="B540" s="26" t="s">
        <v>56</v>
      </c>
      <c r="C540" s="26" t="s">
        <v>57</v>
      </c>
      <c r="D540" s="26" t="s">
        <v>81</v>
      </c>
      <c r="E540" s="27" t="s">
        <v>1885</v>
      </c>
      <c r="F540" s="28" t="s">
        <v>1886</v>
      </c>
      <c r="G540" s="29">
        <v>45081.0</v>
      </c>
      <c r="H540" s="30">
        <v>45081.0</v>
      </c>
      <c r="I540" s="30">
        <v>45446.0</v>
      </c>
      <c r="J540" s="31">
        <v>0.0</v>
      </c>
      <c r="K540" s="26" t="s">
        <v>420</v>
      </c>
      <c r="L540" s="73" t="s">
        <v>75</v>
      </c>
      <c r="M540" s="33">
        <v>16674.88</v>
      </c>
      <c r="N540" s="34">
        <v>17799.69</v>
      </c>
      <c r="O540" s="27" t="s">
        <v>76</v>
      </c>
      <c r="P540" s="35" t="s">
        <v>104</v>
      </c>
      <c r="Q540" s="35" t="s">
        <v>90</v>
      </c>
      <c r="R540" s="36">
        <v>45081.0</v>
      </c>
      <c r="S540" s="35" t="s">
        <v>86</v>
      </c>
      <c r="T540" s="35">
        <v>0.0</v>
      </c>
      <c r="U540" s="37" t="s">
        <v>67</v>
      </c>
      <c r="V540" s="38"/>
      <c r="W540" s="38"/>
      <c r="X540" s="27"/>
      <c r="Y540" s="39"/>
      <c r="Z540" s="79" t="s">
        <v>407</v>
      </c>
      <c r="AA540" s="39"/>
      <c r="AB540" s="40"/>
      <c r="AC540" s="27">
        <f t="shared" si="398"/>
        <v>0</v>
      </c>
      <c r="AD540" s="41">
        <f t="shared" ref="AD540:AD542" si="404">IF(AND(S540="0",O540="Paid"),M540*15%,0)</f>
        <v>2501.232</v>
      </c>
      <c r="AE540" s="42"/>
      <c r="AF540" s="27"/>
      <c r="AG540" s="43">
        <f t="shared" si="399"/>
        <v>4277.10672</v>
      </c>
      <c r="AH540" s="29"/>
      <c r="AI540" s="29"/>
      <c r="AJ540" s="29"/>
      <c r="AK540" s="75"/>
      <c r="AL540" s="27"/>
      <c r="AM540" s="27"/>
      <c r="AN540" s="47"/>
      <c r="AO540" s="46"/>
      <c r="AP540" s="47"/>
      <c r="AQ540" s="43">
        <f t="shared" ref="AQ540:AQ544" si="405">IF(U540="Motor Plus",(M540*27%),IF(U540="Motor One",(M540*22%),(IF(U540="Golden",(M540*25%),(IF(U540="Classic",(M540*15%),(IF(U540="Wethaq",(M540*28%),IF(U540="Alwataniya",(M540*21%))*0))))))))</f>
        <v>4502.2176</v>
      </c>
      <c r="AR540" s="43">
        <f t="shared" si="2"/>
        <v>225.11088</v>
      </c>
      <c r="AS540" s="43">
        <f t="shared" si="3"/>
        <v>787.88808</v>
      </c>
      <c r="AT540" s="48">
        <f t="shared" si="4"/>
        <v>3489.21864</v>
      </c>
      <c r="AU540" s="49">
        <f t="shared" ref="AU540:AU546" si="406">AQ540-AR540-AS540-AC540</f>
        <v>3489.21864</v>
      </c>
      <c r="AV540" s="48"/>
      <c r="AW540" s="34">
        <f t="shared" si="341"/>
        <v>15298.458</v>
      </c>
      <c r="AX540" s="50">
        <f t="shared" si="248"/>
        <v>987.98664</v>
      </c>
      <c r="AY540" s="43"/>
      <c r="AZ540" s="27"/>
      <c r="BA540" s="48">
        <f t="shared" si="387"/>
        <v>3489.21864</v>
      </c>
      <c r="BB540" s="27"/>
      <c r="BC540" s="27"/>
      <c r="BD540" s="51"/>
      <c r="BE540" s="52"/>
      <c r="BF540" s="27" t="s">
        <v>1885</v>
      </c>
      <c r="BG540" s="58" t="s">
        <v>1887</v>
      </c>
      <c r="BH540" s="53" t="str">
        <f>'[1]2023'!Q331</f>
        <v>#REF!</v>
      </c>
      <c r="BI540" s="27"/>
      <c r="BJ540" s="27"/>
      <c r="BK540" s="27" t="s">
        <v>76</v>
      </c>
      <c r="BL540" s="27"/>
    </row>
    <row r="541" ht="14.25" customHeight="1">
      <c r="A541" s="26" t="s">
        <v>55</v>
      </c>
      <c r="B541" s="26" t="s">
        <v>56</v>
      </c>
      <c r="C541" s="26" t="s">
        <v>57</v>
      </c>
      <c r="D541" s="26" t="s">
        <v>81</v>
      </c>
      <c r="E541" s="27" t="s">
        <v>1888</v>
      </c>
      <c r="F541" s="28" t="s">
        <v>1889</v>
      </c>
      <c r="G541" s="29">
        <v>45081.0</v>
      </c>
      <c r="H541" s="30">
        <v>45081.0</v>
      </c>
      <c r="I541" s="30">
        <v>45446.0</v>
      </c>
      <c r="J541" s="31">
        <v>0.0</v>
      </c>
      <c r="K541" s="26" t="s">
        <v>420</v>
      </c>
      <c r="L541" s="32" t="s">
        <v>75</v>
      </c>
      <c r="M541" s="33">
        <v>23600.0</v>
      </c>
      <c r="N541" s="34">
        <v>25133.4</v>
      </c>
      <c r="O541" s="27" t="s">
        <v>76</v>
      </c>
      <c r="P541" s="35" t="s">
        <v>122</v>
      </c>
      <c r="Q541" s="35" t="s">
        <v>90</v>
      </c>
      <c r="R541" s="36">
        <v>45081.0</v>
      </c>
      <c r="S541" s="35" t="s">
        <v>86</v>
      </c>
      <c r="T541" s="35">
        <v>0.0</v>
      </c>
      <c r="U541" s="37" t="s">
        <v>67</v>
      </c>
      <c r="V541" s="38"/>
      <c r="W541" s="38"/>
      <c r="X541" s="27"/>
      <c r="Y541" s="39"/>
      <c r="Z541" s="79" t="s">
        <v>407</v>
      </c>
      <c r="AA541" s="39"/>
      <c r="AB541" s="40"/>
      <c r="AC541" s="27">
        <f t="shared" si="398"/>
        <v>0</v>
      </c>
      <c r="AD541" s="41">
        <f t="shared" si="404"/>
        <v>3540</v>
      </c>
      <c r="AE541" s="42"/>
      <c r="AF541" s="27"/>
      <c r="AG541" s="43">
        <f t="shared" si="399"/>
        <v>6053.4</v>
      </c>
      <c r="AH541" s="29"/>
      <c r="AI541" s="29"/>
      <c r="AJ541" s="29"/>
      <c r="AK541" s="75"/>
      <c r="AL541" s="27"/>
      <c r="AM541" s="44"/>
      <c r="AN541" s="68"/>
      <c r="AO541" s="46"/>
      <c r="AP541" s="47"/>
      <c r="AQ541" s="43">
        <f t="shared" si="405"/>
        <v>6372</v>
      </c>
      <c r="AR541" s="43">
        <f t="shared" si="2"/>
        <v>318.6</v>
      </c>
      <c r="AS541" s="43">
        <f t="shared" si="3"/>
        <v>1115.1</v>
      </c>
      <c r="AT541" s="48">
        <f t="shared" si="4"/>
        <v>4938.3</v>
      </c>
      <c r="AU541" s="49">
        <f t="shared" si="406"/>
        <v>4938.3</v>
      </c>
      <c r="AV541" s="48"/>
      <c r="AW541" s="34">
        <f t="shared" si="341"/>
        <v>21593.4</v>
      </c>
      <c r="AX541" s="50">
        <f t="shared" si="248"/>
        <v>1398.3</v>
      </c>
      <c r="AY541" s="43"/>
      <c r="AZ541" s="27"/>
      <c r="BA541" s="48">
        <f t="shared" si="387"/>
        <v>4938.3</v>
      </c>
      <c r="BB541" s="27"/>
      <c r="BC541" s="27"/>
      <c r="BD541" s="51"/>
      <c r="BE541" s="52"/>
      <c r="BF541" s="27" t="s">
        <v>1888</v>
      </c>
      <c r="BG541" s="53">
        <v>0.0</v>
      </c>
      <c r="BH541" s="53" t="str">
        <f>'[1]2023'!Q451</f>
        <v>#REF!</v>
      </c>
      <c r="BI541" s="27"/>
      <c r="BJ541" s="27"/>
      <c r="BK541" s="27" t="s">
        <v>76</v>
      </c>
      <c r="BL541" s="27"/>
    </row>
    <row r="542" ht="14.25" customHeight="1">
      <c r="A542" s="26" t="s">
        <v>111</v>
      </c>
      <c r="B542" s="26" t="s">
        <v>56</v>
      </c>
      <c r="C542" s="26" t="s">
        <v>57</v>
      </c>
      <c r="D542" s="26" t="s">
        <v>71</v>
      </c>
      <c r="E542" s="27" t="s">
        <v>1890</v>
      </c>
      <c r="F542" s="28" t="s">
        <v>1891</v>
      </c>
      <c r="G542" s="29">
        <v>45081.0</v>
      </c>
      <c r="H542" s="30">
        <v>45081.0</v>
      </c>
      <c r="I542" s="30">
        <v>45446.0</v>
      </c>
      <c r="J542" s="31" t="s">
        <v>1892</v>
      </c>
      <c r="K542" s="26" t="s">
        <v>420</v>
      </c>
      <c r="L542" s="32" t="s">
        <v>75</v>
      </c>
      <c r="M542" s="33">
        <v>14489.33</v>
      </c>
      <c r="N542" s="34">
        <v>15600.0</v>
      </c>
      <c r="O542" s="27" t="s">
        <v>76</v>
      </c>
      <c r="P542" s="35" t="s">
        <v>89</v>
      </c>
      <c r="Q542" s="35" t="s">
        <v>114</v>
      </c>
      <c r="R542" s="36">
        <v>45090.0</v>
      </c>
      <c r="S542" s="35" t="s">
        <v>66</v>
      </c>
      <c r="T542" s="35">
        <v>0.0</v>
      </c>
      <c r="U542" s="37" t="s">
        <v>115</v>
      </c>
      <c r="V542" s="38">
        <v>600000.0</v>
      </c>
      <c r="W542" s="38"/>
      <c r="X542" s="27"/>
      <c r="Y542" s="39"/>
      <c r="Z542" s="79" t="s">
        <v>900</v>
      </c>
      <c r="AA542" s="39"/>
      <c r="AB542" s="40"/>
      <c r="AC542" s="27">
        <f t="shared" si="398"/>
        <v>0</v>
      </c>
      <c r="AD542" s="41">
        <f t="shared" si="404"/>
        <v>0</v>
      </c>
      <c r="AE542" s="42"/>
      <c r="AF542" s="27"/>
      <c r="AG542" s="43">
        <f>IF(O542="Paid",IF(A542="Alwataniya",(M542*21%)-((M542*21%)*5%),IF((A542="GIG"),(M542*25%)-((M542*25%)*5%),IF((A542="Allianz"),(M542*27%)-((M542*27%)*20%),0))),0)</f>
        <v>3441.215875</v>
      </c>
      <c r="AH542" s="29" t="s">
        <v>75</v>
      </c>
      <c r="AI542" s="61" t="s">
        <v>75</v>
      </c>
      <c r="AJ542" s="40"/>
      <c r="AK542" s="62" t="s">
        <v>63</v>
      </c>
      <c r="AL542" s="27"/>
      <c r="AM542" s="138">
        <f>((M542*25%)-((M542*25%)*22.5%))*30%</f>
        <v>842.1923063</v>
      </c>
      <c r="AN542" s="120" t="s">
        <v>1038</v>
      </c>
      <c r="AO542" s="46"/>
      <c r="AP542" s="47"/>
      <c r="AQ542" s="43">
        <f t="shared" si="405"/>
        <v>3622.3325</v>
      </c>
      <c r="AR542" s="43">
        <f t="shared" si="2"/>
        <v>181.116625</v>
      </c>
      <c r="AS542" s="43">
        <f t="shared" si="3"/>
        <v>633.9081875</v>
      </c>
      <c r="AT542" s="48">
        <f t="shared" si="4"/>
        <v>2807.307688</v>
      </c>
      <c r="AU542" s="49">
        <f t="shared" si="406"/>
        <v>2807.307688</v>
      </c>
      <c r="AV542" s="48"/>
      <c r="AW542" s="34">
        <f t="shared" si="341"/>
        <v>15600</v>
      </c>
      <c r="AX542" s="50">
        <f t="shared" si="248"/>
        <v>1965.115381</v>
      </c>
      <c r="AY542" s="43"/>
      <c r="AZ542" s="27"/>
      <c r="BA542" s="48">
        <f t="shared" si="387"/>
        <v>1965.115381</v>
      </c>
      <c r="BB542" s="27"/>
      <c r="BC542" s="27"/>
      <c r="BD542" s="51"/>
      <c r="BE542" s="52" t="s">
        <v>440</v>
      </c>
      <c r="BF542" s="77" t="s">
        <v>1890</v>
      </c>
      <c r="BG542" s="53">
        <v>0.0</v>
      </c>
      <c r="BH542" s="53" t="str">
        <f t="shared" ref="BH542:BH543" si="407">'[1]2023'!Q455</f>
        <v>#REF!</v>
      </c>
      <c r="BI542" s="27"/>
      <c r="BJ542" s="27"/>
      <c r="BK542" s="27" t="s">
        <v>76</v>
      </c>
      <c r="BL542" s="27"/>
    </row>
    <row r="543" ht="14.25" customHeight="1">
      <c r="A543" s="26" t="s">
        <v>111</v>
      </c>
      <c r="B543" s="26" t="s">
        <v>56</v>
      </c>
      <c r="C543" s="26" t="s">
        <v>57</v>
      </c>
      <c r="D543" s="26" t="s">
        <v>71</v>
      </c>
      <c r="E543" s="27" t="s">
        <v>1893</v>
      </c>
      <c r="F543" s="28" t="s">
        <v>1894</v>
      </c>
      <c r="G543" s="29">
        <v>45081.0</v>
      </c>
      <c r="H543" s="30">
        <v>45081.0</v>
      </c>
      <c r="I543" s="30">
        <v>45446.0</v>
      </c>
      <c r="J543" s="31" t="s">
        <v>1895</v>
      </c>
      <c r="K543" s="26" t="s">
        <v>420</v>
      </c>
      <c r="L543" s="32" t="s">
        <v>75</v>
      </c>
      <c r="M543" s="33">
        <v>22298.58</v>
      </c>
      <c r="N543" s="34">
        <v>23870.0</v>
      </c>
      <c r="O543" s="27" t="s">
        <v>76</v>
      </c>
      <c r="P543" s="35" t="s">
        <v>509</v>
      </c>
      <c r="Q543" s="35" t="s">
        <v>114</v>
      </c>
      <c r="R543" s="36">
        <v>45090.0</v>
      </c>
      <c r="S543" s="35" t="s">
        <v>66</v>
      </c>
      <c r="T543" s="35">
        <v>0.0</v>
      </c>
      <c r="U543" s="37" t="s">
        <v>149</v>
      </c>
      <c r="V543" s="38">
        <v>1100000.0</v>
      </c>
      <c r="W543" s="38"/>
      <c r="X543" s="27"/>
      <c r="Y543" s="39"/>
      <c r="Z543" s="79" t="s">
        <v>1260</v>
      </c>
      <c r="AA543" s="39"/>
      <c r="AB543" s="145">
        <v>0.1</v>
      </c>
      <c r="AC543" s="27">
        <v>2200.0</v>
      </c>
      <c r="AD543" s="41">
        <f>IF(AND(S543="0",O543="Paid"),(M543*15%)-AC543,0)</f>
        <v>0</v>
      </c>
      <c r="AE543" s="157"/>
      <c r="AF543" s="27"/>
      <c r="AG543" s="43">
        <f>IF(AND(O543="Paid",A543="GIG"),((M543*15%)-(((M543*15%)*5%))),0)</f>
        <v>3177.54765</v>
      </c>
      <c r="AH543" s="29" t="s">
        <v>951</v>
      </c>
      <c r="AI543" s="61" t="s">
        <v>75</v>
      </c>
      <c r="AJ543" s="40"/>
      <c r="AK543" s="62" t="s">
        <v>63</v>
      </c>
      <c r="AL543" s="27"/>
      <c r="AM543" s="138">
        <v>0.0</v>
      </c>
      <c r="AN543" s="45" t="s">
        <v>75</v>
      </c>
      <c r="AO543" s="46"/>
      <c r="AP543" s="47"/>
      <c r="AQ543" s="43">
        <f t="shared" si="405"/>
        <v>3344.787</v>
      </c>
      <c r="AR543" s="43">
        <f t="shared" si="2"/>
        <v>167.23935</v>
      </c>
      <c r="AS543" s="43">
        <f t="shared" si="3"/>
        <v>585.337725</v>
      </c>
      <c r="AT543" s="48">
        <f t="shared" si="4"/>
        <v>2592.209925</v>
      </c>
      <c r="AU543" s="49">
        <f t="shared" si="406"/>
        <v>392.209925</v>
      </c>
      <c r="AV543" s="48"/>
      <c r="AW543" s="34">
        <f t="shared" si="341"/>
        <v>21670</v>
      </c>
      <c r="AX543" s="50">
        <f t="shared" si="248"/>
        <v>2592.209925</v>
      </c>
      <c r="AY543" s="43"/>
      <c r="AZ543" s="27"/>
      <c r="BA543" s="48">
        <f t="shared" si="387"/>
        <v>392.209925</v>
      </c>
      <c r="BB543" s="27"/>
      <c r="BC543" s="27"/>
      <c r="BD543" s="51"/>
      <c r="BE543" s="52" t="s">
        <v>440</v>
      </c>
      <c r="BF543" s="27" t="s">
        <v>1027</v>
      </c>
      <c r="BG543" s="53">
        <v>0.0</v>
      </c>
      <c r="BH543" s="53" t="str">
        <f t="shared" si="407"/>
        <v>#REF!</v>
      </c>
      <c r="BI543" s="27"/>
      <c r="BJ543" s="27"/>
      <c r="BK543" s="27" t="s">
        <v>76</v>
      </c>
      <c r="BL543" s="64" t="s">
        <v>1896</v>
      </c>
    </row>
    <row r="544" ht="14.25" customHeight="1">
      <c r="A544" s="26" t="s">
        <v>55</v>
      </c>
      <c r="B544" s="26" t="s">
        <v>56</v>
      </c>
      <c r="C544" s="26" t="s">
        <v>57</v>
      </c>
      <c r="D544" s="26" t="s">
        <v>81</v>
      </c>
      <c r="E544" s="27" t="s">
        <v>1897</v>
      </c>
      <c r="F544" s="26" t="s">
        <v>1898</v>
      </c>
      <c r="G544" s="29">
        <v>45081.0</v>
      </c>
      <c r="H544" s="30">
        <v>45081.0</v>
      </c>
      <c r="I544" s="30">
        <v>45446.0</v>
      </c>
      <c r="J544" s="31">
        <v>0.0</v>
      </c>
      <c r="K544" s="26" t="s">
        <v>420</v>
      </c>
      <c r="L544" s="32" t="s">
        <v>75</v>
      </c>
      <c r="M544" s="33">
        <v>13275.0</v>
      </c>
      <c r="N544" s="34">
        <v>14199.23</v>
      </c>
      <c r="O544" s="27" t="s">
        <v>76</v>
      </c>
      <c r="P544" s="35" t="s">
        <v>89</v>
      </c>
      <c r="Q544" s="35" t="s">
        <v>65</v>
      </c>
      <c r="R544" s="36">
        <v>45081.0</v>
      </c>
      <c r="S544" s="35" t="s">
        <v>86</v>
      </c>
      <c r="T544" s="35">
        <v>0.0</v>
      </c>
      <c r="U544" s="37" t="s">
        <v>67</v>
      </c>
      <c r="V544" s="38"/>
      <c r="W544" s="38"/>
      <c r="X544" s="27"/>
      <c r="Y544" s="39"/>
      <c r="Z544" s="39"/>
      <c r="AA544" s="39"/>
      <c r="AB544" s="40"/>
      <c r="AC544" s="27">
        <f t="shared" ref="AC544:AC600" si="408">M544*AB544</f>
        <v>0</v>
      </c>
      <c r="AD544" s="41"/>
      <c r="AE544" s="42"/>
      <c r="AF544" s="27"/>
      <c r="AG544" s="43">
        <f>IF(O544="Paid",IF(A544="Alwataniya",(M544*21%)-((M544*21%)*5%),IF((A544="GIG"),(M544*25%)-((M544*25%)*5%),IF((A544="Allianz"),(M544*27%)-((M544*27%)*5%),0))),0)</f>
        <v>3405.0375</v>
      </c>
      <c r="AH544" s="29"/>
      <c r="AI544" s="29"/>
      <c r="AJ544" s="29"/>
      <c r="AK544" s="29"/>
      <c r="AL544" s="27"/>
      <c r="AM544" s="44"/>
      <c r="AN544" s="115"/>
      <c r="AO544" s="46"/>
      <c r="AP544" s="47"/>
      <c r="AQ544" s="43">
        <f t="shared" si="405"/>
        <v>3584.25</v>
      </c>
      <c r="AR544" s="43">
        <f t="shared" si="2"/>
        <v>179.2125</v>
      </c>
      <c r="AS544" s="43">
        <f t="shared" si="3"/>
        <v>627.24375</v>
      </c>
      <c r="AT544" s="48">
        <f t="shared" si="4"/>
        <v>2777.79375</v>
      </c>
      <c r="AU544" s="49">
        <f t="shared" si="406"/>
        <v>2777.79375</v>
      </c>
      <c r="AV544" s="48"/>
      <c r="AW544" s="34">
        <f t="shared" si="341"/>
        <v>14199.23</v>
      </c>
      <c r="AX544" s="50">
        <f t="shared" si="248"/>
        <v>2777.79375</v>
      </c>
      <c r="AY544" s="43"/>
      <c r="AZ544" s="27"/>
      <c r="BA544" s="48">
        <f t="shared" si="387"/>
        <v>2777.79375</v>
      </c>
      <c r="BB544" s="27"/>
      <c r="BC544" s="27"/>
      <c r="BD544" s="51"/>
      <c r="BE544" s="52"/>
      <c r="BF544" s="27" t="s">
        <v>1897</v>
      </c>
      <c r="BG544" s="53">
        <v>0.0</v>
      </c>
      <c r="BH544" s="53" t="str">
        <f>'[1]2023'!Q461</f>
        <v>#REF!</v>
      </c>
      <c r="BI544" s="27"/>
      <c r="BJ544" s="27"/>
      <c r="BK544" s="27" t="s">
        <v>76</v>
      </c>
      <c r="BL544" s="27"/>
    </row>
    <row r="545" ht="14.25" customHeight="1">
      <c r="A545" s="26" t="s">
        <v>68</v>
      </c>
      <c r="B545" s="26" t="s">
        <v>56</v>
      </c>
      <c r="C545" s="26" t="s">
        <v>57</v>
      </c>
      <c r="D545" s="26" t="s">
        <v>71</v>
      </c>
      <c r="E545" s="27" t="s">
        <v>1899</v>
      </c>
      <c r="F545" s="28" t="s">
        <v>1900</v>
      </c>
      <c r="G545" s="29">
        <v>45081.0</v>
      </c>
      <c r="H545" s="30">
        <v>45081.0</v>
      </c>
      <c r="I545" s="30">
        <v>45446.0</v>
      </c>
      <c r="J545" s="31" t="s">
        <v>1901</v>
      </c>
      <c r="K545" s="26" t="s">
        <v>420</v>
      </c>
      <c r="L545" s="102">
        <v>45069.0</v>
      </c>
      <c r="M545" s="33">
        <v>14710.16</v>
      </c>
      <c r="N545" s="34">
        <v>15750.0</v>
      </c>
      <c r="O545" s="27" t="s">
        <v>76</v>
      </c>
      <c r="P545" s="35" t="s">
        <v>162</v>
      </c>
      <c r="Q545" s="35">
        <v>0.0</v>
      </c>
      <c r="R545" s="36">
        <v>45100.0</v>
      </c>
      <c r="S545" s="35" t="s">
        <v>78</v>
      </c>
      <c r="T545" s="54" t="s">
        <v>510</v>
      </c>
      <c r="U545" s="37" t="s">
        <v>68</v>
      </c>
      <c r="V545" s="38">
        <v>700000.0</v>
      </c>
      <c r="W545" s="38"/>
      <c r="X545" s="27"/>
      <c r="Y545" s="39"/>
      <c r="Z545" s="79" t="s">
        <v>1902</v>
      </c>
      <c r="AA545" s="39"/>
      <c r="AB545" s="40"/>
      <c r="AC545" s="27">
        <f t="shared" si="408"/>
        <v>0</v>
      </c>
      <c r="AD545" s="41"/>
      <c r="AE545" s="42"/>
      <c r="AF545" s="27"/>
      <c r="AG545" s="43">
        <f>IF(O545="Paid",IF(A545="Wethaq",(M545*24%)-((M545*24%)*5%)))</f>
        <v>3353.91648</v>
      </c>
      <c r="AH545" s="29" t="s">
        <v>75</v>
      </c>
      <c r="AI545" s="29">
        <v>45266.0</v>
      </c>
      <c r="AJ545" s="97">
        <v>0.24</v>
      </c>
      <c r="AK545" s="29">
        <v>45052.0</v>
      </c>
      <c r="AL545" s="43"/>
      <c r="AM545" s="27"/>
      <c r="AN545" s="56"/>
      <c r="AO545" s="95">
        <f>M545*AJ545-((M545*AJ545)*22.5%)</f>
        <v>2736.08976</v>
      </c>
      <c r="AP545" s="47" t="s">
        <v>850</v>
      </c>
      <c r="AQ545" s="43">
        <f>M545*AJ545</f>
        <v>3530.4384</v>
      </c>
      <c r="AR545" s="43">
        <f t="shared" si="2"/>
        <v>176.52192</v>
      </c>
      <c r="AS545" s="43">
        <f t="shared" si="3"/>
        <v>617.82672</v>
      </c>
      <c r="AT545" s="48">
        <f t="shared" si="4"/>
        <v>2736.08976</v>
      </c>
      <c r="AU545" s="49">
        <f t="shared" si="406"/>
        <v>2736.08976</v>
      </c>
      <c r="AV545" s="48"/>
      <c r="AW545" s="34">
        <f t="shared" si="341"/>
        <v>15750</v>
      </c>
      <c r="AX545" s="50">
        <f t="shared" si="248"/>
        <v>0</v>
      </c>
      <c r="AY545" s="107"/>
      <c r="AZ545" s="43">
        <f>IF(AJ545&lt;28%,M545*(28%-AJ545)-((M545*(28%-AJ545))*5%),0)</f>
        <v>558.98608</v>
      </c>
      <c r="BA545" s="48" t="str">
        <f>IF(S545&lt;&gt;0,AU545-#REF!-AM545,(AG545-AD545-AE545-AS545))</f>
        <v>#REF!</v>
      </c>
      <c r="BB545" s="27"/>
      <c r="BC545" s="27"/>
      <c r="BD545" s="51"/>
      <c r="BE545" s="52"/>
      <c r="BF545" s="27" t="s">
        <v>1899</v>
      </c>
      <c r="BG545" s="58" t="s">
        <v>1903</v>
      </c>
      <c r="BH545" s="53" t="str">
        <f>'[1]2023'!Q463</f>
        <v>#REF!</v>
      </c>
      <c r="BI545" s="27"/>
      <c r="BJ545" s="27"/>
      <c r="BK545" s="27" t="s">
        <v>76</v>
      </c>
      <c r="BL545" s="27"/>
    </row>
    <row r="546" ht="14.25" customHeight="1">
      <c r="A546" s="26" t="s">
        <v>68</v>
      </c>
      <c r="B546" s="26" t="s">
        <v>56</v>
      </c>
      <c r="C546" s="26" t="s">
        <v>57</v>
      </c>
      <c r="D546" s="26" t="s">
        <v>71</v>
      </c>
      <c r="E546" s="27" t="s">
        <v>1904</v>
      </c>
      <c r="F546" s="28" t="s">
        <v>1905</v>
      </c>
      <c r="G546" s="29">
        <v>45081.0</v>
      </c>
      <c r="H546" s="30">
        <v>45081.0</v>
      </c>
      <c r="I546" s="30">
        <v>45446.0</v>
      </c>
      <c r="J546" s="31">
        <v>0.0</v>
      </c>
      <c r="K546" s="26" t="s">
        <v>420</v>
      </c>
      <c r="L546" s="73" t="s">
        <v>63</v>
      </c>
      <c r="M546" s="33">
        <v>14710.16</v>
      </c>
      <c r="N546" s="34">
        <v>15750.0</v>
      </c>
      <c r="O546" s="27" t="s">
        <v>64</v>
      </c>
      <c r="P546" s="35">
        <v>0.0</v>
      </c>
      <c r="Q546" s="35">
        <v>0.0</v>
      </c>
      <c r="R546" s="36">
        <v>45100.0</v>
      </c>
      <c r="S546" s="35" t="s">
        <v>78</v>
      </c>
      <c r="T546" s="54" t="s">
        <v>510</v>
      </c>
      <c r="U546" s="37">
        <v>0.0</v>
      </c>
      <c r="V546" s="38">
        <v>700000.0</v>
      </c>
      <c r="W546" s="38"/>
      <c r="X546" s="27"/>
      <c r="Y546" s="39"/>
      <c r="Z546" s="79" t="s">
        <v>1906</v>
      </c>
      <c r="AA546" s="39"/>
      <c r="AB546" s="40"/>
      <c r="AC546" s="27">
        <f t="shared" si="408"/>
        <v>0</v>
      </c>
      <c r="AD546" s="41">
        <f t="shared" ref="AD546:AD548" si="409">IF(AND(S546="0",O546="Paid"),(M546*15%)-AC546,0)</f>
        <v>0</v>
      </c>
      <c r="AE546" s="42"/>
      <c r="AF546" s="27"/>
      <c r="AG546" s="43">
        <f>IF(O546="Paid",IF(A546="Alwataniya",(M546*21%)-((M546*21%)*5%),IF((A546="GIG"),(M546*25%)-((M546*25%)*5%),IF((A546="Allianz"),(M546*27%)-((M546*27%)*20%),0))),0)</f>
        <v>0</v>
      </c>
      <c r="AH546" s="29"/>
      <c r="AI546" s="29"/>
      <c r="AJ546" s="29"/>
      <c r="AK546" s="29"/>
      <c r="AL546" s="27"/>
      <c r="AM546" s="44"/>
      <c r="AN546" s="95"/>
      <c r="AO546" s="46"/>
      <c r="AP546" s="47"/>
      <c r="AQ546" s="43" t="b">
        <f>IF(O546="Paid",IF(U546="Motor Plus",(M546*27%),IF(U546="Motor One",(M546*22%),(IF(U546="Golden",(M546*25%),(IF(U546="Classic",(M546*15%),(IF(U546="Wethaq",(M546*28%),IF(U546="Alwataniya",(M546*21%))*0)))))))))</f>
        <v>0</v>
      </c>
      <c r="AR546" s="43">
        <f t="shared" si="2"/>
        <v>0</v>
      </c>
      <c r="AS546" s="43">
        <f t="shared" si="3"/>
        <v>0</v>
      </c>
      <c r="AT546" s="48">
        <f t="shared" si="4"/>
        <v>0</v>
      </c>
      <c r="AU546" s="49">
        <f t="shared" si="406"/>
        <v>0</v>
      </c>
      <c r="AV546" s="48"/>
      <c r="AW546" s="34">
        <f t="shared" si="341"/>
        <v>15750</v>
      </c>
      <c r="AX546" s="50">
        <f t="shared" si="248"/>
        <v>0</v>
      </c>
      <c r="AY546" s="43"/>
      <c r="AZ546" s="43"/>
      <c r="BA546" s="48">
        <f t="shared" ref="BA546:BA576" si="410">IF(S546&lt;&gt;0,AU546-AO546-AM546,(AG546-AD546-AE546-AS546))</f>
        <v>0</v>
      </c>
      <c r="BB546" s="27"/>
      <c r="BC546" s="27"/>
      <c r="BD546" s="51"/>
      <c r="BE546" s="52"/>
      <c r="BF546" s="27" t="s">
        <v>1904</v>
      </c>
      <c r="BG546" s="53">
        <v>0.0</v>
      </c>
      <c r="BH546" s="53" t="str">
        <f>'[1]2023'!Q465</f>
        <v>#REF!</v>
      </c>
      <c r="BI546" s="27"/>
      <c r="BJ546" s="27"/>
      <c r="BK546" s="27" t="s">
        <v>64</v>
      </c>
      <c r="BL546" s="27"/>
    </row>
    <row r="547" ht="14.25" customHeight="1">
      <c r="A547" s="26" t="s">
        <v>111</v>
      </c>
      <c r="B547" s="26" t="s">
        <v>56</v>
      </c>
      <c r="C547" s="26" t="s">
        <v>57</v>
      </c>
      <c r="D547" s="26" t="s">
        <v>58</v>
      </c>
      <c r="E547" s="27" t="s">
        <v>1907</v>
      </c>
      <c r="F547" s="28" t="s">
        <v>1908</v>
      </c>
      <c r="G547" s="29">
        <v>45081.629166666666</v>
      </c>
      <c r="H547" s="30">
        <v>45081.629166666666</v>
      </c>
      <c r="I547" s="30">
        <v>45446.629166666666</v>
      </c>
      <c r="J547" s="31">
        <v>0.0</v>
      </c>
      <c r="K547" s="26" t="s">
        <v>420</v>
      </c>
      <c r="L547" s="32" t="s">
        <v>63</v>
      </c>
      <c r="M547" s="33" t="s">
        <v>63</v>
      </c>
      <c r="N547" s="116" t="s">
        <v>63</v>
      </c>
      <c r="O547" s="27" t="s">
        <v>76</v>
      </c>
      <c r="P547" s="35">
        <v>0.0</v>
      </c>
      <c r="Q547" s="35">
        <v>0.0</v>
      </c>
      <c r="R547" s="36">
        <v>90516.62847222222</v>
      </c>
      <c r="S547" s="35" t="s">
        <v>86</v>
      </c>
      <c r="T547" s="35">
        <v>0.0</v>
      </c>
      <c r="U547" s="37">
        <v>0.0</v>
      </c>
      <c r="V547" s="38"/>
      <c r="W547" s="78"/>
      <c r="X547" s="27"/>
      <c r="Y547" s="39"/>
      <c r="Z547" s="39"/>
      <c r="AA547" s="39"/>
      <c r="AB547" s="27"/>
      <c r="AC547" s="27" t="str">
        <f t="shared" si="408"/>
        <v>#VALUE!</v>
      </c>
      <c r="AD547" s="41" t="str">
        <f t="shared" si="409"/>
        <v>#VALUE!</v>
      </c>
      <c r="AE547" s="42"/>
      <c r="AF547" s="27"/>
      <c r="AG547" s="117" t="s">
        <v>63</v>
      </c>
      <c r="AH547" s="117" t="s">
        <v>63</v>
      </c>
      <c r="AI547" s="117" t="s">
        <v>63</v>
      </c>
      <c r="AJ547" s="29"/>
      <c r="AK547" s="75" t="s">
        <v>63</v>
      </c>
      <c r="AL547" s="27"/>
      <c r="AM547" s="44"/>
      <c r="AN547" s="68"/>
      <c r="AO547" s="46"/>
      <c r="AP547" s="47"/>
      <c r="AQ547" s="43">
        <f>IF(U547="Motor Plus",(M547*27%),IF(U547="Motor One",(M547*22%),(IF(U547="Golden",(M547*25%),(IF(U547="Classic",(M547*15%),(IF(U547="Wethaq",(M547*28%),IF(U547="Alwataniya",(M547*21%))*0))))))))</f>
        <v>0</v>
      </c>
      <c r="AR547" s="43">
        <f t="shared" si="2"/>
        <v>0</v>
      </c>
      <c r="AS547" s="43">
        <f t="shared" si="3"/>
        <v>0</v>
      </c>
      <c r="AT547" s="48">
        <f t="shared" si="4"/>
        <v>0</v>
      </c>
      <c r="AU547" s="49" t="str">
        <f>AQ547-AR547-AS547-AC547-AO547</f>
        <v>#VALUE!</v>
      </c>
      <c r="AV547" s="48"/>
      <c r="AW547" s="27" t="str">
        <f t="shared" si="341"/>
        <v>#VALUE!</v>
      </c>
      <c r="AX547" s="50"/>
      <c r="AY547" s="43"/>
      <c r="AZ547" s="47"/>
      <c r="BA547" s="48" t="str">
        <f t="shared" si="410"/>
        <v>#VALUE!</v>
      </c>
      <c r="BB547" s="27"/>
      <c r="BC547" s="27"/>
      <c r="BD547" s="51"/>
      <c r="BE547" s="52"/>
      <c r="BF547" s="27"/>
      <c r="BG547" s="53">
        <v>0.0</v>
      </c>
      <c r="BH547" s="53" t="str">
        <f>'[1]2023'!Q1356</f>
        <v>#REF!</v>
      </c>
      <c r="BI547" s="27"/>
      <c r="BJ547" s="27"/>
      <c r="BK547" s="27" t="s">
        <v>76</v>
      </c>
      <c r="BL547" s="27"/>
    </row>
    <row r="548" ht="14.25" customHeight="1">
      <c r="A548" s="26" t="s">
        <v>55</v>
      </c>
      <c r="B548" s="26" t="s">
        <v>56</v>
      </c>
      <c r="C548" s="26" t="s">
        <v>57</v>
      </c>
      <c r="D548" s="26" t="s">
        <v>81</v>
      </c>
      <c r="E548" s="27" t="s">
        <v>1909</v>
      </c>
      <c r="F548" s="28" t="s">
        <v>1910</v>
      </c>
      <c r="G548" s="29">
        <v>45082.0</v>
      </c>
      <c r="H548" s="30">
        <v>45082.0</v>
      </c>
      <c r="I548" s="30">
        <v>45447.0</v>
      </c>
      <c r="J548" s="31">
        <v>0.0</v>
      </c>
      <c r="K548" s="26" t="s">
        <v>427</v>
      </c>
      <c r="L548" s="32" t="s">
        <v>63</v>
      </c>
      <c r="M548" s="33">
        <v>0.0</v>
      </c>
      <c r="N548" s="34">
        <v>0.0</v>
      </c>
      <c r="O548" s="27" t="s">
        <v>64</v>
      </c>
      <c r="P548" s="35">
        <v>0.0</v>
      </c>
      <c r="Q548" s="35" t="s">
        <v>108</v>
      </c>
      <c r="R548" s="36">
        <v>45082.0</v>
      </c>
      <c r="S548" s="35" t="s">
        <v>86</v>
      </c>
      <c r="T548" s="35">
        <v>0.0</v>
      </c>
      <c r="U548" s="37" t="s">
        <v>67</v>
      </c>
      <c r="V548" s="38"/>
      <c r="W548" s="38"/>
      <c r="X548" s="27"/>
      <c r="Y548" s="39"/>
      <c r="Z548" s="39"/>
      <c r="AA548" s="39"/>
      <c r="AB548" s="40"/>
      <c r="AC548" s="27">
        <f t="shared" si="408"/>
        <v>0</v>
      </c>
      <c r="AD548" s="41">
        <f t="shared" si="409"/>
        <v>0</v>
      </c>
      <c r="AE548" s="42"/>
      <c r="AF548" s="27" t="s">
        <v>63</v>
      </c>
      <c r="AG548" s="43">
        <f t="shared" ref="AG548:AG562" si="411">IF(O548="Paid",IF(A548="Alwataniya",(M548*21%)-((M548*21%)*5%),IF((A548="GIG"),(M548*25%)-((M548*25%)*5%),IF((A548="Allianz"),(M548*27%)-((M548*27%)*5%),0))),0)</f>
        <v>0</v>
      </c>
      <c r="AH548" s="29"/>
      <c r="AI548" s="29"/>
      <c r="AJ548" s="29"/>
      <c r="AK548" s="29"/>
      <c r="AL548" s="27"/>
      <c r="AM548" s="27"/>
      <c r="AN548" s="93"/>
      <c r="AO548" s="46"/>
      <c r="AP548" s="47"/>
      <c r="AQ548" s="43" t="b">
        <f>IF(O548="Paid",IF(U548="Motor Plus",(M548*27%),IF(U548="Motor One",(M548*22%),(IF(U548="Golden",(M548*25%),(IF(U548="Classic",(M548*15%),(IF(U548="Wethaq",(M548*28%),IF(U548="Alwataniya",(M548*21%))*0)))))))))</f>
        <v>0</v>
      </c>
      <c r="AR548" s="43">
        <f t="shared" si="2"/>
        <v>0</v>
      </c>
      <c r="AS548" s="43">
        <f t="shared" si="3"/>
        <v>0</v>
      </c>
      <c r="AT548" s="48">
        <f t="shared" si="4"/>
        <v>0</v>
      </c>
      <c r="AU548" s="103">
        <f t="shared" ref="AU548:AU568" si="412">AQ548-AR548-AS548-AC548</f>
        <v>0</v>
      </c>
      <c r="AV548" s="48"/>
      <c r="AW548" s="34">
        <f t="shared" si="341"/>
        <v>0</v>
      </c>
      <c r="AX548" s="50">
        <f t="shared" ref="AX548:AX931" si="413">IF(O548="Paid",AG548-AS548-AM548-AO548-AD548-AE548-AV548-AL548,0)</f>
        <v>0</v>
      </c>
      <c r="AY548" s="43"/>
      <c r="AZ548" s="43"/>
      <c r="BA548" s="48">
        <f t="shared" si="410"/>
        <v>0</v>
      </c>
      <c r="BB548" s="27"/>
      <c r="BC548" s="27"/>
      <c r="BD548" s="51"/>
      <c r="BE548" s="52"/>
      <c r="BF548" s="27" t="s">
        <v>1909</v>
      </c>
      <c r="BG548" s="53">
        <v>0.0</v>
      </c>
      <c r="BH548" s="53" t="str">
        <f>'[1]2023'!Q512</f>
        <v>#REF!</v>
      </c>
      <c r="BI548" s="27"/>
      <c r="BJ548" s="27"/>
      <c r="BK548" s="27" t="s">
        <v>64</v>
      </c>
      <c r="BL548" s="27"/>
    </row>
    <row r="549" ht="14.25" customHeight="1">
      <c r="A549" s="26" t="s">
        <v>55</v>
      </c>
      <c r="B549" s="26" t="s">
        <v>56</v>
      </c>
      <c r="C549" s="26" t="s">
        <v>57</v>
      </c>
      <c r="D549" s="26" t="s">
        <v>81</v>
      </c>
      <c r="E549" s="27" t="s">
        <v>1911</v>
      </c>
      <c r="F549" s="28" t="s">
        <v>1912</v>
      </c>
      <c r="G549" s="29">
        <v>45082.0</v>
      </c>
      <c r="H549" s="30">
        <v>45082.0</v>
      </c>
      <c r="I549" s="30">
        <v>45447.0</v>
      </c>
      <c r="J549" s="31">
        <v>0.0</v>
      </c>
      <c r="K549" s="26" t="s">
        <v>427</v>
      </c>
      <c r="L549" s="32" t="s">
        <v>75</v>
      </c>
      <c r="M549" s="33">
        <v>22715.0</v>
      </c>
      <c r="N549" s="34">
        <v>24199.19</v>
      </c>
      <c r="O549" s="27" t="s">
        <v>76</v>
      </c>
      <c r="P549" s="35" t="s">
        <v>89</v>
      </c>
      <c r="Q549" s="35" t="s">
        <v>90</v>
      </c>
      <c r="R549" s="36">
        <v>45082.0</v>
      </c>
      <c r="S549" s="35" t="s">
        <v>86</v>
      </c>
      <c r="T549" s="35">
        <v>0.0</v>
      </c>
      <c r="U549" s="37" t="s">
        <v>67</v>
      </c>
      <c r="V549" s="38"/>
      <c r="W549" s="38"/>
      <c r="X549" s="27"/>
      <c r="Y549" s="39"/>
      <c r="Z549" s="79" t="s">
        <v>208</v>
      </c>
      <c r="AA549" s="39"/>
      <c r="AB549" s="40"/>
      <c r="AC549" s="27">
        <f t="shared" si="408"/>
        <v>0</v>
      </c>
      <c r="AD549" s="41">
        <f>IF(AND(S549="0",O549="Paid"),M549*15%,0)</f>
        <v>3407.25</v>
      </c>
      <c r="AE549" s="42"/>
      <c r="AF549" s="27"/>
      <c r="AG549" s="43">
        <f t="shared" si="411"/>
        <v>5826.3975</v>
      </c>
      <c r="AH549" s="29"/>
      <c r="AI549" s="29"/>
      <c r="AJ549" s="29"/>
      <c r="AK549" s="29"/>
      <c r="AL549" s="27"/>
      <c r="AM549" s="27"/>
      <c r="AN549" s="93"/>
      <c r="AO549" s="46"/>
      <c r="AP549" s="47"/>
      <c r="AQ549" s="43">
        <f>IF(U549="Motor Plus",(M549*27%),IF(U549="Motor One",(M549*22%),(IF(U549="Golden",(M549*25%),(IF(U549="Classic",(M549*15%),(IF(U549="Wethaq",(M549*28%),IF(U549="Alwataniya",(M549*21%))*0))))))))</f>
        <v>6133.05</v>
      </c>
      <c r="AR549" s="43">
        <f t="shared" si="2"/>
        <v>306.6525</v>
      </c>
      <c r="AS549" s="43">
        <f t="shared" si="3"/>
        <v>1073.28375</v>
      </c>
      <c r="AT549" s="48">
        <f t="shared" si="4"/>
        <v>4753.11375</v>
      </c>
      <c r="AU549" s="49">
        <f t="shared" si="412"/>
        <v>4753.11375</v>
      </c>
      <c r="AV549" s="48"/>
      <c r="AW549" s="34">
        <f t="shared" si="341"/>
        <v>20791.94</v>
      </c>
      <c r="AX549" s="50">
        <f t="shared" si="413"/>
        <v>1345.86375</v>
      </c>
      <c r="AY549" s="43"/>
      <c r="AZ549" s="43"/>
      <c r="BA549" s="48">
        <f t="shared" si="410"/>
        <v>4753.11375</v>
      </c>
      <c r="BB549" s="27"/>
      <c r="BC549" s="27"/>
      <c r="BD549" s="51"/>
      <c r="BE549" s="52"/>
      <c r="BF549" s="27" t="s">
        <v>1911</v>
      </c>
      <c r="BG549" s="53">
        <v>0.0</v>
      </c>
      <c r="BH549" s="53" t="str">
        <f>'[1]2023'!Q516</f>
        <v>#REF!</v>
      </c>
      <c r="BI549" s="27"/>
      <c r="BJ549" s="27"/>
      <c r="BK549" s="27" t="s">
        <v>76</v>
      </c>
      <c r="BL549" s="27"/>
    </row>
    <row r="550" ht="14.25" customHeight="1">
      <c r="A550" s="26" t="s">
        <v>55</v>
      </c>
      <c r="B550" s="26" t="s">
        <v>56</v>
      </c>
      <c r="C550" s="26" t="s">
        <v>57</v>
      </c>
      <c r="D550" s="26" t="s">
        <v>81</v>
      </c>
      <c r="E550" s="27" t="s">
        <v>1913</v>
      </c>
      <c r="F550" s="28" t="s">
        <v>1914</v>
      </c>
      <c r="G550" s="29">
        <v>45082.0</v>
      </c>
      <c r="H550" s="30">
        <v>45082.0</v>
      </c>
      <c r="I550" s="30">
        <v>45447.0</v>
      </c>
      <c r="J550" s="31">
        <v>0.0</v>
      </c>
      <c r="K550" s="26" t="s">
        <v>427</v>
      </c>
      <c r="L550" s="73" t="s">
        <v>63</v>
      </c>
      <c r="M550" s="33">
        <v>0.0</v>
      </c>
      <c r="N550" s="34">
        <v>0.0</v>
      </c>
      <c r="O550" s="27" t="s">
        <v>64</v>
      </c>
      <c r="P550" s="35">
        <v>0.0</v>
      </c>
      <c r="Q550" s="35">
        <v>0.0</v>
      </c>
      <c r="R550" s="36">
        <v>45082.0</v>
      </c>
      <c r="S550" s="35" t="s">
        <v>86</v>
      </c>
      <c r="T550" s="35">
        <v>0.0</v>
      </c>
      <c r="U550" s="37" t="s">
        <v>67</v>
      </c>
      <c r="V550" s="38"/>
      <c r="W550" s="38"/>
      <c r="X550" s="27"/>
      <c r="Y550" s="39"/>
      <c r="Z550" s="39"/>
      <c r="AA550" s="39"/>
      <c r="AB550" s="40"/>
      <c r="AC550" s="27">
        <f t="shared" si="408"/>
        <v>0</v>
      </c>
      <c r="AD550" s="41">
        <f>IF(AND(S550="0",O550="Paid"),(M550*15%)-AC550,0)</f>
        <v>0</v>
      </c>
      <c r="AE550" s="42"/>
      <c r="AF550" s="27"/>
      <c r="AG550" s="43">
        <f t="shared" si="411"/>
        <v>0</v>
      </c>
      <c r="AH550" s="29"/>
      <c r="AI550" s="29"/>
      <c r="AJ550" s="29"/>
      <c r="AK550" s="29"/>
      <c r="AL550" s="158"/>
      <c r="AM550" s="27"/>
      <c r="AN550" s="93"/>
      <c r="AO550" s="76"/>
      <c r="AP550" s="47"/>
      <c r="AQ550" s="43" t="b">
        <f>IF(O550="Paid",IF(U550="Motor Plus",(M550*27%),IF(U550="Motor One",(M550*22%),(IF(U550="Golden",(M550*25%),(IF(U550="Classic",(M550*15%),(IF(U550="Wethaq",(M550*28%),IF(U550="Alwataniya",(M550*21%))*0)))))))))</f>
        <v>0</v>
      </c>
      <c r="AR550" s="43">
        <f t="shared" si="2"/>
        <v>0</v>
      </c>
      <c r="AS550" s="43">
        <f t="shared" si="3"/>
        <v>0</v>
      </c>
      <c r="AT550" s="48">
        <f t="shared" si="4"/>
        <v>0</v>
      </c>
      <c r="AU550" s="49">
        <f t="shared" si="412"/>
        <v>0</v>
      </c>
      <c r="AV550" s="48"/>
      <c r="AW550" s="34">
        <f t="shared" si="341"/>
        <v>0</v>
      </c>
      <c r="AX550" s="50">
        <f t="shared" si="413"/>
        <v>0</v>
      </c>
      <c r="AY550" s="43"/>
      <c r="AZ550" s="43"/>
      <c r="BA550" s="48">
        <f t="shared" si="410"/>
        <v>0</v>
      </c>
      <c r="BB550" s="27"/>
      <c r="BC550" s="27"/>
      <c r="BD550" s="51"/>
      <c r="BE550" s="52"/>
      <c r="BF550" s="27" t="s">
        <v>1913</v>
      </c>
      <c r="BG550" s="53">
        <v>0.0</v>
      </c>
      <c r="BH550" s="53" t="str">
        <f>'[1]2023'!Q615</f>
        <v>#REF!</v>
      </c>
      <c r="BI550" s="27"/>
      <c r="BJ550" s="27"/>
      <c r="BK550" s="27" t="s">
        <v>64</v>
      </c>
      <c r="BL550" s="27"/>
    </row>
    <row r="551" ht="14.25" customHeight="1">
      <c r="A551" s="26" t="s">
        <v>55</v>
      </c>
      <c r="B551" s="26" t="s">
        <v>56</v>
      </c>
      <c r="C551" s="26" t="s">
        <v>57</v>
      </c>
      <c r="D551" s="26" t="s">
        <v>81</v>
      </c>
      <c r="E551" s="27" t="s">
        <v>1915</v>
      </c>
      <c r="F551" s="28" t="s">
        <v>1916</v>
      </c>
      <c r="G551" s="29">
        <v>45082.0</v>
      </c>
      <c r="H551" s="30">
        <v>45082.0</v>
      </c>
      <c r="I551" s="30">
        <v>45447.0</v>
      </c>
      <c r="J551" s="31">
        <v>0.0</v>
      </c>
      <c r="K551" s="26" t="s">
        <v>427</v>
      </c>
      <c r="L551" s="73" t="s">
        <v>75</v>
      </c>
      <c r="M551" s="33">
        <v>12597.449999999999</v>
      </c>
      <c r="N551" s="34">
        <v>13482.699999999999</v>
      </c>
      <c r="O551" s="27" t="s">
        <v>76</v>
      </c>
      <c r="P551" s="35" t="s">
        <v>430</v>
      </c>
      <c r="Q551" s="35" t="s">
        <v>65</v>
      </c>
      <c r="R551" s="36">
        <v>45082.0</v>
      </c>
      <c r="S551" s="35" t="s">
        <v>86</v>
      </c>
      <c r="T551" s="54" t="s">
        <v>163</v>
      </c>
      <c r="U551" s="37" t="s">
        <v>67</v>
      </c>
      <c r="V551" s="38"/>
      <c r="W551" s="38"/>
      <c r="X551" s="27"/>
      <c r="Y551" s="39"/>
      <c r="Z551" s="79" t="s">
        <v>1917</v>
      </c>
      <c r="AA551" s="39"/>
      <c r="AB551" s="40"/>
      <c r="AC551" s="27">
        <f t="shared" si="408"/>
        <v>0</v>
      </c>
      <c r="AD551" s="41"/>
      <c r="AE551" s="42"/>
      <c r="AF551" s="27"/>
      <c r="AG551" s="43">
        <f t="shared" si="411"/>
        <v>3231.245925</v>
      </c>
      <c r="AH551" s="29"/>
      <c r="AI551" s="29"/>
      <c r="AJ551" s="29"/>
      <c r="AK551" s="29"/>
      <c r="AL551" s="44"/>
      <c r="AM551" s="27"/>
      <c r="AN551" s="63"/>
      <c r="AO551" s="127">
        <f>M551*15%</f>
        <v>1889.6175</v>
      </c>
      <c r="AP551" s="71" t="s">
        <v>1918</v>
      </c>
      <c r="AQ551" s="43">
        <f t="shared" ref="AQ551:AQ562" si="414">IF(U551="Motor Plus",(M551*27%),IF(U551="Motor One",(M551*22%),(IF(U551="Golden",(M551*25%),(IF(U551="Classic",(M551*15%),(IF(U551="Wethaq",(M551*28%),IF(U551="Alwataniya",(M551*21%))*0))))))))</f>
        <v>3401.3115</v>
      </c>
      <c r="AR551" s="43">
        <f t="shared" si="2"/>
        <v>170.065575</v>
      </c>
      <c r="AS551" s="43">
        <f t="shared" si="3"/>
        <v>595.2295125</v>
      </c>
      <c r="AT551" s="48">
        <f t="shared" si="4"/>
        <v>2636.016413</v>
      </c>
      <c r="AU551" s="49">
        <f t="shared" si="412"/>
        <v>2636.016413</v>
      </c>
      <c r="AV551" s="48"/>
      <c r="AW551" s="34">
        <f t="shared" si="341"/>
        <v>13482.7</v>
      </c>
      <c r="AX551" s="50">
        <f t="shared" si="413"/>
        <v>746.3989125</v>
      </c>
      <c r="AY551" s="43"/>
      <c r="AZ551" s="43"/>
      <c r="BA551" s="48">
        <f t="shared" si="410"/>
        <v>746.3989125</v>
      </c>
      <c r="BB551" s="27"/>
      <c r="BC551" s="27"/>
      <c r="BD551" s="51"/>
      <c r="BE551" s="52"/>
      <c r="BF551" s="27" t="s">
        <v>1915</v>
      </c>
      <c r="BG551" s="58" t="s">
        <v>1919</v>
      </c>
      <c r="BH551" s="53" t="str">
        <f>'[1]2023'!Q656</f>
        <v>#REF!</v>
      </c>
      <c r="BI551" s="27"/>
      <c r="BJ551" s="27"/>
      <c r="BK551" s="27" t="s">
        <v>76</v>
      </c>
      <c r="BL551" s="27"/>
    </row>
    <row r="552" ht="14.25" customHeight="1">
      <c r="A552" s="26" t="s">
        <v>55</v>
      </c>
      <c r="B552" s="26" t="s">
        <v>56</v>
      </c>
      <c r="C552" s="26" t="s">
        <v>57</v>
      </c>
      <c r="D552" s="26" t="s">
        <v>81</v>
      </c>
      <c r="E552" s="27" t="s">
        <v>1920</v>
      </c>
      <c r="F552" s="28" t="s">
        <v>1921</v>
      </c>
      <c r="G552" s="29">
        <v>45082.0</v>
      </c>
      <c r="H552" s="30">
        <v>45082.0</v>
      </c>
      <c r="I552" s="30">
        <v>45447.0</v>
      </c>
      <c r="J552" s="31">
        <v>0.0</v>
      </c>
      <c r="K552" s="26" t="s">
        <v>427</v>
      </c>
      <c r="L552" s="32" t="s">
        <v>75</v>
      </c>
      <c r="M552" s="33">
        <v>27784.0</v>
      </c>
      <c r="N552" s="34">
        <v>29564.25</v>
      </c>
      <c r="O552" s="27" t="s">
        <v>76</v>
      </c>
      <c r="P552" s="35" t="s">
        <v>430</v>
      </c>
      <c r="Q552" s="35" t="s">
        <v>65</v>
      </c>
      <c r="R552" s="36">
        <v>45082.0</v>
      </c>
      <c r="S552" s="35" t="s">
        <v>86</v>
      </c>
      <c r="T552" s="35">
        <v>0.0</v>
      </c>
      <c r="U552" s="37" t="s">
        <v>67</v>
      </c>
      <c r="V552" s="38"/>
      <c r="W552" s="38"/>
      <c r="X552" s="27"/>
      <c r="Y552" s="39"/>
      <c r="Z552" s="39"/>
      <c r="AA552" s="39"/>
      <c r="AB552" s="40"/>
      <c r="AC552" s="27">
        <f t="shared" si="408"/>
        <v>0</v>
      </c>
      <c r="AD552" s="41"/>
      <c r="AE552" s="42"/>
      <c r="AF552" s="27"/>
      <c r="AG552" s="43">
        <f t="shared" si="411"/>
        <v>7126.596</v>
      </c>
      <c r="AH552" s="29"/>
      <c r="AI552" s="29"/>
      <c r="AJ552" s="29"/>
      <c r="AK552" s="29"/>
      <c r="AL552" s="27"/>
      <c r="AM552" s="44"/>
      <c r="AN552" s="45"/>
      <c r="AO552" s="46"/>
      <c r="AP552" s="47"/>
      <c r="AQ552" s="43">
        <f t="shared" si="414"/>
        <v>7501.68</v>
      </c>
      <c r="AR552" s="43">
        <f t="shared" si="2"/>
        <v>375.084</v>
      </c>
      <c r="AS552" s="43">
        <f t="shared" si="3"/>
        <v>1312.794</v>
      </c>
      <c r="AT552" s="48">
        <f t="shared" si="4"/>
        <v>5813.802</v>
      </c>
      <c r="AU552" s="103">
        <f t="shared" si="412"/>
        <v>5813.802</v>
      </c>
      <c r="AV552" s="48"/>
      <c r="AW552" s="34">
        <f t="shared" si="341"/>
        <v>29564.25</v>
      </c>
      <c r="AX552" s="50">
        <f t="shared" si="413"/>
        <v>5813.802</v>
      </c>
      <c r="AY552" s="43"/>
      <c r="AZ552" s="43"/>
      <c r="BA552" s="48">
        <f t="shared" si="410"/>
        <v>5813.802</v>
      </c>
      <c r="BB552" s="27"/>
      <c r="BC552" s="27"/>
      <c r="BD552" s="51"/>
      <c r="BE552" s="52"/>
      <c r="BF552" s="27" t="s">
        <v>1920</v>
      </c>
      <c r="BG552" s="53">
        <v>0.0</v>
      </c>
      <c r="BH552" s="53" t="str">
        <f>'[1]2023'!Q732</f>
        <v>#REF!</v>
      </c>
      <c r="BI552" s="27"/>
      <c r="BJ552" s="27"/>
      <c r="BK552" s="27" t="s">
        <v>76</v>
      </c>
      <c r="BL552" s="27"/>
    </row>
    <row r="553" ht="14.25" customHeight="1">
      <c r="A553" s="26" t="s">
        <v>55</v>
      </c>
      <c r="B553" s="26" t="s">
        <v>56</v>
      </c>
      <c r="C553" s="26" t="s">
        <v>57</v>
      </c>
      <c r="D553" s="26" t="s">
        <v>81</v>
      </c>
      <c r="E553" s="27" t="s">
        <v>1922</v>
      </c>
      <c r="F553" s="28" t="s">
        <v>1923</v>
      </c>
      <c r="G553" s="29">
        <v>45083.0</v>
      </c>
      <c r="H553" s="30">
        <v>45083.0</v>
      </c>
      <c r="I553" s="30">
        <v>45448.0</v>
      </c>
      <c r="J553" s="31">
        <v>0.0</v>
      </c>
      <c r="K553" s="26" t="s">
        <v>440</v>
      </c>
      <c r="L553" s="73" t="s">
        <v>75</v>
      </c>
      <c r="M553" s="33">
        <v>28393.75</v>
      </c>
      <c r="N553" s="34">
        <v>30209.98</v>
      </c>
      <c r="O553" s="27" t="s">
        <v>76</v>
      </c>
      <c r="P553" s="35" t="s">
        <v>89</v>
      </c>
      <c r="Q553" s="35" t="s">
        <v>90</v>
      </c>
      <c r="R553" s="36">
        <v>45083.0</v>
      </c>
      <c r="S553" s="35" t="s">
        <v>86</v>
      </c>
      <c r="T553" s="35">
        <v>0.0</v>
      </c>
      <c r="U553" s="37" t="s">
        <v>67</v>
      </c>
      <c r="V553" s="38"/>
      <c r="W553" s="38"/>
      <c r="X553" s="27"/>
      <c r="Y553" s="39"/>
      <c r="Z553" s="79" t="s">
        <v>208</v>
      </c>
      <c r="AA553" s="39"/>
      <c r="AB553" s="40"/>
      <c r="AC553" s="27">
        <f t="shared" si="408"/>
        <v>0</v>
      </c>
      <c r="AD553" s="41">
        <f>IF(AND(S553="0",O553="Paid"),M553*15%,0)</f>
        <v>4259.0625</v>
      </c>
      <c r="AE553" s="42"/>
      <c r="AF553" s="27"/>
      <c r="AG553" s="43">
        <f t="shared" si="411"/>
        <v>7282.996875</v>
      </c>
      <c r="AH553" s="29"/>
      <c r="AI553" s="29"/>
      <c r="AJ553" s="29"/>
      <c r="AK553" s="75"/>
      <c r="AL553" s="27"/>
      <c r="AM553" s="27"/>
      <c r="AN553" s="93"/>
      <c r="AO553" s="76"/>
      <c r="AP553" s="47"/>
      <c r="AQ553" s="43">
        <f t="shared" si="414"/>
        <v>7666.3125</v>
      </c>
      <c r="AR553" s="43">
        <f t="shared" si="2"/>
        <v>383.315625</v>
      </c>
      <c r="AS553" s="43">
        <f t="shared" si="3"/>
        <v>1341.604688</v>
      </c>
      <c r="AT553" s="48">
        <f t="shared" si="4"/>
        <v>5941.392188</v>
      </c>
      <c r="AU553" s="49">
        <f t="shared" si="412"/>
        <v>5941.392188</v>
      </c>
      <c r="AV553" s="48"/>
      <c r="AW553" s="34">
        <f t="shared" si="341"/>
        <v>25950.9175</v>
      </c>
      <c r="AX553" s="50">
        <f t="shared" si="413"/>
        <v>1682.329688</v>
      </c>
      <c r="AY553" s="43"/>
      <c r="AZ553" s="43"/>
      <c r="BA553" s="48">
        <f t="shared" si="410"/>
        <v>5941.392188</v>
      </c>
      <c r="BB553" s="27"/>
      <c r="BC553" s="27"/>
      <c r="BD553" s="51"/>
      <c r="BE553" s="52"/>
      <c r="BF553" s="27" t="s">
        <v>1922</v>
      </c>
      <c r="BG553" s="53">
        <v>0.0</v>
      </c>
      <c r="BH553" s="53" t="str">
        <f>'[1]2023'!Q634</f>
        <v>#REF!</v>
      </c>
      <c r="BI553" s="27"/>
      <c r="BJ553" s="27"/>
      <c r="BK553" s="27" t="s">
        <v>76</v>
      </c>
      <c r="BL553" s="27"/>
    </row>
    <row r="554" ht="14.25" customHeight="1">
      <c r="A554" s="26" t="s">
        <v>55</v>
      </c>
      <c r="B554" s="26" t="s">
        <v>56</v>
      </c>
      <c r="C554" s="26" t="s">
        <v>57</v>
      </c>
      <c r="D554" s="26" t="s">
        <v>81</v>
      </c>
      <c r="E554" s="27" t="s">
        <v>1924</v>
      </c>
      <c r="F554" s="28" t="s">
        <v>1925</v>
      </c>
      <c r="G554" s="29">
        <v>45083.0</v>
      </c>
      <c r="H554" s="30">
        <v>45083.0</v>
      </c>
      <c r="I554" s="30">
        <v>45448.0</v>
      </c>
      <c r="J554" s="31">
        <v>0.0</v>
      </c>
      <c r="K554" s="26" t="s">
        <v>440</v>
      </c>
      <c r="L554" s="73" t="s">
        <v>75</v>
      </c>
      <c r="M554" s="33">
        <v>14535.0</v>
      </c>
      <c r="N554" s="34">
        <v>15534.57</v>
      </c>
      <c r="O554" s="27" t="s">
        <v>76</v>
      </c>
      <c r="P554" s="35" t="s">
        <v>122</v>
      </c>
      <c r="Q554" s="35" t="s">
        <v>65</v>
      </c>
      <c r="R554" s="36">
        <v>45083.0</v>
      </c>
      <c r="S554" s="35" t="s">
        <v>86</v>
      </c>
      <c r="T554" s="35">
        <v>0.0</v>
      </c>
      <c r="U554" s="37" t="s">
        <v>67</v>
      </c>
      <c r="V554" s="38"/>
      <c r="W554" s="38"/>
      <c r="X554" s="27"/>
      <c r="Y554" s="39"/>
      <c r="Z554" s="39"/>
      <c r="AA554" s="39"/>
      <c r="AB554" s="40"/>
      <c r="AC554" s="27">
        <f t="shared" si="408"/>
        <v>0</v>
      </c>
      <c r="AD554" s="41"/>
      <c r="AE554" s="42"/>
      <c r="AF554" s="27"/>
      <c r="AG554" s="43">
        <f t="shared" si="411"/>
        <v>3728.2275</v>
      </c>
      <c r="AH554" s="29"/>
      <c r="AI554" s="29"/>
      <c r="AJ554" s="29"/>
      <c r="AK554" s="75"/>
      <c r="AL554" s="27"/>
      <c r="AM554" s="44"/>
      <c r="AN554" s="115"/>
      <c r="AO554" s="46"/>
      <c r="AP554" s="47"/>
      <c r="AQ554" s="43">
        <f t="shared" si="414"/>
        <v>3924.45</v>
      </c>
      <c r="AR554" s="43">
        <f t="shared" si="2"/>
        <v>196.2225</v>
      </c>
      <c r="AS554" s="43">
        <f t="shared" si="3"/>
        <v>686.77875</v>
      </c>
      <c r="AT554" s="48">
        <f t="shared" si="4"/>
        <v>3041.44875</v>
      </c>
      <c r="AU554" s="103">
        <f t="shared" si="412"/>
        <v>3041.44875</v>
      </c>
      <c r="AV554" s="48"/>
      <c r="AW554" s="34">
        <f t="shared" si="341"/>
        <v>15534.57</v>
      </c>
      <c r="AX554" s="50">
        <f t="shared" si="413"/>
        <v>3041.44875</v>
      </c>
      <c r="AY554" s="43"/>
      <c r="AZ554" s="43"/>
      <c r="BA554" s="48">
        <f t="shared" si="410"/>
        <v>3041.44875</v>
      </c>
      <c r="BB554" s="27"/>
      <c r="BC554" s="27"/>
      <c r="BD554" s="51"/>
      <c r="BE554" s="52"/>
      <c r="BF554" s="27" t="s">
        <v>1924</v>
      </c>
      <c r="BG554" s="53">
        <v>0.0</v>
      </c>
      <c r="BH554" s="53" t="str">
        <f>'[1]2023'!Q653</f>
        <v>#REF!</v>
      </c>
      <c r="BI554" s="27"/>
      <c r="BJ554" s="27"/>
      <c r="BK554" s="27" t="s">
        <v>76</v>
      </c>
      <c r="BL554" s="27"/>
    </row>
    <row r="555" ht="14.25" customHeight="1">
      <c r="A555" s="26" t="s">
        <v>55</v>
      </c>
      <c r="B555" s="26" t="s">
        <v>56</v>
      </c>
      <c r="C555" s="26" t="s">
        <v>57</v>
      </c>
      <c r="D555" s="26" t="s">
        <v>58</v>
      </c>
      <c r="E555" s="27" t="s">
        <v>1926</v>
      </c>
      <c r="F555" s="28" t="s">
        <v>1927</v>
      </c>
      <c r="G555" s="29">
        <v>45083.0</v>
      </c>
      <c r="H555" s="30">
        <v>45083.0</v>
      </c>
      <c r="I555" s="30">
        <v>45448.0</v>
      </c>
      <c r="J555" s="31">
        <v>0.0</v>
      </c>
      <c r="K555" s="26" t="s">
        <v>440</v>
      </c>
      <c r="L555" s="32" t="s">
        <v>75</v>
      </c>
      <c r="M555" s="33">
        <v>3472.11</v>
      </c>
      <c r="N555" s="34">
        <v>3676.96</v>
      </c>
      <c r="O555" s="27" t="s">
        <v>76</v>
      </c>
      <c r="P555" s="35" t="s">
        <v>122</v>
      </c>
      <c r="Q555" s="35" t="s">
        <v>90</v>
      </c>
      <c r="R555" s="36">
        <v>45083.0</v>
      </c>
      <c r="S555" s="35" t="s">
        <v>86</v>
      </c>
      <c r="T555" s="35">
        <v>0.0</v>
      </c>
      <c r="U555" s="37" t="s">
        <v>67</v>
      </c>
      <c r="V555" s="38"/>
      <c r="W555" s="38"/>
      <c r="X555" s="27"/>
      <c r="Y555" s="39"/>
      <c r="Z555" s="39"/>
      <c r="AA555" s="39"/>
      <c r="AB555" s="40"/>
      <c r="AC555" s="27">
        <f t="shared" si="408"/>
        <v>0</v>
      </c>
      <c r="AD555" s="41">
        <f>IF(AND(S555="0",O555="Paid"),M555*15%,0)</f>
        <v>520.8165</v>
      </c>
      <c r="AE555" s="42"/>
      <c r="AF555" s="27"/>
      <c r="AG555" s="43">
        <f t="shared" si="411"/>
        <v>890.596215</v>
      </c>
      <c r="AH555" s="29"/>
      <c r="AI555" s="29"/>
      <c r="AJ555" s="29"/>
      <c r="AK555" s="29"/>
      <c r="AL555" s="27"/>
      <c r="AM555" s="44"/>
      <c r="AN555" s="45"/>
      <c r="AO555" s="46"/>
      <c r="AP555" s="47"/>
      <c r="AQ555" s="43">
        <f t="shared" si="414"/>
        <v>937.4697</v>
      </c>
      <c r="AR555" s="43">
        <f t="shared" si="2"/>
        <v>46.873485</v>
      </c>
      <c r="AS555" s="43">
        <f t="shared" si="3"/>
        <v>164.0571975</v>
      </c>
      <c r="AT555" s="48">
        <f t="shared" si="4"/>
        <v>726.5390175</v>
      </c>
      <c r="AU555" s="49">
        <f t="shared" si="412"/>
        <v>726.5390175</v>
      </c>
      <c r="AV555" s="48"/>
      <c r="AW555" s="34">
        <f t="shared" si="341"/>
        <v>3156.1435</v>
      </c>
      <c r="AX555" s="50">
        <f t="shared" si="413"/>
        <v>205.7225175</v>
      </c>
      <c r="AY555" s="43"/>
      <c r="AZ555" s="43"/>
      <c r="BA555" s="48">
        <f t="shared" si="410"/>
        <v>726.5390175</v>
      </c>
      <c r="BB555" s="27"/>
      <c r="BC555" s="27"/>
      <c r="BD555" s="51"/>
      <c r="BE555" s="52"/>
      <c r="BF555" s="27" t="s">
        <v>1928</v>
      </c>
      <c r="BG555" s="53">
        <v>0.0</v>
      </c>
      <c r="BH555" s="53" t="str">
        <f>'[1]2023'!Q818</f>
        <v>#REF!</v>
      </c>
      <c r="BI555" s="27"/>
      <c r="BJ555" s="27"/>
      <c r="BK555" s="27" t="s">
        <v>76</v>
      </c>
      <c r="BL555" s="27"/>
    </row>
    <row r="556" ht="14.25" customHeight="1">
      <c r="A556" s="26" t="s">
        <v>55</v>
      </c>
      <c r="B556" s="26" t="s">
        <v>56</v>
      </c>
      <c r="C556" s="26" t="s">
        <v>57</v>
      </c>
      <c r="D556" s="26" t="s">
        <v>58</v>
      </c>
      <c r="E556" s="27" t="s">
        <v>1929</v>
      </c>
      <c r="F556" s="28" t="s">
        <v>1930</v>
      </c>
      <c r="G556" s="29">
        <v>45083.0</v>
      </c>
      <c r="H556" s="30">
        <v>45083.0</v>
      </c>
      <c r="I556" s="30">
        <v>45448.0</v>
      </c>
      <c r="J556" s="31" t="s">
        <v>1931</v>
      </c>
      <c r="K556" s="26" t="s">
        <v>440</v>
      </c>
      <c r="L556" s="32" t="s">
        <v>1932</v>
      </c>
      <c r="M556" s="33">
        <v>1172.56</v>
      </c>
      <c r="N556" s="34">
        <v>1241.75</v>
      </c>
      <c r="O556" s="27" t="s">
        <v>76</v>
      </c>
      <c r="P556" s="35" t="s">
        <v>430</v>
      </c>
      <c r="Q556" s="35" t="s">
        <v>90</v>
      </c>
      <c r="R556" s="36">
        <v>45083.0</v>
      </c>
      <c r="S556" s="35" t="s">
        <v>86</v>
      </c>
      <c r="T556" s="35">
        <v>0.0</v>
      </c>
      <c r="U556" s="37" t="s">
        <v>58</v>
      </c>
      <c r="V556" s="38"/>
      <c r="W556" s="38"/>
      <c r="X556" s="27"/>
      <c r="Y556" s="39"/>
      <c r="Z556" s="39"/>
      <c r="AA556" s="39"/>
      <c r="AB556" s="40"/>
      <c r="AC556" s="27">
        <f t="shared" si="408"/>
        <v>0</v>
      </c>
      <c r="AD556" s="41">
        <f>IF(AND(S556="0",O556="Paid"),(M556*15%)-AC556,0)</f>
        <v>175.884</v>
      </c>
      <c r="AE556" s="42"/>
      <c r="AF556" s="27"/>
      <c r="AG556" s="43">
        <f t="shared" si="411"/>
        <v>300.76164</v>
      </c>
      <c r="AH556" s="29"/>
      <c r="AI556" s="29"/>
      <c r="AJ556" s="29"/>
      <c r="AK556" s="29"/>
      <c r="AL556" s="27"/>
      <c r="AM556" s="44"/>
      <c r="AN556" s="45"/>
      <c r="AO556" s="46"/>
      <c r="AP556" s="47"/>
      <c r="AQ556" s="43">
        <f t="shared" si="414"/>
        <v>0</v>
      </c>
      <c r="AR556" s="43">
        <f t="shared" si="2"/>
        <v>0</v>
      </c>
      <c r="AS556" s="43">
        <f t="shared" si="3"/>
        <v>0</v>
      </c>
      <c r="AT556" s="48">
        <f t="shared" si="4"/>
        <v>0</v>
      </c>
      <c r="AU556" s="49">
        <f t="shared" si="412"/>
        <v>0</v>
      </c>
      <c r="AV556" s="48"/>
      <c r="AW556" s="34">
        <f t="shared" si="341"/>
        <v>1065.866</v>
      </c>
      <c r="AX556" s="50">
        <f t="shared" si="413"/>
        <v>124.87764</v>
      </c>
      <c r="AY556" s="43"/>
      <c r="AZ556" s="43"/>
      <c r="BA556" s="48">
        <f t="shared" si="410"/>
        <v>0</v>
      </c>
      <c r="BB556" s="27"/>
      <c r="BC556" s="27"/>
      <c r="BD556" s="51"/>
      <c r="BE556" s="52"/>
      <c r="BF556" s="27" t="s">
        <v>1929</v>
      </c>
      <c r="BG556" s="58" t="s">
        <v>1933</v>
      </c>
      <c r="BH556" s="53" t="str">
        <f t="shared" ref="BH556:BH558" si="415">'[1]2023'!Q841</f>
        <v>#REF!</v>
      </c>
      <c r="BI556" s="27"/>
      <c r="BJ556" s="27"/>
      <c r="BK556" s="27" t="s">
        <v>76</v>
      </c>
      <c r="BL556" s="27"/>
    </row>
    <row r="557" ht="14.25" customHeight="1">
      <c r="A557" s="26" t="s">
        <v>55</v>
      </c>
      <c r="B557" s="26" t="s">
        <v>56</v>
      </c>
      <c r="C557" s="26" t="s">
        <v>57</v>
      </c>
      <c r="D557" s="26" t="s">
        <v>58</v>
      </c>
      <c r="E557" s="27" t="s">
        <v>1934</v>
      </c>
      <c r="F557" s="28" t="s">
        <v>1935</v>
      </c>
      <c r="G557" s="29">
        <v>45083.0</v>
      </c>
      <c r="H557" s="30">
        <v>45083.0</v>
      </c>
      <c r="I557" s="30">
        <v>45448.0</v>
      </c>
      <c r="J557" s="31">
        <v>0.0</v>
      </c>
      <c r="K557" s="26" t="s">
        <v>440</v>
      </c>
      <c r="L557" s="73" t="s">
        <v>75</v>
      </c>
      <c r="M557" s="33">
        <v>2752.44</v>
      </c>
      <c r="N557" s="34">
        <v>2914.82</v>
      </c>
      <c r="O557" s="27" t="s">
        <v>76</v>
      </c>
      <c r="P557" s="35" t="s">
        <v>430</v>
      </c>
      <c r="Q557" s="35" t="s">
        <v>90</v>
      </c>
      <c r="R557" s="36">
        <v>45083.0</v>
      </c>
      <c r="S557" s="35" t="s">
        <v>86</v>
      </c>
      <c r="T557" s="35">
        <v>0.0</v>
      </c>
      <c r="U557" s="37" t="s">
        <v>67</v>
      </c>
      <c r="V557" s="38"/>
      <c r="W557" s="38"/>
      <c r="X557" s="27"/>
      <c r="Y557" s="39"/>
      <c r="Z557" s="39"/>
      <c r="AA557" s="39"/>
      <c r="AB557" s="40"/>
      <c r="AC557" s="27">
        <f t="shared" si="408"/>
        <v>0</v>
      </c>
      <c r="AD557" s="41">
        <f>IF(AND(S557="0",O557="Paid"),M557*15%,0)</f>
        <v>412.866</v>
      </c>
      <c r="AE557" s="42"/>
      <c r="AF557" s="27"/>
      <c r="AG557" s="43">
        <f t="shared" si="411"/>
        <v>706.00086</v>
      </c>
      <c r="AH557" s="29"/>
      <c r="AI557" s="29"/>
      <c r="AJ557" s="29"/>
      <c r="AK557" s="75"/>
      <c r="AL557" s="27"/>
      <c r="AM557" s="27"/>
      <c r="AN557" s="63"/>
      <c r="AO557" s="46"/>
      <c r="AP557" s="68"/>
      <c r="AQ557" s="43">
        <f t="shared" si="414"/>
        <v>743.1588</v>
      </c>
      <c r="AR557" s="43">
        <f t="shared" si="2"/>
        <v>37.15794</v>
      </c>
      <c r="AS557" s="43">
        <f t="shared" si="3"/>
        <v>130.05279</v>
      </c>
      <c r="AT557" s="48">
        <f t="shared" si="4"/>
        <v>575.94807</v>
      </c>
      <c r="AU557" s="49">
        <f t="shared" si="412"/>
        <v>575.94807</v>
      </c>
      <c r="AV557" s="48"/>
      <c r="AW557" s="34">
        <f t="shared" si="341"/>
        <v>2501.954</v>
      </c>
      <c r="AX557" s="50">
        <f t="shared" si="413"/>
        <v>163.08207</v>
      </c>
      <c r="AY557" s="43"/>
      <c r="AZ557" s="43"/>
      <c r="BA557" s="48">
        <f t="shared" si="410"/>
        <v>575.94807</v>
      </c>
      <c r="BB557" s="27"/>
      <c r="BC557" s="27"/>
      <c r="BD557" s="51"/>
      <c r="BE557" s="52"/>
      <c r="BF557" s="27" t="s">
        <v>1934</v>
      </c>
      <c r="BG557" s="53">
        <v>0.0</v>
      </c>
      <c r="BH557" s="53" t="str">
        <f t="shared" si="415"/>
        <v>#REF!</v>
      </c>
      <c r="BI557" s="27"/>
      <c r="BJ557" s="27"/>
      <c r="BK557" s="27" t="s">
        <v>76</v>
      </c>
      <c r="BL557" s="27"/>
    </row>
    <row r="558" ht="14.25" customHeight="1">
      <c r="A558" s="26" t="s">
        <v>55</v>
      </c>
      <c r="B558" s="26" t="s">
        <v>56</v>
      </c>
      <c r="C558" s="26" t="s">
        <v>57</v>
      </c>
      <c r="D558" s="26" t="s">
        <v>58</v>
      </c>
      <c r="E558" s="27" t="s">
        <v>1936</v>
      </c>
      <c r="F558" s="28" t="s">
        <v>1937</v>
      </c>
      <c r="G558" s="29">
        <v>45083.0</v>
      </c>
      <c r="H558" s="30">
        <v>45083.0</v>
      </c>
      <c r="I558" s="30">
        <v>45448.0</v>
      </c>
      <c r="J558" s="31" t="s">
        <v>575</v>
      </c>
      <c r="K558" s="26" t="s">
        <v>440</v>
      </c>
      <c r="L558" s="32" t="s">
        <v>75</v>
      </c>
      <c r="M558" s="33">
        <v>5443.5</v>
      </c>
      <c r="N558" s="34">
        <v>5764.67</v>
      </c>
      <c r="O558" s="27" t="s">
        <v>76</v>
      </c>
      <c r="P558" s="35" t="s">
        <v>122</v>
      </c>
      <c r="Q558" s="35" t="s">
        <v>65</v>
      </c>
      <c r="R558" s="36">
        <v>45083.0</v>
      </c>
      <c r="S558" s="35" t="s">
        <v>86</v>
      </c>
      <c r="T558" s="35">
        <v>0.0</v>
      </c>
      <c r="U558" s="37" t="s">
        <v>67</v>
      </c>
      <c r="V558" s="38"/>
      <c r="W558" s="38"/>
      <c r="X558" s="27"/>
      <c r="Y558" s="39"/>
      <c r="Z558" s="39"/>
      <c r="AA558" s="39"/>
      <c r="AB558" s="40"/>
      <c r="AC558" s="27">
        <f t="shared" si="408"/>
        <v>0</v>
      </c>
      <c r="AD558" s="41"/>
      <c r="AE558" s="42"/>
      <c r="AF558" s="27"/>
      <c r="AG558" s="43">
        <f t="shared" si="411"/>
        <v>1396.25775</v>
      </c>
      <c r="AH558" s="29"/>
      <c r="AI558" s="29"/>
      <c r="AJ558" s="29"/>
      <c r="AK558" s="29"/>
      <c r="AL558" s="27"/>
      <c r="AM558" s="44"/>
      <c r="AN558" s="45"/>
      <c r="AO558" s="46"/>
      <c r="AP558" s="47"/>
      <c r="AQ558" s="43">
        <f t="shared" si="414"/>
        <v>1469.745</v>
      </c>
      <c r="AR558" s="43">
        <f t="shared" si="2"/>
        <v>73.48725</v>
      </c>
      <c r="AS558" s="43">
        <f t="shared" si="3"/>
        <v>257.205375</v>
      </c>
      <c r="AT558" s="48">
        <f t="shared" si="4"/>
        <v>1139.052375</v>
      </c>
      <c r="AU558" s="49">
        <f t="shared" si="412"/>
        <v>1139.052375</v>
      </c>
      <c r="AV558" s="48"/>
      <c r="AW558" s="34">
        <f t="shared" si="341"/>
        <v>5764.67</v>
      </c>
      <c r="AX558" s="50">
        <f t="shared" si="413"/>
        <v>1139.052375</v>
      </c>
      <c r="AY558" s="43"/>
      <c r="AZ558" s="43"/>
      <c r="BA558" s="48">
        <f t="shared" si="410"/>
        <v>1139.052375</v>
      </c>
      <c r="BB558" s="27"/>
      <c r="BC558" s="27"/>
      <c r="BD558" s="51"/>
      <c r="BE558" s="52"/>
      <c r="BF558" s="27" t="s">
        <v>1936</v>
      </c>
      <c r="BG558" s="58" t="s">
        <v>1933</v>
      </c>
      <c r="BH558" s="53" t="str">
        <f t="shared" si="415"/>
        <v>#REF!</v>
      </c>
      <c r="BI558" s="27"/>
      <c r="BJ558" s="27"/>
      <c r="BK558" s="27" t="s">
        <v>76</v>
      </c>
      <c r="BL558" s="27"/>
    </row>
    <row r="559" ht="14.25" customHeight="1">
      <c r="A559" s="26" t="s">
        <v>55</v>
      </c>
      <c r="B559" s="26" t="s">
        <v>56</v>
      </c>
      <c r="C559" s="26" t="s">
        <v>57</v>
      </c>
      <c r="D559" s="26" t="s">
        <v>81</v>
      </c>
      <c r="E559" s="27" t="s">
        <v>1938</v>
      </c>
      <c r="F559" s="28" t="s">
        <v>1939</v>
      </c>
      <c r="G559" s="29">
        <v>45083.0</v>
      </c>
      <c r="H559" s="30">
        <v>45083.0</v>
      </c>
      <c r="I559" s="30">
        <v>45448.0</v>
      </c>
      <c r="J559" s="31">
        <v>0.0</v>
      </c>
      <c r="K559" s="26" t="s">
        <v>440</v>
      </c>
      <c r="L559" s="32" t="s">
        <v>75</v>
      </c>
      <c r="M559" s="33">
        <v>64296.0</v>
      </c>
      <c r="N559" s="34">
        <v>68234.47</v>
      </c>
      <c r="O559" s="27" t="s">
        <v>76</v>
      </c>
      <c r="P559" s="35" t="s">
        <v>430</v>
      </c>
      <c r="Q559" s="35" t="s">
        <v>108</v>
      </c>
      <c r="R559" s="36">
        <v>45083.0</v>
      </c>
      <c r="S559" s="35" t="s">
        <v>86</v>
      </c>
      <c r="T559" s="35">
        <v>0.0</v>
      </c>
      <c r="U559" s="37" t="s">
        <v>157</v>
      </c>
      <c r="V559" s="38"/>
      <c r="W559" s="38"/>
      <c r="X559" s="27"/>
      <c r="Y559" s="39"/>
      <c r="Z559" s="39"/>
      <c r="AA559" s="39"/>
      <c r="AB559" s="40"/>
      <c r="AC559" s="27">
        <f t="shared" si="408"/>
        <v>0</v>
      </c>
      <c r="AD559" s="41">
        <f>IF(AND(S559="0",O559="Paid"),M559*10%,0)</f>
        <v>6429.6</v>
      </c>
      <c r="AE559" s="42"/>
      <c r="AF559" s="27" t="s">
        <v>305</v>
      </c>
      <c r="AG559" s="43">
        <f t="shared" si="411"/>
        <v>16491.924</v>
      </c>
      <c r="AH559" s="29"/>
      <c r="AI559" s="29"/>
      <c r="AJ559" s="29"/>
      <c r="AK559" s="29"/>
      <c r="AL559" s="27"/>
      <c r="AM559" s="44"/>
      <c r="AN559" s="45"/>
      <c r="AO559" s="46"/>
      <c r="AP559" s="47"/>
      <c r="AQ559" s="43">
        <f t="shared" si="414"/>
        <v>14145.12</v>
      </c>
      <c r="AR559" s="43">
        <f t="shared" si="2"/>
        <v>707.256</v>
      </c>
      <c r="AS559" s="43">
        <f t="shared" si="3"/>
        <v>2475.396</v>
      </c>
      <c r="AT559" s="48">
        <f t="shared" si="4"/>
        <v>10962.468</v>
      </c>
      <c r="AU559" s="49">
        <f t="shared" si="412"/>
        <v>10962.468</v>
      </c>
      <c r="AV559" s="48"/>
      <c r="AW559" s="34">
        <f t="shared" si="341"/>
        <v>61804.87</v>
      </c>
      <c r="AX559" s="50">
        <f t="shared" si="413"/>
        <v>7586.928</v>
      </c>
      <c r="AY559" s="43"/>
      <c r="AZ559" s="43"/>
      <c r="BA559" s="48">
        <f t="shared" si="410"/>
        <v>10962.468</v>
      </c>
      <c r="BB559" s="27"/>
      <c r="BC559" s="27"/>
      <c r="BD559" s="51"/>
      <c r="BE559" s="52"/>
      <c r="BF559" s="27" t="s">
        <v>1938</v>
      </c>
      <c r="BG559" s="53">
        <v>0.0</v>
      </c>
      <c r="BH559" s="53" t="str">
        <f>'[1]2023'!Q853</f>
        <v>#REF!</v>
      </c>
      <c r="BI559" s="27"/>
      <c r="BJ559" s="27"/>
      <c r="BK559" s="27" t="s">
        <v>76</v>
      </c>
      <c r="BL559" s="27"/>
    </row>
    <row r="560" ht="14.25" customHeight="1">
      <c r="A560" s="26" t="s">
        <v>55</v>
      </c>
      <c r="B560" s="26" t="s">
        <v>56</v>
      </c>
      <c r="C560" s="26" t="s">
        <v>57</v>
      </c>
      <c r="D560" s="26" t="s">
        <v>81</v>
      </c>
      <c r="E560" s="27" t="s">
        <v>1940</v>
      </c>
      <c r="F560" s="28" t="s">
        <v>1941</v>
      </c>
      <c r="G560" s="29">
        <v>45084.0</v>
      </c>
      <c r="H560" s="30">
        <v>45084.0</v>
      </c>
      <c r="I560" s="30">
        <v>45449.0</v>
      </c>
      <c r="J560" s="31">
        <v>0.0</v>
      </c>
      <c r="K560" s="26" t="s">
        <v>887</v>
      </c>
      <c r="L560" s="32" t="s">
        <v>75</v>
      </c>
      <c r="M560" s="33">
        <v>16500.0</v>
      </c>
      <c r="N560" s="34">
        <v>17614.5</v>
      </c>
      <c r="O560" s="27" t="s">
        <v>76</v>
      </c>
      <c r="P560" s="35" t="s">
        <v>122</v>
      </c>
      <c r="Q560" s="35" t="s">
        <v>65</v>
      </c>
      <c r="R560" s="36">
        <v>45084.0</v>
      </c>
      <c r="S560" s="35" t="s">
        <v>86</v>
      </c>
      <c r="T560" s="35">
        <v>0.0</v>
      </c>
      <c r="U560" s="37" t="s">
        <v>67</v>
      </c>
      <c r="V560" s="38"/>
      <c r="W560" s="38"/>
      <c r="X560" s="27"/>
      <c r="Y560" s="39"/>
      <c r="Z560" s="39"/>
      <c r="AA560" s="39"/>
      <c r="AB560" s="40"/>
      <c r="AC560" s="27">
        <f t="shared" si="408"/>
        <v>0</v>
      </c>
      <c r="AD560" s="41"/>
      <c r="AE560" s="42"/>
      <c r="AF560" s="27"/>
      <c r="AG560" s="43">
        <f t="shared" si="411"/>
        <v>4232.25</v>
      </c>
      <c r="AH560" s="29"/>
      <c r="AI560" s="29"/>
      <c r="AJ560" s="29"/>
      <c r="AK560" s="29"/>
      <c r="AL560" s="27"/>
      <c r="AM560" s="44"/>
      <c r="AN560" s="45"/>
      <c r="AO560" s="46">
        <f t="shared" ref="AO560:AO562" si="416">IF(T560&lt;&gt;0,M560*15%,0)</f>
        <v>0</v>
      </c>
      <c r="AP560" s="47"/>
      <c r="AQ560" s="43">
        <f t="shared" si="414"/>
        <v>4455</v>
      </c>
      <c r="AR560" s="43">
        <f t="shared" si="2"/>
        <v>222.75</v>
      </c>
      <c r="AS560" s="43">
        <f t="shared" si="3"/>
        <v>779.625</v>
      </c>
      <c r="AT560" s="48">
        <f t="shared" si="4"/>
        <v>3452.625</v>
      </c>
      <c r="AU560" s="49">
        <f t="shared" si="412"/>
        <v>3452.625</v>
      </c>
      <c r="AV560" s="48"/>
      <c r="AW560" s="34">
        <f t="shared" si="341"/>
        <v>17614.5</v>
      </c>
      <c r="AX560" s="50">
        <f t="shared" si="413"/>
        <v>3452.625</v>
      </c>
      <c r="AY560" s="43">
        <f t="shared" ref="AY560:AY562" si="417">IF(T560&lt;&gt;0,(AU560-AO560),0)*30%</f>
        <v>0</v>
      </c>
      <c r="AZ560" s="43"/>
      <c r="BA560" s="48">
        <f t="shared" si="410"/>
        <v>3452.625</v>
      </c>
      <c r="BB560" s="27"/>
      <c r="BC560" s="27"/>
      <c r="BD560" s="51"/>
      <c r="BE560" s="52"/>
      <c r="BF560" s="27" t="s">
        <v>1940</v>
      </c>
      <c r="BG560" s="53">
        <v>0.0</v>
      </c>
      <c r="BH560" s="53" t="str">
        <f>'[1]2023'!Q807</f>
        <v>#REF!</v>
      </c>
      <c r="BI560" s="27"/>
      <c r="BJ560" s="27"/>
      <c r="BK560" s="27" t="s">
        <v>76</v>
      </c>
      <c r="BL560" s="27"/>
    </row>
    <row r="561" ht="14.25" customHeight="1">
      <c r="A561" s="26" t="s">
        <v>55</v>
      </c>
      <c r="B561" s="26" t="s">
        <v>56</v>
      </c>
      <c r="C561" s="26" t="s">
        <v>57</v>
      </c>
      <c r="D561" s="26" t="s">
        <v>81</v>
      </c>
      <c r="E561" s="27" t="s">
        <v>1942</v>
      </c>
      <c r="F561" s="28" t="s">
        <v>1943</v>
      </c>
      <c r="G561" s="29">
        <v>45084.0</v>
      </c>
      <c r="H561" s="30">
        <v>45084.0</v>
      </c>
      <c r="I561" s="30">
        <v>45449.0</v>
      </c>
      <c r="J561" s="31">
        <v>0.0</v>
      </c>
      <c r="K561" s="26" t="s">
        <v>887</v>
      </c>
      <c r="L561" s="32" t="s">
        <v>75</v>
      </c>
      <c r="M561" s="33">
        <v>17550.0</v>
      </c>
      <c r="N561" s="34">
        <v>18726.45</v>
      </c>
      <c r="O561" s="27" t="s">
        <v>76</v>
      </c>
      <c r="P561" s="35" t="s">
        <v>89</v>
      </c>
      <c r="Q561" s="35" t="s">
        <v>65</v>
      </c>
      <c r="R561" s="36">
        <v>45084.0</v>
      </c>
      <c r="S561" s="35" t="s">
        <v>78</v>
      </c>
      <c r="T561" s="54" t="s">
        <v>604</v>
      </c>
      <c r="U561" s="37" t="s">
        <v>67</v>
      </c>
      <c r="V561" s="38"/>
      <c r="W561" s="38"/>
      <c r="X561" s="27"/>
      <c r="Y561" s="39"/>
      <c r="Z561" s="39"/>
      <c r="AA561" s="39"/>
      <c r="AB561" s="40"/>
      <c r="AC561" s="27">
        <f t="shared" si="408"/>
        <v>0</v>
      </c>
      <c r="AD561" s="41"/>
      <c r="AE561" s="42"/>
      <c r="AF561" s="27"/>
      <c r="AG561" s="43">
        <f t="shared" si="411"/>
        <v>4501.575</v>
      </c>
      <c r="AH561" s="29"/>
      <c r="AI561" s="29"/>
      <c r="AJ561" s="29"/>
      <c r="AK561" s="29"/>
      <c r="AL561" s="27"/>
      <c r="AM561" s="44"/>
      <c r="AN561" s="45"/>
      <c r="AO561" s="46">
        <f t="shared" si="416"/>
        <v>2632.5</v>
      </c>
      <c r="AP561" s="57">
        <v>45084.0</v>
      </c>
      <c r="AQ561" s="43">
        <f t="shared" si="414"/>
        <v>4738.5</v>
      </c>
      <c r="AR561" s="43">
        <f t="shared" si="2"/>
        <v>236.925</v>
      </c>
      <c r="AS561" s="43">
        <f t="shared" si="3"/>
        <v>829.2375</v>
      </c>
      <c r="AT561" s="48">
        <f t="shared" si="4"/>
        <v>3672.3375</v>
      </c>
      <c r="AU561" s="49">
        <f t="shared" si="412"/>
        <v>3672.3375</v>
      </c>
      <c r="AV561" s="48"/>
      <c r="AW561" s="34">
        <f t="shared" si="341"/>
        <v>18726.45</v>
      </c>
      <c r="AX561" s="50">
        <f t="shared" si="413"/>
        <v>1039.8375</v>
      </c>
      <c r="AY561" s="43">
        <f t="shared" si="417"/>
        <v>311.95125</v>
      </c>
      <c r="AZ561" s="43"/>
      <c r="BA561" s="48">
        <f t="shared" si="410"/>
        <v>1039.8375</v>
      </c>
      <c r="BB561" s="27"/>
      <c r="BC561" s="27"/>
      <c r="BD561" s="51"/>
      <c r="BE561" s="52"/>
      <c r="BF561" s="27" t="s">
        <v>1942</v>
      </c>
      <c r="BG561" s="53">
        <v>0.0</v>
      </c>
      <c r="BH561" s="53" t="str">
        <f>'[1]2023'!Q883</f>
        <v>#REF!</v>
      </c>
      <c r="BI561" s="27"/>
      <c r="BJ561" s="27"/>
      <c r="BK561" s="27" t="s">
        <v>76</v>
      </c>
      <c r="BL561" s="27"/>
    </row>
    <row r="562" ht="14.25" customHeight="1">
      <c r="A562" s="26" t="s">
        <v>55</v>
      </c>
      <c r="B562" s="26" t="s">
        <v>56</v>
      </c>
      <c r="C562" s="26" t="s">
        <v>57</v>
      </c>
      <c r="D562" s="26" t="s">
        <v>81</v>
      </c>
      <c r="E562" s="27" t="s">
        <v>1944</v>
      </c>
      <c r="F562" s="28" t="s">
        <v>1945</v>
      </c>
      <c r="G562" s="29">
        <v>45084.0</v>
      </c>
      <c r="H562" s="30">
        <v>45084.0</v>
      </c>
      <c r="I562" s="30">
        <v>45449.0</v>
      </c>
      <c r="J562" s="31">
        <v>0.0</v>
      </c>
      <c r="K562" s="26" t="s">
        <v>887</v>
      </c>
      <c r="L562" s="32" t="s">
        <v>75</v>
      </c>
      <c r="M562" s="33">
        <v>38350.0</v>
      </c>
      <c r="N562" s="34">
        <v>40754.65</v>
      </c>
      <c r="O562" s="27" t="s">
        <v>76</v>
      </c>
      <c r="P562" s="35" t="s">
        <v>89</v>
      </c>
      <c r="Q562" s="35" t="s">
        <v>65</v>
      </c>
      <c r="R562" s="36">
        <v>45084.0</v>
      </c>
      <c r="S562" s="35" t="s">
        <v>86</v>
      </c>
      <c r="T562" s="35">
        <v>0.0</v>
      </c>
      <c r="U562" s="37" t="s">
        <v>67</v>
      </c>
      <c r="V562" s="38"/>
      <c r="W562" s="38"/>
      <c r="X562" s="27"/>
      <c r="Y562" s="39"/>
      <c r="Z562" s="39"/>
      <c r="AA562" s="39"/>
      <c r="AB562" s="40"/>
      <c r="AC562" s="27">
        <f t="shared" si="408"/>
        <v>0</v>
      </c>
      <c r="AD562" s="41"/>
      <c r="AE562" s="42"/>
      <c r="AF562" s="27"/>
      <c r="AG562" s="43">
        <f t="shared" si="411"/>
        <v>9836.775</v>
      </c>
      <c r="AH562" s="29"/>
      <c r="AI562" s="29"/>
      <c r="AJ562" s="29"/>
      <c r="AK562" s="29"/>
      <c r="AL562" s="27"/>
      <c r="AM562" s="44"/>
      <c r="AN562" s="68"/>
      <c r="AO562" s="46">
        <f t="shared" si="416"/>
        <v>0</v>
      </c>
      <c r="AP562" s="47"/>
      <c r="AQ562" s="43">
        <f t="shared" si="414"/>
        <v>10354.5</v>
      </c>
      <c r="AR562" s="43">
        <f t="shared" si="2"/>
        <v>517.725</v>
      </c>
      <c r="AS562" s="43">
        <f t="shared" si="3"/>
        <v>1812.0375</v>
      </c>
      <c r="AT562" s="48">
        <f t="shared" si="4"/>
        <v>8024.7375</v>
      </c>
      <c r="AU562" s="49">
        <f t="shared" si="412"/>
        <v>8024.7375</v>
      </c>
      <c r="AV562" s="48"/>
      <c r="AW562" s="34">
        <f t="shared" si="341"/>
        <v>40754.65</v>
      </c>
      <c r="AX562" s="50">
        <f t="shared" si="413"/>
        <v>8024.7375</v>
      </c>
      <c r="AY562" s="43">
        <f t="shared" si="417"/>
        <v>0</v>
      </c>
      <c r="AZ562" s="43"/>
      <c r="BA562" s="48">
        <f t="shared" si="410"/>
        <v>8024.7375</v>
      </c>
      <c r="BB562" s="27"/>
      <c r="BC562" s="27"/>
      <c r="BD562" s="51"/>
      <c r="BE562" s="52"/>
      <c r="BF562" s="27" t="s">
        <v>1944</v>
      </c>
      <c r="BG562" s="53">
        <v>0.0</v>
      </c>
      <c r="BH562" s="53" t="str">
        <f>'[1]2023'!Q903</f>
        <v>#REF!</v>
      </c>
      <c r="BI562" s="27"/>
      <c r="BJ562" s="27"/>
      <c r="BK562" s="27" t="s">
        <v>76</v>
      </c>
      <c r="BL562" s="27"/>
    </row>
    <row r="563" ht="14.25" customHeight="1">
      <c r="A563" s="26" t="s">
        <v>111</v>
      </c>
      <c r="B563" s="26" t="s">
        <v>56</v>
      </c>
      <c r="C563" s="26" t="s">
        <v>57</v>
      </c>
      <c r="D563" s="26" t="s">
        <v>71</v>
      </c>
      <c r="E563" s="27" t="s">
        <v>1946</v>
      </c>
      <c r="F563" s="28" t="s">
        <v>1947</v>
      </c>
      <c r="G563" s="29">
        <v>45084.0</v>
      </c>
      <c r="H563" s="30">
        <v>45084.0</v>
      </c>
      <c r="I563" s="30">
        <v>45449.0</v>
      </c>
      <c r="J563" s="31" t="s">
        <v>1948</v>
      </c>
      <c r="K563" s="26" t="s">
        <v>475</v>
      </c>
      <c r="L563" s="32" t="s">
        <v>63</v>
      </c>
      <c r="M563" s="33">
        <v>28312.22</v>
      </c>
      <c r="N563" s="34">
        <v>30380.0</v>
      </c>
      <c r="O563" s="27" t="s">
        <v>64</v>
      </c>
      <c r="P563" s="35">
        <v>0.0</v>
      </c>
      <c r="Q563" s="35" t="s">
        <v>114</v>
      </c>
      <c r="R563" s="36">
        <v>45093.0</v>
      </c>
      <c r="S563" s="35" t="s">
        <v>66</v>
      </c>
      <c r="T563" s="35">
        <v>0.0</v>
      </c>
      <c r="U563" s="37" t="s">
        <v>149</v>
      </c>
      <c r="V563" s="38">
        <v>1400000.0</v>
      </c>
      <c r="W563" s="38"/>
      <c r="X563" s="27"/>
      <c r="Y563" s="39"/>
      <c r="Z563" s="79" t="s">
        <v>1949</v>
      </c>
      <c r="AA563" s="39"/>
      <c r="AB563" s="40"/>
      <c r="AC563" s="27">
        <f t="shared" si="408"/>
        <v>0</v>
      </c>
      <c r="AD563" s="41">
        <f t="shared" ref="AD563:AD566" si="418">IF(AND(S563="0",O563="Paid"),(M563*15%)-AC563,0)</f>
        <v>0</v>
      </c>
      <c r="AE563" s="42"/>
      <c r="AF563" s="27"/>
      <c r="AG563" s="43">
        <f t="shared" ref="AG563:AG565" si="419">IF(O563="Paid",IF(A563="Alwataniya",(M563*21%)-((M563*21%)*5%),IF((A563="GIG"),(M563*25%)-((M563*25%)*5%),IF((A563="Allianz"),(M563*27%)-((M563*27%)*20%),0))),0)</f>
        <v>0</v>
      </c>
      <c r="AH563" s="29"/>
      <c r="AI563" s="29"/>
      <c r="AJ563" s="29"/>
      <c r="AK563" s="29"/>
      <c r="AL563" s="27"/>
      <c r="AM563" s="44"/>
      <c r="AN563" s="45"/>
      <c r="AO563" s="46"/>
      <c r="AP563" s="47"/>
      <c r="AQ563" s="43" t="b">
        <f>IF(O563="Paid",IF(U563="Motor Plus",(M563*27%),IF(U563="Motor One",(M563*22%),(IF(U563="Golden",(M563*25%),(IF(U563="Classic",(M563*15%),(IF(U563="Wethaq",(M563*28%),IF(U563="Alwataniya",(M563*21%))*0)))))))))</f>
        <v>0</v>
      </c>
      <c r="AR563" s="43">
        <f t="shared" si="2"/>
        <v>0</v>
      </c>
      <c r="AS563" s="43">
        <f t="shared" si="3"/>
        <v>0</v>
      </c>
      <c r="AT563" s="48">
        <f t="shared" si="4"/>
        <v>0</v>
      </c>
      <c r="AU563" s="49">
        <f t="shared" si="412"/>
        <v>0</v>
      </c>
      <c r="AV563" s="48"/>
      <c r="AW563" s="34">
        <f t="shared" si="341"/>
        <v>30380</v>
      </c>
      <c r="AX563" s="50">
        <f t="shared" si="413"/>
        <v>0</v>
      </c>
      <c r="AY563" s="43"/>
      <c r="AZ563" s="43"/>
      <c r="BA563" s="48">
        <f t="shared" si="410"/>
        <v>0</v>
      </c>
      <c r="BB563" s="27"/>
      <c r="BC563" s="27"/>
      <c r="BD563" s="51"/>
      <c r="BE563" s="52"/>
      <c r="BF563" s="27" t="s">
        <v>1950</v>
      </c>
      <c r="BG563" s="53">
        <v>0.0</v>
      </c>
      <c r="BH563" s="53" t="str">
        <f>'[1]2023'!Q943</f>
        <v>#REF!</v>
      </c>
      <c r="BI563" s="27"/>
      <c r="BJ563" s="27"/>
      <c r="BK563" s="27" t="s">
        <v>64</v>
      </c>
      <c r="BL563" s="27"/>
    </row>
    <row r="564" ht="14.25" customHeight="1">
      <c r="A564" s="26" t="s">
        <v>111</v>
      </c>
      <c r="B564" s="26" t="s">
        <v>56</v>
      </c>
      <c r="C564" s="26" t="s">
        <v>57</v>
      </c>
      <c r="D564" s="26" t="s">
        <v>71</v>
      </c>
      <c r="E564" s="27" t="s">
        <v>1951</v>
      </c>
      <c r="F564" s="28" t="s">
        <v>1952</v>
      </c>
      <c r="G564" s="29">
        <v>45084.0</v>
      </c>
      <c r="H564" s="30">
        <v>45084.0</v>
      </c>
      <c r="I564" s="30">
        <v>45449.0</v>
      </c>
      <c r="J564" s="31" t="s">
        <v>1953</v>
      </c>
      <c r="K564" s="26" t="s">
        <v>887</v>
      </c>
      <c r="L564" s="69">
        <v>45113.0</v>
      </c>
      <c r="M564" s="33">
        <v>31526.5</v>
      </c>
      <c r="N564" s="34">
        <v>33800.0</v>
      </c>
      <c r="O564" s="27" t="s">
        <v>76</v>
      </c>
      <c r="P564" s="35" t="s">
        <v>430</v>
      </c>
      <c r="Q564" s="35" t="s">
        <v>114</v>
      </c>
      <c r="R564" s="36">
        <v>45093.0</v>
      </c>
      <c r="S564" s="35" t="s">
        <v>66</v>
      </c>
      <c r="T564" s="35">
        <v>0.0</v>
      </c>
      <c r="U564" s="37" t="s">
        <v>115</v>
      </c>
      <c r="V564" s="38">
        <v>1300000.0</v>
      </c>
      <c r="W564" s="38"/>
      <c r="X564" s="27"/>
      <c r="Y564" s="39"/>
      <c r="Z564" s="79" t="s">
        <v>1954</v>
      </c>
      <c r="AA564" s="39"/>
      <c r="AB564" s="40"/>
      <c r="AC564" s="27">
        <f t="shared" si="408"/>
        <v>0</v>
      </c>
      <c r="AD564" s="41">
        <f t="shared" si="418"/>
        <v>0</v>
      </c>
      <c r="AE564" s="42"/>
      <c r="AF564" s="27"/>
      <c r="AG564" s="43">
        <f t="shared" si="419"/>
        <v>7487.54375</v>
      </c>
      <c r="AH564" s="29">
        <v>45237.0</v>
      </c>
      <c r="AI564" s="29">
        <v>45177.0</v>
      </c>
      <c r="AJ564" s="29"/>
      <c r="AK564" s="29" t="s">
        <v>922</v>
      </c>
      <c r="AL564" s="27"/>
      <c r="AM564" s="46">
        <f>((M564*25%)-AC564-((M564*25%)*22.5%))*30%</f>
        <v>1832.477813</v>
      </c>
      <c r="AN564" s="45" t="s">
        <v>1730</v>
      </c>
      <c r="AO564" s="46">
        <f>IF(T564&lt;&gt;0,M564*15%,0)</f>
        <v>0</v>
      </c>
      <c r="AP564" s="47"/>
      <c r="AQ564" s="43">
        <f t="shared" ref="AQ564:AQ565" si="420">IF(U564="Motor Plus",(M564*27%),IF(U564="Motor One",(M564*22%),(IF(U564="Golden",(M564*25%),(IF(U564="Classic",(M564*15%),(IF(U564="Wethaq",(M564*28%),IF(U564="Alwataniya",(M564*21%))*0))))))))</f>
        <v>7881.625</v>
      </c>
      <c r="AR564" s="43">
        <f t="shared" si="2"/>
        <v>394.08125</v>
      </c>
      <c r="AS564" s="43">
        <f t="shared" si="3"/>
        <v>1379.284375</v>
      </c>
      <c r="AT564" s="48">
        <f t="shared" si="4"/>
        <v>6108.259375</v>
      </c>
      <c r="AU564" s="49">
        <f t="shared" si="412"/>
        <v>6108.259375</v>
      </c>
      <c r="AV564" s="48"/>
      <c r="AW564" s="34">
        <f t="shared" si="341"/>
        <v>33800</v>
      </c>
      <c r="AX564" s="50">
        <f t="shared" si="413"/>
        <v>4275.781563</v>
      </c>
      <c r="AY564" s="43">
        <f>IF(T564&lt;&gt;0,(AU564-AO564),0)*30%</f>
        <v>0</v>
      </c>
      <c r="AZ564" s="43"/>
      <c r="BA564" s="48">
        <f t="shared" si="410"/>
        <v>4275.781563</v>
      </c>
      <c r="BB564" s="27"/>
      <c r="BC564" s="27"/>
      <c r="BD564" s="51"/>
      <c r="BE564" s="52"/>
      <c r="BF564" s="27" t="s">
        <v>1951</v>
      </c>
      <c r="BG564" s="53">
        <v>0.0</v>
      </c>
      <c r="BH564" s="53" t="str">
        <f t="shared" ref="BH564:BH565" si="421">'[1]2023'!Q945</f>
        <v>#REF!</v>
      </c>
      <c r="BI564" s="27"/>
      <c r="BJ564" s="27"/>
      <c r="BK564" s="27" t="s">
        <v>76</v>
      </c>
      <c r="BL564" s="27"/>
    </row>
    <row r="565" ht="14.25" customHeight="1">
      <c r="A565" s="26" t="s">
        <v>111</v>
      </c>
      <c r="B565" s="26" t="s">
        <v>56</v>
      </c>
      <c r="C565" s="26" t="s">
        <v>57</v>
      </c>
      <c r="D565" s="26" t="s">
        <v>71</v>
      </c>
      <c r="E565" s="27" t="s">
        <v>1955</v>
      </c>
      <c r="F565" s="28" t="s">
        <v>1956</v>
      </c>
      <c r="G565" s="29">
        <v>45084.0</v>
      </c>
      <c r="H565" s="30">
        <v>45084.0</v>
      </c>
      <c r="I565" s="30">
        <v>45449.0</v>
      </c>
      <c r="J565" s="31" t="s">
        <v>1957</v>
      </c>
      <c r="K565" s="26" t="s">
        <v>887</v>
      </c>
      <c r="L565" s="69">
        <v>45126.0</v>
      </c>
      <c r="M565" s="33">
        <v>15643.05</v>
      </c>
      <c r="N565" s="34">
        <v>16900.0</v>
      </c>
      <c r="O565" s="27" t="s">
        <v>76</v>
      </c>
      <c r="P565" s="35" t="s">
        <v>430</v>
      </c>
      <c r="Q565" s="35" t="s">
        <v>114</v>
      </c>
      <c r="R565" s="36">
        <v>45093.0</v>
      </c>
      <c r="S565" s="35" t="s">
        <v>231</v>
      </c>
      <c r="T565" s="35">
        <v>0.0</v>
      </c>
      <c r="U565" s="37" t="s">
        <v>115</v>
      </c>
      <c r="V565" s="38">
        <v>650000.0</v>
      </c>
      <c r="W565" s="38"/>
      <c r="X565" s="27"/>
      <c r="Y565" s="39"/>
      <c r="Z565" s="79" t="s">
        <v>1958</v>
      </c>
      <c r="AA565" s="39"/>
      <c r="AB565" s="40"/>
      <c r="AC565" s="27">
        <f t="shared" si="408"/>
        <v>0</v>
      </c>
      <c r="AD565" s="41">
        <f t="shared" si="418"/>
        <v>0</v>
      </c>
      <c r="AE565" s="42"/>
      <c r="AF565" s="27"/>
      <c r="AG565" s="43">
        <f t="shared" si="419"/>
        <v>3715.224375</v>
      </c>
      <c r="AH565" s="29" t="s">
        <v>1747</v>
      </c>
      <c r="AI565" s="29">
        <v>45177.0</v>
      </c>
      <c r="AJ565" s="29"/>
      <c r="AK565" s="29" t="s">
        <v>922</v>
      </c>
      <c r="AL565" s="27"/>
      <c r="AM565" s="46"/>
      <c r="AN565" s="45"/>
      <c r="AO565" s="46">
        <f>(M565*25%)-((M565*25%)*22.5%)</f>
        <v>3030.840938</v>
      </c>
      <c r="AP565" s="63" t="s">
        <v>886</v>
      </c>
      <c r="AQ565" s="43">
        <f t="shared" si="420"/>
        <v>3910.7625</v>
      </c>
      <c r="AR565" s="43">
        <f t="shared" si="2"/>
        <v>195.538125</v>
      </c>
      <c r="AS565" s="43">
        <f t="shared" si="3"/>
        <v>684.3834375</v>
      </c>
      <c r="AT565" s="48">
        <f t="shared" si="4"/>
        <v>3030.840938</v>
      </c>
      <c r="AU565" s="49">
        <f t="shared" si="412"/>
        <v>3030.840938</v>
      </c>
      <c r="AV565" s="48"/>
      <c r="AW565" s="34">
        <f t="shared" si="341"/>
        <v>16900</v>
      </c>
      <c r="AX565" s="113">
        <f t="shared" si="413"/>
        <v>0</v>
      </c>
      <c r="AY565" s="43"/>
      <c r="AZ565" s="43"/>
      <c r="BA565" s="48">
        <f t="shared" si="410"/>
        <v>0</v>
      </c>
      <c r="BB565" s="27"/>
      <c r="BC565" s="27"/>
      <c r="BD565" s="51"/>
      <c r="BE565" s="52" t="s">
        <v>887</v>
      </c>
      <c r="BF565" s="27" t="s">
        <v>1955</v>
      </c>
      <c r="BG565" s="53">
        <v>0.0</v>
      </c>
      <c r="BH565" s="53" t="str">
        <f t="shared" si="421"/>
        <v>#REF!</v>
      </c>
      <c r="BI565" s="27"/>
      <c r="BJ565" s="27"/>
      <c r="BK565" s="27" t="s">
        <v>76</v>
      </c>
      <c r="BL565" s="27"/>
    </row>
    <row r="566" ht="14.25" customHeight="1">
      <c r="A566" s="26" t="s">
        <v>1634</v>
      </c>
      <c r="B566" s="26" t="s">
        <v>69</v>
      </c>
      <c r="C566" s="26" t="s">
        <v>57</v>
      </c>
      <c r="D566" s="26" t="s">
        <v>58</v>
      </c>
      <c r="E566" s="27" t="s">
        <v>1959</v>
      </c>
      <c r="F566" s="28" t="s">
        <v>1960</v>
      </c>
      <c r="G566" s="29">
        <v>45084.0</v>
      </c>
      <c r="H566" s="30">
        <v>45084.0</v>
      </c>
      <c r="I566" s="30">
        <v>45449.0</v>
      </c>
      <c r="J566" s="31">
        <v>0.0</v>
      </c>
      <c r="K566" s="26" t="s">
        <v>887</v>
      </c>
      <c r="L566" s="89">
        <v>45225.0</v>
      </c>
      <c r="M566" s="33">
        <v>40.1</v>
      </c>
      <c r="N566" s="34">
        <v>97.0</v>
      </c>
      <c r="O566" s="27" t="s">
        <v>76</v>
      </c>
      <c r="P566" s="35" t="s">
        <v>77</v>
      </c>
      <c r="Q566" s="35">
        <v>0.0</v>
      </c>
      <c r="R566" s="36">
        <v>45084.0</v>
      </c>
      <c r="S566" s="35" t="s">
        <v>78</v>
      </c>
      <c r="T566" s="54" t="s">
        <v>79</v>
      </c>
      <c r="U566" s="37" t="s">
        <v>1634</v>
      </c>
      <c r="V566" s="38"/>
      <c r="W566" s="38"/>
      <c r="X566" s="27"/>
      <c r="Y566" s="39"/>
      <c r="Z566" s="39"/>
      <c r="AA566" s="39"/>
      <c r="AB566" s="40"/>
      <c r="AC566" s="27">
        <f t="shared" si="408"/>
        <v>0</v>
      </c>
      <c r="AD566" s="41">
        <f t="shared" si="418"/>
        <v>0</v>
      </c>
      <c r="AE566" s="42"/>
      <c r="AF566" s="27"/>
      <c r="AG566" s="43">
        <f>(M566*16.75%)-((M566*16.75%)*5%)</f>
        <v>6.3809125</v>
      </c>
      <c r="AH566" s="29"/>
      <c r="AI566" s="29"/>
      <c r="AJ566" s="55"/>
      <c r="AK566" s="29"/>
      <c r="AL566" s="27"/>
      <c r="AM566" s="44"/>
      <c r="AN566" s="68"/>
      <c r="AO566" s="149">
        <f>((AF566*AJ566)-((AF566*AJ566)*22.5%))*80%</f>
        <v>0</v>
      </c>
      <c r="AP566" s="47"/>
      <c r="AQ566" s="43">
        <f>IF(O566="Paid",IF(U566="Motor Plus",(M566*27%),IF(U566="Motor One",(M566*22%),(IF(U566="Golden",(M566*25%),(IF(U566="Classic",(M566*15%),(IF(U566="Wethaq",(M566*28%),IF(U566="Alwataniya",(M566*21%))*0)))))))))</f>
        <v>0</v>
      </c>
      <c r="AR566" s="43">
        <f t="shared" si="2"/>
        <v>0</v>
      </c>
      <c r="AS566" s="43">
        <f t="shared" si="3"/>
        <v>0</v>
      </c>
      <c r="AT566" s="48">
        <f t="shared" si="4"/>
        <v>0</v>
      </c>
      <c r="AU566" s="49">
        <f t="shared" si="412"/>
        <v>0</v>
      </c>
      <c r="AV566" s="48"/>
      <c r="AW566" s="34">
        <f t="shared" si="341"/>
        <v>97</v>
      </c>
      <c r="AX566" s="50">
        <f t="shared" si="413"/>
        <v>6.3809125</v>
      </c>
      <c r="AY566" s="43"/>
      <c r="AZ566" s="47"/>
      <c r="BA566" s="48">
        <f t="shared" si="410"/>
        <v>0</v>
      </c>
      <c r="BB566" s="27"/>
      <c r="BC566" s="27"/>
      <c r="BD566" s="51"/>
      <c r="BE566" s="52"/>
      <c r="BF566" s="27" t="s">
        <v>1959</v>
      </c>
      <c r="BG566" s="53">
        <v>0.0</v>
      </c>
      <c r="BH566" s="53" t="str">
        <f>'[1]2023'!Q956</f>
        <v>#REF!</v>
      </c>
      <c r="BI566" s="27"/>
      <c r="BJ566" s="27"/>
      <c r="BK566" s="27" t="s">
        <v>76</v>
      </c>
      <c r="BL566" s="27"/>
    </row>
    <row r="567" ht="14.25" customHeight="1">
      <c r="A567" s="26" t="s">
        <v>55</v>
      </c>
      <c r="B567" s="26" t="s">
        <v>56</v>
      </c>
      <c r="C567" s="26" t="s">
        <v>57</v>
      </c>
      <c r="D567" s="26" t="s">
        <v>71</v>
      </c>
      <c r="E567" s="27" t="s">
        <v>1961</v>
      </c>
      <c r="F567" s="28" t="s">
        <v>1962</v>
      </c>
      <c r="G567" s="29">
        <v>45084.0</v>
      </c>
      <c r="H567" s="30">
        <v>45084.0</v>
      </c>
      <c r="I567" s="30">
        <v>45449.0</v>
      </c>
      <c r="J567" s="31" t="s">
        <v>1963</v>
      </c>
      <c r="K567" s="26" t="s">
        <v>887</v>
      </c>
      <c r="L567" s="32" t="s">
        <v>1964</v>
      </c>
      <c r="M567" s="33">
        <v>14787.5</v>
      </c>
      <c r="N567" s="34">
        <v>15800.95</v>
      </c>
      <c r="O567" s="27" t="s">
        <v>76</v>
      </c>
      <c r="P567" s="35" t="s">
        <v>122</v>
      </c>
      <c r="Q567" s="35" t="s">
        <v>65</v>
      </c>
      <c r="R567" s="36">
        <v>45084.0</v>
      </c>
      <c r="S567" s="35" t="s">
        <v>66</v>
      </c>
      <c r="T567" s="35">
        <v>0.0</v>
      </c>
      <c r="U567" s="37" t="s">
        <v>67</v>
      </c>
      <c r="V567" s="38">
        <v>650000.0</v>
      </c>
      <c r="W567" s="78">
        <v>64483.0</v>
      </c>
      <c r="X567" s="27">
        <v>2021.0</v>
      </c>
      <c r="Y567" s="39"/>
      <c r="Z567" s="79" t="s">
        <v>1707</v>
      </c>
      <c r="AA567" s="39"/>
      <c r="AB567" s="40"/>
      <c r="AC567" s="27">
        <f t="shared" si="408"/>
        <v>0</v>
      </c>
      <c r="AD567" s="41"/>
      <c r="AE567" s="42"/>
      <c r="AF567" s="27"/>
      <c r="AG567" s="43">
        <f t="shared" ref="AG567:AG576" si="422">IF(O567="Paid",IF(A567="Alwataniya",(M567*21%)-((M567*21%)*5%),IF((A567="GIG"),(M567*25%)-((M567*25%)*5%),IF((A567="Allianz"),(M567*27%)-((M567*27%)*5%),0))),0)</f>
        <v>3792.99375</v>
      </c>
      <c r="AH567" s="29"/>
      <c r="AI567" s="29"/>
      <c r="AJ567" s="55"/>
      <c r="AK567" s="29"/>
      <c r="AL567" s="27"/>
      <c r="AM567" s="46">
        <f>((M567*27%)-AC567-((M567*27%)*22.5%))*30%</f>
        <v>928.2853125</v>
      </c>
      <c r="AN567" s="45" t="s">
        <v>1730</v>
      </c>
      <c r="AO567" s="46"/>
      <c r="AP567" s="47"/>
      <c r="AQ567" s="43">
        <f>IF(U567="Motor Plus",(M567*27%),IF(U567="Motor One",(M567*22%),(IF(U567="Golden",(M567*25%),(IF(U567="Classic",(M567*15%),(IF(U567="Wethaq",(M567*28%),IF(U567="Alwataniya",(M567*21%))*0))))))))</f>
        <v>3992.625</v>
      </c>
      <c r="AR567" s="43">
        <f t="shared" si="2"/>
        <v>199.63125</v>
      </c>
      <c r="AS567" s="43">
        <f t="shared" si="3"/>
        <v>698.709375</v>
      </c>
      <c r="AT567" s="48">
        <f t="shared" si="4"/>
        <v>3094.284375</v>
      </c>
      <c r="AU567" s="49">
        <f t="shared" si="412"/>
        <v>3094.284375</v>
      </c>
      <c r="AV567" s="48"/>
      <c r="AW567" s="34">
        <f t="shared" si="341"/>
        <v>15800.95</v>
      </c>
      <c r="AX567" s="50">
        <f t="shared" si="413"/>
        <v>2165.999063</v>
      </c>
      <c r="AY567" s="43"/>
      <c r="AZ567" s="47"/>
      <c r="BA567" s="48">
        <f t="shared" si="410"/>
        <v>2165.999063</v>
      </c>
      <c r="BB567" s="27"/>
      <c r="BC567" s="27"/>
      <c r="BD567" s="51"/>
      <c r="BE567" s="52"/>
      <c r="BF567" s="27" t="s">
        <v>1961</v>
      </c>
      <c r="BG567" s="58" t="s">
        <v>1965</v>
      </c>
      <c r="BH567" s="53" t="str">
        <f>'[1]2023'!Q968</f>
        <v>#REF!</v>
      </c>
      <c r="BI567" s="27"/>
      <c r="BJ567" s="27"/>
      <c r="BK567" s="27" t="s">
        <v>76</v>
      </c>
      <c r="BL567" s="27"/>
    </row>
    <row r="568" ht="14.25" customHeight="1">
      <c r="A568" s="26" t="s">
        <v>55</v>
      </c>
      <c r="B568" s="26" t="s">
        <v>56</v>
      </c>
      <c r="C568" s="26" t="s">
        <v>57</v>
      </c>
      <c r="D568" s="26" t="s">
        <v>58</v>
      </c>
      <c r="E568" s="27" t="s">
        <v>1966</v>
      </c>
      <c r="F568" s="28" t="s">
        <v>1967</v>
      </c>
      <c r="G568" s="29">
        <v>45085.0</v>
      </c>
      <c r="H568" s="30">
        <v>45085.0</v>
      </c>
      <c r="I568" s="30">
        <v>45450.0</v>
      </c>
      <c r="J568" s="31">
        <v>0.0</v>
      </c>
      <c r="K568" s="26" t="s">
        <v>440</v>
      </c>
      <c r="L568" s="32" t="s">
        <v>63</v>
      </c>
      <c r="M568" s="33" t="s">
        <v>63</v>
      </c>
      <c r="N568" s="34" t="s">
        <v>63</v>
      </c>
      <c r="O568" s="27" t="s">
        <v>64</v>
      </c>
      <c r="P568" s="35">
        <v>0.0</v>
      </c>
      <c r="Q568" s="35" t="s">
        <v>65</v>
      </c>
      <c r="R568" s="36">
        <v>45085.0</v>
      </c>
      <c r="S568" s="35" t="s">
        <v>86</v>
      </c>
      <c r="T568" s="35">
        <v>0.0</v>
      </c>
      <c r="U568" s="37" t="s">
        <v>58</v>
      </c>
      <c r="V568" s="38"/>
      <c r="W568" s="38"/>
      <c r="X568" s="27"/>
      <c r="Y568" s="39"/>
      <c r="Z568" s="39"/>
      <c r="AA568" s="39"/>
      <c r="AB568" s="40"/>
      <c r="AC568" s="27" t="str">
        <f t="shared" si="408"/>
        <v>#VALUE!</v>
      </c>
      <c r="AD568" s="41">
        <f t="shared" ref="AD568:AD575" si="423">IF(AND(S568="0",O568="Paid"),(M568*15%)-AC568,0)</f>
        <v>0</v>
      </c>
      <c r="AE568" s="42"/>
      <c r="AF568" s="27"/>
      <c r="AG568" s="43">
        <f t="shared" si="422"/>
        <v>0</v>
      </c>
      <c r="AH568" s="29"/>
      <c r="AI568" s="29"/>
      <c r="AJ568" s="29"/>
      <c r="AK568" s="29"/>
      <c r="AL568" s="27"/>
      <c r="AM568" s="44"/>
      <c r="AN568" s="45"/>
      <c r="AO568" s="46"/>
      <c r="AP568" s="47"/>
      <c r="AQ568" s="43" t="b">
        <f>IF(O568="Paid",IF(U568="Motor Plus",(M568*27%),IF(U568="Motor One",(M568*22%),(IF(U568="Golden",(M568*25%),(IF(U568="Classic",(M568*15%),(IF(U568="Wethaq",(M568*28%),IF(U568="Alwataniya",(M568*21%))*0)))))))))</f>
        <v>0</v>
      </c>
      <c r="AR568" s="43">
        <f t="shared" si="2"/>
        <v>0</v>
      </c>
      <c r="AS568" s="43">
        <f t="shared" si="3"/>
        <v>0</v>
      </c>
      <c r="AT568" s="48">
        <f t="shared" si="4"/>
        <v>0</v>
      </c>
      <c r="AU568" s="49" t="str">
        <f t="shared" si="412"/>
        <v>#VALUE!</v>
      </c>
      <c r="AV568" s="48"/>
      <c r="AW568" s="27" t="str">
        <f t="shared" si="341"/>
        <v>#VALUE!</v>
      </c>
      <c r="AX568" s="50">
        <f t="shared" si="413"/>
        <v>0</v>
      </c>
      <c r="AY568" s="43"/>
      <c r="AZ568" s="43"/>
      <c r="BA568" s="48" t="str">
        <f t="shared" si="410"/>
        <v>#VALUE!</v>
      </c>
      <c r="BB568" s="27"/>
      <c r="BC568" s="27"/>
      <c r="BD568" s="51"/>
      <c r="BE568" s="52"/>
      <c r="BF568" s="27" t="s">
        <v>1966</v>
      </c>
      <c r="BG568" s="53">
        <v>0.0</v>
      </c>
      <c r="BH568" s="53" t="str">
        <f>'[1]2023'!Q816</f>
        <v>#REF!</v>
      </c>
      <c r="BI568" s="27"/>
      <c r="BJ568" s="27"/>
      <c r="BK568" s="27" t="s">
        <v>64</v>
      </c>
      <c r="BL568" s="27"/>
    </row>
    <row r="569" ht="14.25" customHeight="1">
      <c r="A569" s="26" t="s">
        <v>55</v>
      </c>
      <c r="B569" s="26" t="s">
        <v>56</v>
      </c>
      <c r="C569" s="26" t="s">
        <v>57</v>
      </c>
      <c r="D569" s="26" t="s">
        <v>81</v>
      </c>
      <c r="E569" s="27" t="s">
        <v>1968</v>
      </c>
      <c r="F569" s="28" t="s">
        <v>1969</v>
      </c>
      <c r="G569" s="29">
        <v>45085.0</v>
      </c>
      <c r="H569" s="30">
        <v>45085.0</v>
      </c>
      <c r="I569" s="30">
        <v>45450.0</v>
      </c>
      <c r="J569" s="31">
        <v>0.0</v>
      </c>
      <c r="K569" s="26" t="s">
        <v>455</v>
      </c>
      <c r="L569" s="32" t="s">
        <v>75</v>
      </c>
      <c r="M569" s="33">
        <v>15675.0</v>
      </c>
      <c r="N569" s="34">
        <v>16740.83</v>
      </c>
      <c r="O569" s="27" t="s">
        <v>76</v>
      </c>
      <c r="P569" s="35" t="s">
        <v>122</v>
      </c>
      <c r="Q569" s="35" t="s">
        <v>90</v>
      </c>
      <c r="R569" s="36">
        <v>45085.0</v>
      </c>
      <c r="S569" s="35" t="s">
        <v>86</v>
      </c>
      <c r="T569" s="35">
        <v>0.0</v>
      </c>
      <c r="U569" s="37" t="s">
        <v>67</v>
      </c>
      <c r="V569" s="38"/>
      <c r="W569" s="38"/>
      <c r="X569" s="27"/>
      <c r="Y569" s="39"/>
      <c r="Z569" s="79" t="s">
        <v>1970</v>
      </c>
      <c r="AA569" s="39"/>
      <c r="AB569" s="40"/>
      <c r="AC569" s="27">
        <f t="shared" si="408"/>
        <v>0</v>
      </c>
      <c r="AD569" s="41">
        <f t="shared" si="423"/>
        <v>2351.25</v>
      </c>
      <c r="AE569" s="42"/>
      <c r="AF569" s="27"/>
      <c r="AG569" s="43">
        <f t="shared" si="422"/>
        <v>4020.6375</v>
      </c>
      <c r="AH569" s="29"/>
      <c r="AI569" s="29"/>
      <c r="AJ569" s="29"/>
      <c r="AK569" s="29"/>
      <c r="AL569" s="27"/>
      <c r="AM569" s="44"/>
      <c r="AN569" s="68"/>
      <c r="AO569" s="46"/>
      <c r="AP569" s="47"/>
      <c r="AQ569" s="43">
        <f t="shared" ref="AQ569:AQ570" si="424">IF(U569="Motor Plus",(M569*27%),IF(U569="Motor One",(M569*22%),(IF(U569="Golden",(M569*25%),(IF(U569="Classic",(M569*15%),(IF(U569="Wethaq",(M569*28%),IF(U569="Alwataniya",(M569*21%))*0))))))))</f>
        <v>4232.25</v>
      </c>
      <c r="AR569" s="43">
        <f t="shared" si="2"/>
        <v>211.6125</v>
      </c>
      <c r="AS569" s="43">
        <f t="shared" si="3"/>
        <v>740.64375</v>
      </c>
      <c r="AT569" s="48">
        <f t="shared" si="4"/>
        <v>3279.99375</v>
      </c>
      <c r="AU569" s="49">
        <f t="shared" ref="AU569:AU575" si="425">AQ569-AR569-AS569-AC569-AO569</f>
        <v>3279.99375</v>
      </c>
      <c r="AV569" s="48"/>
      <c r="AW569" s="34">
        <f t="shared" si="341"/>
        <v>14389.58</v>
      </c>
      <c r="AX569" s="50">
        <f t="shared" si="413"/>
        <v>928.74375</v>
      </c>
      <c r="AY569" s="43"/>
      <c r="AZ569" s="47"/>
      <c r="BA569" s="48">
        <f t="shared" si="410"/>
        <v>3279.99375</v>
      </c>
      <c r="BB569" s="27"/>
      <c r="BC569" s="27"/>
      <c r="BD569" s="51"/>
      <c r="BE569" s="52"/>
      <c r="BF569" s="27" t="s">
        <v>1968</v>
      </c>
      <c r="BG569" s="53">
        <v>0.0</v>
      </c>
      <c r="BH569" s="53" t="str">
        <f>'[1]2023'!Q1030</f>
        <v>#REF!</v>
      </c>
      <c r="BI569" s="27"/>
      <c r="BJ569" s="27"/>
      <c r="BK569" s="27" t="s">
        <v>76</v>
      </c>
      <c r="BL569" s="27"/>
    </row>
    <row r="570" ht="14.25" customHeight="1">
      <c r="A570" s="26" t="s">
        <v>55</v>
      </c>
      <c r="B570" s="26" t="s">
        <v>56</v>
      </c>
      <c r="C570" s="26" t="s">
        <v>57</v>
      </c>
      <c r="D570" s="26" t="s">
        <v>81</v>
      </c>
      <c r="E570" s="27" t="s">
        <v>1971</v>
      </c>
      <c r="F570" s="28" t="s">
        <v>1972</v>
      </c>
      <c r="G570" s="29">
        <v>45085.0</v>
      </c>
      <c r="H570" s="30">
        <v>45085.0</v>
      </c>
      <c r="I570" s="30">
        <v>45450.0</v>
      </c>
      <c r="J570" s="31">
        <v>0.0</v>
      </c>
      <c r="K570" s="26" t="s">
        <v>455</v>
      </c>
      <c r="L570" s="73" t="s">
        <v>75</v>
      </c>
      <c r="M570" s="33">
        <v>21240.0</v>
      </c>
      <c r="N570" s="34">
        <v>22634.16</v>
      </c>
      <c r="O570" s="27" t="s">
        <v>76</v>
      </c>
      <c r="P570" s="35" t="s">
        <v>122</v>
      </c>
      <c r="Q570" s="35" t="s">
        <v>90</v>
      </c>
      <c r="R570" s="36">
        <v>45085.0</v>
      </c>
      <c r="S570" s="35" t="s">
        <v>86</v>
      </c>
      <c r="T570" s="35">
        <v>0.0</v>
      </c>
      <c r="U570" s="37" t="s">
        <v>67</v>
      </c>
      <c r="V570" s="38"/>
      <c r="W570" s="38"/>
      <c r="X570" s="27"/>
      <c r="Y570" s="39"/>
      <c r="Z570" s="79" t="s">
        <v>407</v>
      </c>
      <c r="AA570" s="39"/>
      <c r="AB570" s="40"/>
      <c r="AC570" s="27">
        <f t="shared" si="408"/>
        <v>0</v>
      </c>
      <c r="AD570" s="41">
        <f t="shared" si="423"/>
        <v>3186</v>
      </c>
      <c r="AE570" s="42"/>
      <c r="AF570" s="27"/>
      <c r="AG570" s="43">
        <f t="shared" si="422"/>
        <v>5448.06</v>
      </c>
      <c r="AH570" s="29"/>
      <c r="AI570" s="29"/>
      <c r="AJ570" s="29"/>
      <c r="AK570" s="75"/>
      <c r="AL570" s="27"/>
      <c r="AM570" s="27"/>
      <c r="AN570" s="47"/>
      <c r="AO570" s="76"/>
      <c r="AP570" s="47"/>
      <c r="AQ570" s="43">
        <f t="shared" si="424"/>
        <v>5734.8</v>
      </c>
      <c r="AR570" s="43">
        <f t="shared" si="2"/>
        <v>286.74</v>
      </c>
      <c r="AS570" s="43">
        <f t="shared" si="3"/>
        <v>1003.59</v>
      </c>
      <c r="AT570" s="48">
        <f t="shared" si="4"/>
        <v>4444.47</v>
      </c>
      <c r="AU570" s="49">
        <f t="shared" si="425"/>
        <v>4444.47</v>
      </c>
      <c r="AV570" s="48"/>
      <c r="AW570" s="34">
        <f t="shared" si="341"/>
        <v>19448.16</v>
      </c>
      <c r="AX570" s="50">
        <f t="shared" si="413"/>
        <v>1258.47</v>
      </c>
      <c r="AY570" s="43"/>
      <c r="AZ570" s="47"/>
      <c r="BA570" s="48">
        <f t="shared" si="410"/>
        <v>4444.47</v>
      </c>
      <c r="BB570" s="27"/>
      <c r="BC570" s="27"/>
      <c r="BD570" s="51"/>
      <c r="BE570" s="52"/>
      <c r="BF570" s="27" t="s">
        <v>1971</v>
      </c>
      <c r="BG570" s="53">
        <v>0.0</v>
      </c>
      <c r="BH570" s="53" t="str">
        <f>'[1]2023'!Q1041</f>
        <v>#REF!</v>
      </c>
      <c r="BI570" s="27"/>
      <c r="BJ570" s="27"/>
      <c r="BK570" s="27" t="s">
        <v>76</v>
      </c>
      <c r="BL570" s="27"/>
    </row>
    <row r="571" ht="14.25" customHeight="1">
      <c r="A571" s="26" t="s">
        <v>55</v>
      </c>
      <c r="B571" s="26" t="s">
        <v>56</v>
      </c>
      <c r="C571" s="26" t="s">
        <v>57</v>
      </c>
      <c r="D571" s="26" t="s">
        <v>58</v>
      </c>
      <c r="E571" s="27" t="s">
        <v>1973</v>
      </c>
      <c r="F571" s="28" t="s">
        <v>1974</v>
      </c>
      <c r="G571" s="29">
        <v>45085.0</v>
      </c>
      <c r="H571" s="30">
        <v>45085.0</v>
      </c>
      <c r="I571" s="30">
        <v>45450.0</v>
      </c>
      <c r="J571" s="31">
        <v>0.0</v>
      </c>
      <c r="K571" s="26" t="s">
        <v>440</v>
      </c>
      <c r="L571" s="32" t="s">
        <v>63</v>
      </c>
      <c r="M571" s="33">
        <v>0.0</v>
      </c>
      <c r="N571" s="34">
        <v>0.0</v>
      </c>
      <c r="O571" s="27" t="s">
        <v>64</v>
      </c>
      <c r="P571" s="35">
        <v>0.0</v>
      </c>
      <c r="Q571" s="35">
        <v>0.0</v>
      </c>
      <c r="R571" s="36">
        <v>45085.0</v>
      </c>
      <c r="S571" s="35" t="s">
        <v>86</v>
      </c>
      <c r="T571" s="35">
        <v>0.0</v>
      </c>
      <c r="U571" s="37">
        <v>0.0</v>
      </c>
      <c r="V571" s="38"/>
      <c r="W571" s="38"/>
      <c r="X571" s="27"/>
      <c r="Y571" s="39"/>
      <c r="Z571" s="39"/>
      <c r="AA571" s="39"/>
      <c r="AB571" s="27"/>
      <c r="AC571" s="27">
        <f t="shared" si="408"/>
        <v>0</v>
      </c>
      <c r="AD571" s="41">
        <f t="shared" si="423"/>
        <v>0</v>
      </c>
      <c r="AE571" s="42"/>
      <c r="AF571" s="27"/>
      <c r="AG571" s="43">
        <f t="shared" si="422"/>
        <v>0</v>
      </c>
      <c r="AH571" s="29"/>
      <c r="AI571" s="29"/>
      <c r="AJ571" s="29"/>
      <c r="AK571" s="29"/>
      <c r="AL571" s="27"/>
      <c r="AM571" s="44"/>
      <c r="AN571" s="68"/>
      <c r="AO571" s="46"/>
      <c r="AP571" s="47"/>
      <c r="AQ571" s="43" t="b">
        <f>IF(O571="Paid",IF(U571="Motor Plus",(M571*27%),IF(U571="Motor One",(M571*22%),(IF(U571="Golden",(M571*25%),(IF(U571="Classic",(M571*15%),(IF(U571="Wethaq",(M571*28%),IF(U571="Alwataniya",(M571*21%))*0)))))))))</f>
        <v>0</v>
      </c>
      <c r="AR571" s="43">
        <f t="shared" si="2"/>
        <v>0</v>
      </c>
      <c r="AS571" s="43">
        <f t="shared" si="3"/>
        <v>0</v>
      </c>
      <c r="AT571" s="48">
        <f t="shared" si="4"/>
        <v>0</v>
      </c>
      <c r="AU571" s="49">
        <f t="shared" si="425"/>
        <v>0</v>
      </c>
      <c r="AV571" s="48"/>
      <c r="AW571" s="34">
        <f t="shared" si="341"/>
        <v>0</v>
      </c>
      <c r="AX571" s="50">
        <f t="shared" si="413"/>
        <v>0</v>
      </c>
      <c r="AY571" s="43"/>
      <c r="AZ571" s="47"/>
      <c r="BA571" s="48">
        <f t="shared" si="410"/>
        <v>0</v>
      </c>
      <c r="BB571" s="27"/>
      <c r="BC571" s="27"/>
      <c r="BD571" s="51"/>
      <c r="BE571" s="52"/>
      <c r="BF571" s="27" t="s">
        <v>1973</v>
      </c>
      <c r="BG571" s="53">
        <v>0.0</v>
      </c>
      <c r="BH571" s="53" t="str">
        <f>'[1]2023'!Q1114</f>
        <v>#REF!</v>
      </c>
      <c r="BI571" s="27"/>
      <c r="BJ571" s="27"/>
      <c r="BK571" s="27" t="s">
        <v>64</v>
      </c>
      <c r="BL571" s="27"/>
    </row>
    <row r="572" ht="14.25" customHeight="1">
      <c r="A572" s="26" t="s">
        <v>55</v>
      </c>
      <c r="B572" s="26" t="s">
        <v>56</v>
      </c>
      <c r="C572" s="26" t="s">
        <v>57</v>
      </c>
      <c r="D572" s="26" t="s">
        <v>81</v>
      </c>
      <c r="E572" s="27" t="s">
        <v>1975</v>
      </c>
      <c r="F572" s="28" t="s">
        <v>1976</v>
      </c>
      <c r="G572" s="29">
        <v>45086.0</v>
      </c>
      <c r="H572" s="30">
        <v>45086.0</v>
      </c>
      <c r="I572" s="30">
        <v>45451.0</v>
      </c>
      <c r="J572" s="31">
        <v>0.0</v>
      </c>
      <c r="K572" s="26" t="s">
        <v>475</v>
      </c>
      <c r="L572" s="32" t="s">
        <v>483</v>
      </c>
      <c r="M572" s="33">
        <v>28320.0</v>
      </c>
      <c r="N572" s="34">
        <v>30274.48</v>
      </c>
      <c r="O572" s="27" t="s">
        <v>76</v>
      </c>
      <c r="P572" s="35" t="s">
        <v>89</v>
      </c>
      <c r="Q572" s="35" t="s">
        <v>85</v>
      </c>
      <c r="R572" s="36">
        <v>45086.0</v>
      </c>
      <c r="S572" s="35" t="s">
        <v>86</v>
      </c>
      <c r="T572" s="35">
        <v>0.0</v>
      </c>
      <c r="U572" s="37" t="s">
        <v>67</v>
      </c>
      <c r="V572" s="38"/>
      <c r="W572" s="38"/>
      <c r="X572" s="27"/>
      <c r="Y572" s="39"/>
      <c r="Z572" s="39"/>
      <c r="AA572" s="39"/>
      <c r="AB572" s="27"/>
      <c r="AC572" s="27">
        <f t="shared" si="408"/>
        <v>0</v>
      </c>
      <c r="AD572" s="41">
        <f t="shared" si="423"/>
        <v>4248</v>
      </c>
      <c r="AE572" s="42"/>
      <c r="AF572" s="29">
        <v>44995.0</v>
      </c>
      <c r="AG572" s="43">
        <f t="shared" si="422"/>
        <v>7264.08</v>
      </c>
      <c r="AH572" s="29"/>
      <c r="AI572" s="29"/>
      <c r="AJ572" s="29"/>
      <c r="AK572" s="29"/>
      <c r="AL572" s="27"/>
      <c r="AM572" s="44"/>
      <c r="AN572" s="68"/>
      <c r="AO572" s="46"/>
      <c r="AP572" s="47"/>
      <c r="AQ572" s="43">
        <f t="shared" ref="AQ572:AQ573" si="426">IF(U572="Motor Plus",(M572*27%),IF(U572="Motor One",(M572*22%),(IF(U572="Golden",(M572*25%),(IF(U572="Classic",(M572*15%),(IF(U572="Wethaq",(M572*28%),IF(U572="Alwataniya",(M572*21%))*0))))))))</f>
        <v>7646.4</v>
      </c>
      <c r="AR572" s="43">
        <f t="shared" si="2"/>
        <v>382.32</v>
      </c>
      <c r="AS572" s="43">
        <f t="shared" si="3"/>
        <v>1338.12</v>
      </c>
      <c r="AT572" s="48">
        <f t="shared" si="4"/>
        <v>5925.96</v>
      </c>
      <c r="AU572" s="49">
        <f t="shared" si="425"/>
        <v>5925.96</v>
      </c>
      <c r="AV572" s="48"/>
      <c r="AW572" s="34">
        <f t="shared" si="341"/>
        <v>26026.48</v>
      </c>
      <c r="AX572" s="50">
        <f t="shared" si="413"/>
        <v>1677.96</v>
      </c>
      <c r="AY572" s="43"/>
      <c r="AZ572" s="47"/>
      <c r="BA572" s="48">
        <f t="shared" si="410"/>
        <v>5925.96</v>
      </c>
      <c r="BB572" s="27"/>
      <c r="BC572" s="27"/>
      <c r="BD572" s="51"/>
      <c r="BE572" s="52"/>
      <c r="BF572" s="27" t="s">
        <v>1975</v>
      </c>
      <c r="BG572" s="53">
        <v>0.0</v>
      </c>
      <c r="BH572" s="53" t="str">
        <f>'[1]2023'!Q1172</f>
        <v>#REF!</v>
      </c>
      <c r="BI572" s="27"/>
      <c r="BJ572" s="27"/>
      <c r="BK572" s="27" t="s">
        <v>76</v>
      </c>
      <c r="BL572" s="27"/>
    </row>
    <row r="573" ht="14.25" customHeight="1">
      <c r="A573" s="26" t="s">
        <v>55</v>
      </c>
      <c r="B573" s="26" t="s">
        <v>56</v>
      </c>
      <c r="C573" s="26" t="s">
        <v>57</v>
      </c>
      <c r="D573" s="26" t="s">
        <v>81</v>
      </c>
      <c r="E573" s="27" t="s">
        <v>1977</v>
      </c>
      <c r="F573" s="28" t="s">
        <v>1978</v>
      </c>
      <c r="G573" s="29">
        <v>45086.0</v>
      </c>
      <c r="H573" s="30">
        <v>45086.0</v>
      </c>
      <c r="I573" s="30">
        <v>45451.0</v>
      </c>
      <c r="J573" s="31">
        <v>0.0</v>
      </c>
      <c r="K573" s="26" t="s">
        <v>475</v>
      </c>
      <c r="L573" s="32" t="s">
        <v>1979</v>
      </c>
      <c r="M573" s="33">
        <v>27300.0</v>
      </c>
      <c r="N573" s="34">
        <v>29188.2</v>
      </c>
      <c r="O573" s="27" t="s">
        <v>76</v>
      </c>
      <c r="P573" s="35" t="s">
        <v>122</v>
      </c>
      <c r="Q573" s="35" t="s">
        <v>108</v>
      </c>
      <c r="R573" s="36">
        <v>45086.0</v>
      </c>
      <c r="S573" s="35" t="s">
        <v>86</v>
      </c>
      <c r="T573" s="35">
        <v>0.0</v>
      </c>
      <c r="U573" s="37" t="s">
        <v>67</v>
      </c>
      <c r="V573" s="38"/>
      <c r="W573" s="38"/>
      <c r="X573" s="27"/>
      <c r="Y573" s="39"/>
      <c r="Z573" s="39"/>
      <c r="AA573" s="39"/>
      <c r="AB573" s="27"/>
      <c r="AC573" s="27">
        <f t="shared" si="408"/>
        <v>0</v>
      </c>
      <c r="AD573" s="41">
        <f t="shared" si="423"/>
        <v>4095</v>
      </c>
      <c r="AE573" s="42"/>
      <c r="AF573" s="27" t="s">
        <v>1980</v>
      </c>
      <c r="AG573" s="43">
        <f t="shared" si="422"/>
        <v>7002.45</v>
      </c>
      <c r="AH573" s="29"/>
      <c r="AI573" s="29"/>
      <c r="AJ573" s="29"/>
      <c r="AK573" s="29"/>
      <c r="AL573" s="27"/>
      <c r="AM573" s="44"/>
      <c r="AN573" s="68"/>
      <c r="AO573" s="46"/>
      <c r="AP573" s="47"/>
      <c r="AQ573" s="43">
        <f t="shared" si="426"/>
        <v>7371</v>
      </c>
      <c r="AR573" s="43">
        <f t="shared" si="2"/>
        <v>368.55</v>
      </c>
      <c r="AS573" s="43">
        <f t="shared" si="3"/>
        <v>1289.925</v>
      </c>
      <c r="AT573" s="48">
        <f t="shared" si="4"/>
        <v>5712.525</v>
      </c>
      <c r="AU573" s="49">
        <f t="shared" si="425"/>
        <v>5712.525</v>
      </c>
      <c r="AV573" s="48"/>
      <c r="AW573" s="34">
        <f t="shared" si="341"/>
        <v>25093.2</v>
      </c>
      <c r="AX573" s="50">
        <f t="shared" si="413"/>
        <v>1617.525</v>
      </c>
      <c r="AY573" s="43"/>
      <c r="AZ573" s="47"/>
      <c r="BA573" s="48">
        <f t="shared" si="410"/>
        <v>5712.525</v>
      </c>
      <c r="BB573" s="27"/>
      <c r="BC573" s="27"/>
      <c r="BD573" s="51"/>
      <c r="BE573" s="52"/>
      <c r="BF573" s="27"/>
      <c r="BG573" s="53">
        <v>0.0</v>
      </c>
      <c r="BH573" s="53" t="str">
        <f>'[1]2023'!Q1200</f>
        <v>#REF!</v>
      </c>
      <c r="BI573" s="27"/>
      <c r="BJ573" s="27"/>
      <c r="BK573" s="27" t="s">
        <v>76</v>
      </c>
      <c r="BL573" s="27"/>
    </row>
    <row r="574" ht="14.25" customHeight="1">
      <c r="A574" s="26" t="s">
        <v>55</v>
      </c>
      <c r="B574" s="26" t="s">
        <v>56</v>
      </c>
      <c r="C574" s="26" t="s">
        <v>57</v>
      </c>
      <c r="D574" s="26" t="s">
        <v>81</v>
      </c>
      <c r="E574" s="27" t="s">
        <v>1981</v>
      </c>
      <c r="F574" s="28" t="s">
        <v>1982</v>
      </c>
      <c r="G574" s="29">
        <v>45087.0</v>
      </c>
      <c r="H574" s="30">
        <v>45087.0</v>
      </c>
      <c r="I574" s="30">
        <v>45452.0</v>
      </c>
      <c r="J574" s="31">
        <v>0.0</v>
      </c>
      <c r="K574" s="26" t="s">
        <v>440</v>
      </c>
      <c r="L574" s="32" t="s">
        <v>63</v>
      </c>
      <c r="M574" s="33">
        <v>0.0</v>
      </c>
      <c r="N574" s="34">
        <v>0.0</v>
      </c>
      <c r="O574" s="27" t="s">
        <v>64</v>
      </c>
      <c r="P574" s="35">
        <v>0.0</v>
      </c>
      <c r="Q574" s="35">
        <v>0.0</v>
      </c>
      <c r="R574" s="36">
        <v>45087.0</v>
      </c>
      <c r="S574" s="35" t="s">
        <v>86</v>
      </c>
      <c r="T574" s="35">
        <v>0.0</v>
      </c>
      <c r="U574" s="37" t="s">
        <v>67</v>
      </c>
      <c r="V574" s="38"/>
      <c r="W574" s="38"/>
      <c r="X574" s="27"/>
      <c r="Y574" s="39"/>
      <c r="Z574" s="39"/>
      <c r="AA574" s="39"/>
      <c r="AB574" s="40"/>
      <c r="AC574" s="27">
        <f t="shared" si="408"/>
        <v>0</v>
      </c>
      <c r="AD574" s="41">
        <f t="shared" si="423"/>
        <v>0</v>
      </c>
      <c r="AE574" s="42"/>
      <c r="AF574" s="27"/>
      <c r="AG574" s="43">
        <f t="shared" si="422"/>
        <v>0</v>
      </c>
      <c r="AH574" s="29"/>
      <c r="AI574" s="29"/>
      <c r="AJ574" s="29"/>
      <c r="AK574" s="29"/>
      <c r="AL574" s="27"/>
      <c r="AM574" s="44"/>
      <c r="AN574" s="68"/>
      <c r="AO574" s="46"/>
      <c r="AP574" s="47"/>
      <c r="AQ574" s="43" t="b">
        <f t="shared" ref="AQ574:AQ575" si="427">IF(O574="Paid",IF(U574="Motor Plus",(M574*27%),IF(U574="Motor One",(M574*22%),(IF(U574="Golden",(M574*25%),(IF(U574="Classic",(M574*15%),(IF(U574="Wethaq",(M574*28%),IF(U574="Alwataniya",(M574*21%))*0)))))))))</f>
        <v>0</v>
      </c>
      <c r="AR574" s="43">
        <f t="shared" si="2"/>
        <v>0</v>
      </c>
      <c r="AS574" s="43">
        <f t="shared" si="3"/>
        <v>0</v>
      </c>
      <c r="AT574" s="48">
        <f t="shared" si="4"/>
        <v>0</v>
      </c>
      <c r="AU574" s="49">
        <f t="shared" si="425"/>
        <v>0</v>
      </c>
      <c r="AV574" s="48"/>
      <c r="AW574" s="34">
        <f t="shared" si="341"/>
        <v>0</v>
      </c>
      <c r="AX574" s="50">
        <f t="shared" si="413"/>
        <v>0</v>
      </c>
      <c r="AY574" s="43"/>
      <c r="AZ574" s="43"/>
      <c r="BA574" s="48">
        <f t="shared" si="410"/>
        <v>0</v>
      </c>
      <c r="BB574" s="27"/>
      <c r="BC574" s="27"/>
      <c r="BD574" s="51"/>
      <c r="BE574" s="52"/>
      <c r="BF574" s="27" t="s">
        <v>1981</v>
      </c>
      <c r="BG574" s="53">
        <v>0.0</v>
      </c>
      <c r="BH574" s="53" t="str">
        <f>'[1]2023'!Q900</f>
        <v>#REF!</v>
      </c>
      <c r="BI574" s="27"/>
      <c r="BJ574" s="27"/>
      <c r="BK574" s="27" t="s">
        <v>64</v>
      </c>
      <c r="BL574" s="27"/>
    </row>
    <row r="575" ht="14.25" customHeight="1">
      <c r="A575" s="26" t="s">
        <v>55</v>
      </c>
      <c r="B575" s="26" t="s">
        <v>56</v>
      </c>
      <c r="C575" s="26" t="s">
        <v>57</v>
      </c>
      <c r="D575" s="26" t="s">
        <v>58</v>
      </c>
      <c r="E575" s="27" t="s">
        <v>1983</v>
      </c>
      <c r="F575" s="28" t="s">
        <v>1984</v>
      </c>
      <c r="G575" s="29">
        <v>45088.0</v>
      </c>
      <c r="H575" s="30">
        <v>45088.0</v>
      </c>
      <c r="I575" s="30">
        <v>45453.0</v>
      </c>
      <c r="J575" s="31">
        <v>0.0</v>
      </c>
      <c r="K575" s="26" t="s">
        <v>440</v>
      </c>
      <c r="L575" s="32" t="s">
        <v>63</v>
      </c>
      <c r="M575" s="33">
        <v>0.0</v>
      </c>
      <c r="N575" s="34">
        <v>0.0</v>
      </c>
      <c r="O575" s="27" t="s">
        <v>64</v>
      </c>
      <c r="P575" s="35">
        <v>0.0</v>
      </c>
      <c r="Q575" s="35">
        <v>0.0</v>
      </c>
      <c r="R575" s="36">
        <v>45088.0</v>
      </c>
      <c r="S575" s="35" t="s">
        <v>86</v>
      </c>
      <c r="T575" s="35">
        <v>0.0</v>
      </c>
      <c r="U575" s="37" t="s">
        <v>58</v>
      </c>
      <c r="V575" s="38"/>
      <c r="W575" s="38"/>
      <c r="X575" s="27"/>
      <c r="Y575" s="39"/>
      <c r="Z575" s="39"/>
      <c r="AA575" s="39"/>
      <c r="AB575" s="40"/>
      <c r="AC575" s="27">
        <f t="shared" si="408"/>
        <v>0</v>
      </c>
      <c r="AD575" s="41">
        <f t="shared" si="423"/>
        <v>0</v>
      </c>
      <c r="AE575" s="42"/>
      <c r="AF575" s="27"/>
      <c r="AG575" s="43">
        <f t="shared" si="422"/>
        <v>0</v>
      </c>
      <c r="AH575" s="29"/>
      <c r="AI575" s="29"/>
      <c r="AJ575" s="29"/>
      <c r="AK575" s="29"/>
      <c r="AL575" s="27"/>
      <c r="AM575" s="44"/>
      <c r="AN575" s="45"/>
      <c r="AO575" s="46"/>
      <c r="AP575" s="47"/>
      <c r="AQ575" s="43" t="b">
        <f t="shared" si="427"/>
        <v>0</v>
      </c>
      <c r="AR575" s="43">
        <f t="shared" si="2"/>
        <v>0</v>
      </c>
      <c r="AS575" s="43">
        <f t="shared" si="3"/>
        <v>0</v>
      </c>
      <c r="AT575" s="48">
        <f t="shared" si="4"/>
        <v>0</v>
      </c>
      <c r="AU575" s="49">
        <f t="shared" si="425"/>
        <v>0</v>
      </c>
      <c r="AV575" s="48"/>
      <c r="AW575" s="34">
        <f t="shared" si="341"/>
        <v>0</v>
      </c>
      <c r="AX575" s="50">
        <f t="shared" si="413"/>
        <v>0</v>
      </c>
      <c r="AY575" s="43"/>
      <c r="AZ575" s="43"/>
      <c r="BA575" s="48">
        <f t="shared" si="410"/>
        <v>0</v>
      </c>
      <c r="BB575" s="27"/>
      <c r="BC575" s="27"/>
      <c r="BD575" s="51"/>
      <c r="BE575" s="52"/>
      <c r="BF575" s="27" t="s">
        <v>1983</v>
      </c>
      <c r="BG575" s="53">
        <v>0.0</v>
      </c>
      <c r="BH575" s="53" t="str">
        <f>'[1]2023'!Q809</f>
        <v>#REF!</v>
      </c>
      <c r="BI575" s="27"/>
      <c r="BJ575" s="27"/>
      <c r="BK575" s="27" t="s">
        <v>64</v>
      </c>
      <c r="BL575" s="27"/>
    </row>
    <row r="576" ht="14.25" customHeight="1">
      <c r="A576" s="26" t="s">
        <v>55</v>
      </c>
      <c r="B576" s="26" t="s">
        <v>56</v>
      </c>
      <c r="C576" s="26" t="s">
        <v>57</v>
      </c>
      <c r="D576" s="26" t="s">
        <v>81</v>
      </c>
      <c r="E576" s="27" t="s">
        <v>1985</v>
      </c>
      <c r="F576" s="28" t="s">
        <v>1986</v>
      </c>
      <c r="G576" s="29" t="s">
        <v>1987</v>
      </c>
      <c r="H576" s="30">
        <v>45090.0</v>
      </c>
      <c r="I576" s="30">
        <v>45455.0</v>
      </c>
      <c r="J576" s="31">
        <v>0.0</v>
      </c>
      <c r="K576" s="26" t="s">
        <v>440</v>
      </c>
      <c r="L576" s="32" t="s">
        <v>75</v>
      </c>
      <c r="M576" s="33">
        <v>21240.0</v>
      </c>
      <c r="N576" s="34">
        <v>22634.16</v>
      </c>
      <c r="O576" s="27" t="s">
        <v>76</v>
      </c>
      <c r="P576" s="35" t="s">
        <v>430</v>
      </c>
      <c r="Q576" s="35">
        <v>0.0</v>
      </c>
      <c r="R576" s="36" t="e">
        <v>#VALUE!</v>
      </c>
      <c r="S576" s="35" t="s">
        <v>86</v>
      </c>
      <c r="T576" s="35">
        <v>0.0</v>
      </c>
      <c r="U576" s="37" t="s">
        <v>67</v>
      </c>
      <c r="V576" s="38"/>
      <c r="W576" s="38"/>
      <c r="X576" s="27"/>
      <c r="Y576" s="39"/>
      <c r="Z576" s="39"/>
      <c r="AA576" s="39"/>
      <c r="AB576" s="40"/>
      <c r="AC576" s="27">
        <f t="shared" si="408"/>
        <v>0</v>
      </c>
      <c r="AD576" s="41">
        <f>IF(AND(S576="0",O576="Paid"),M576*15%,0)</f>
        <v>3186</v>
      </c>
      <c r="AE576" s="42"/>
      <c r="AF576" s="27"/>
      <c r="AG576" s="43">
        <f t="shared" si="422"/>
        <v>5448.06</v>
      </c>
      <c r="AH576" s="29"/>
      <c r="AI576" s="29"/>
      <c r="AJ576" s="29"/>
      <c r="AK576" s="29"/>
      <c r="AL576" s="27"/>
      <c r="AM576" s="44"/>
      <c r="AN576" s="45"/>
      <c r="AO576" s="46"/>
      <c r="AP576" s="47"/>
      <c r="AQ576" s="43">
        <f t="shared" ref="AQ576:AQ577" si="428">IF(U576="Motor Plus",(M576*27%),IF(U576="Motor One",(M576*22%),(IF(U576="Golden",(M576*25%),(IF(U576="Classic",(M576*15%),(IF(U576="Wethaq",(M576*28%),IF(U576="Alwataniya",(M576*21%))*0))))))))</f>
        <v>5734.8</v>
      </c>
      <c r="AR576" s="43">
        <f t="shared" si="2"/>
        <v>286.74</v>
      </c>
      <c r="AS576" s="43">
        <f t="shared" si="3"/>
        <v>1003.59</v>
      </c>
      <c r="AT576" s="48">
        <f t="shared" si="4"/>
        <v>4444.47</v>
      </c>
      <c r="AU576" s="49">
        <f t="shared" ref="AU576:AU589" si="429">AQ576-AR576-AS576-AC576</f>
        <v>4444.47</v>
      </c>
      <c r="AV576" s="48"/>
      <c r="AW576" s="34">
        <f t="shared" si="341"/>
        <v>19448.16</v>
      </c>
      <c r="AX576" s="50">
        <f t="shared" si="413"/>
        <v>1258.47</v>
      </c>
      <c r="AY576" s="43"/>
      <c r="AZ576" s="43"/>
      <c r="BA576" s="48">
        <f t="shared" si="410"/>
        <v>4444.47</v>
      </c>
      <c r="BB576" s="27"/>
      <c r="BC576" s="27"/>
      <c r="BD576" s="51"/>
      <c r="BE576" s="52"/>
      <c r="BF576" s="27" t="s">
        <v>1985</v>
      </c>
      <c r="BG576" s="53">
        <v>0.0</v>
      </c>
      <c r="BH576" s="53" t="str">
        <f>'[1]2023'!Q800</f>
        <v>#REF!</v>
      </c>
      <c r="BI576" s="27"/>
      <c r="BJ576" s="27"/>
      <c r="BK576" s="27" t="s">
        <v>76</v>
      </c>
      <c r="BL576" s="27"/>
    </row>
    <row r="577" ht="14.25" customHeight="1">
      <c r="A577" s="26" t="s">
        <v>111</v>
      </c>
      <c r="B577" s="26" t="s">
        <v>56</v>
      </c>
      <c r="C577" s="26" t="s">
        <v>57</v>
      </c>
      <c r="D577" s="26" t="s">
        <v>71</v>
      </c>
      <c r="E577" s="27" t="s">
        <v>1988</v>
      </c>
      <c r="F577" s="28" t="s">
        <v>1989</v>
      </c>
      <c r="G577" s="29" t="s">
        <v>1987</v>
      </c>
      <c r="H577" s="30">
        <v>45090.0</v>
      </c>
      <c r="I577" s="30">
        <v>45455.0</v>
      </c>
      <c r="J577" s="31" t="s">
        <v>508</v>
      </c>
      <c r="K577" s="26" t="s">
        <v>440</v>
      </c>
      <c r="L577" s="32" t="s">
        <v>75</v>
      </c>
      <c r="M577" s="33">
        <f>23041.74-17433</f>
        <v>5608.74</v>
      </c>
      <c r="N577" s="34">
        <f>24657-18405</f>
        <v>6252</v>
      </c>
      <c r="O577" s="27" t="s">
        <v>76</v>
      </c>
      <c r="P577" s="35" t="s">
        <v>162</v>
      </c>
      <c r="Q577" s="35">
        <v>0.0</v>
      </c>
      <c r="R577" s="36" t="e">
        <v>#VALUE!</v>
      </c>
      <c r="S577" s="35" t="s">
        <v>78</v>
      </c>
      <c r="T577" s="54" t="s">
        <v>510</v>
      </c>
      <c r="U577" s="37" t="s">
        <v>115</v>
      </c>
      <c r="V577" s="38">
        <v>1150000.0</v>
      </c>
      <c r="W577" s="38"/>
      <c r="X577" s="27"/>
      <c r="Y577" s="39"/>
      <c r="Z577" s="79" t="s">
        <v>1602</v>
      </c>
      <c r="AA577" s="39"/>
      <c r="AB577" s="40"/>
      <c r="AC577" s="27">
        <f t="shared" si="408"/>
        <v>0</v>
      </c>
      <c r="AD577" s="41"/>
      <c r="AE577" s="42"/>
      <c r="AF577" s="27"/>
      <c r="AG577" s="156">
        <f>IF(O577="Paid",IF(A577="Alwataniya",(M577*21%)-((M577*21%)*5%),IF((A577="GIG"),(M577*25%)-((M577*25%)*5%),IF((A577="Allianz"),(M577*27%)-((M577*27%)*20%),0))),0)</f>
        <v>1332.07575</v>
      </c>
      <c r="AH577" s="29" t="s">
        <v>905</v>
      </c>
      <c r="AI577" s="29" t="s">
        <v>902</v>
      </c>
      <c r="AJ577" s="55">
        <v>0.25</v>
      </c>
      <c r="AK577" s="62" t="s">
        <v>63</v>
      </c>
      <c r="AL577" s="27"/>
      <c r="AM577" s="44"/>
      <c r="AN577" s="104"/>
      <c r="AO577" s="95">
        <f t="shared" ref="AO577:AO578" si="430">M577*AJ577-((M577*AJ577)*22.5%)</f>
        <v>1086.693375</v>
      </c>
      <c r="AP577" s="47" t="s">
        <v>905</v>
      </c>
      <c r="AQ577" s="43">
        <f t="shared" si="428"/>
        <v>1402.185</v>
      </c>
      <c r="AR577" s="43">
        <f t="shared" si="2"/>
        <v>70.10925</v>
      </c>
      <c r="AS577" s="43">
        <f t="shared" si="3"/>
        <v>245.382375</v>
      </c>
      <c r="AT577" s="48">
        <f t="shared" si="4"/>
        <v>1086.693375</v>
      </c>
      <c r="AU577" s="49">
        <f t="shared" si="429"/>
        <v>1086.693375</v>
      </c>
      <c r="AV577" s="48"/>
      <c r="AW577" s="34">
        <f t="shared" si="341"/>
        <v>6252</v>
      </c>
      <c r="AX577" s="50">
        <f t="shared" si="413"/>
        <v>0</v>
      </c>
      <c r="AY577" s="43"/>
      <c r="AZ577" s="43"/>
      <c r="BA577" s="48" t="str">
        <f t="shared" ref="BA577:BA578" si="431">IF(S577&lt;&gt;0,AU577-#REF!-AM577,(AG577-AD577-AE577-AS577))</f>
        <v>#REF!</v>
      </c>
      <c r="BB577" s="27"/>
      <c r="BC577" s="27"/>
      <c r="BD577" s="51"/>
      <c r="BE577" s="52"/>
      <c r="BF577" s="27" t="s">
        <v>1988</v>
      </c>
      <c r="BG577" s="58" t="s">
        <v>1990</v>
      </c>
      <c r="BH577" s="53" t="str">
        <f>'[1]2023'!Q850</f>
        <v>#REF!</v>
      </c>
      <c r="BI577" s="27"/>
      <c r="BJ577" s="27"/>
      <c r="BK577" s="27" t="s">
        <v>76</v>
      </c>
      <c r="BL577" s="64" t="s">
        <v>1991</v>
      </c>
    </row>
    <row r="578" ht="14.25" customHeight="1">
      <c r="A578" s="26" t="s">
        <v>68</v>
      </c>
      <c r="B578" s="26" t="s">
        <v>56</v>
      </c>
      <c r="C578" s="26" t="s">
        <v>57</v>
      </c>
      <c r="D578" s="26" t="s">
        <v>71</v>
      </c>
      <c r="E578" s="27" t="s">
        <v>1992</v>
      </c>
      <c r="F578" s="28" t="s">
        <v>1993</v>
      </c>
      <c r="G578" s="29">
        <v>45090.0</v>
      </c>
      <c r="H578" s="30">
        <v>45090.0</v>
      </c>
      <c r="I578" s="30">
        <v>45455.0</v>
      </c>
      <c r="J578" s="31" t="s">
        <v>1994</v>
      </c>
      <c r="K578" s="26" t="s">
        <v>440</v>
      </c>
      <c r="L578" s="32" t="s">
        <v>487</v>
      </c>
      <c r="M578" s="33">
        <v>19003.56</v>
      </c>
      <c r="N578" s="34">
        <v>20250.0</v>
      </c>
      <c r="O578" s="27" t="s">
        <v>76</v>
      </c>
      <c r="P578" s="35" t="s">
        <v>430</v>
      </c>
      <c r="Q578" s="35">
        <v>0.0</v>
      </c>
      <c r="R578" s="36">
        <v>45109.0</v>
      </c>
      <c r="S578" s="35" t="s">
        <v>78</v>
      </c>
      <c r="T578" s="54" t="s">
        <v>510</v>
      </c>
      <c r="U578" s="37" t="s">
        <v>68</v>
      </c>
      <c r="V578" s="38">
        <v>900000.0</v>
      </c>
      <c r="W578" s="38"/>
      <c r="X578" s="27"/>
      <c r="Y578" s="39"/>
      <c r="Z578" s="79" t="s">
        <v>1995</v>
      </c>
      <c r="AA578" s="39"/>
      <c r="AB578" s="40"/>
      <c r="AC578" s="27">
        <f t="shared" si="408"/>
        <v>0</v>
      </c>
      <c r="AD578" s="41"/>
      <c r="AE578" s="42"/>
      <c r="AF578" s="27"/>
      <c r="AG578" s="159">
        <f>IF(O578="Paid",IF(A578="Wethaq",(M578*23%)-((M578*23%)*5%)))</f>
        <v>4152.27786</v>
      </c>
      <c r="AH578" s="29"/>
      <c r="AI578" s="29" t="s">
        <v>1324</v>
      </c>
      <c r="AJ578" s="97">
        <v>0.23</v>
      </c>
      <c r="AK578" s="29" t="s">
        <v>1325</v>
      </c>
      <c r="AL578" s="27"/>
      <c r="AM578" s="44"/>
      <c r="AN578" s="104"/>
      <c r="AO578" s="95">
        <f t="shared" si="430"/>
        <v>3387.38457</v>
      </c>
      <c r="AP578" s="47" t="s">
        <v>1996</v>
      </c>
      <c r="AQ578" s="43">
        <f>M578*AJ578</f>
        <v>4370.8188</v>
      </c>
      <c r="AR578" s="43">
        <f t="shared" si="2"/>
        <v>218.54094</v>
      </c>
      <c r="AS578" s="43">
        <f t="shared" si="3"/>
        <v>764.89329</v>
      </c>
      <c r="AT578" s="48">
        <f t="shared" si="4"/>
        <v>3387.38457</v>
      </c>
      <c r="AU578" s="49">
        <f t="shared" si="429"/>
        <v>3387.38457</v>
      </c>
      <c r="AV578" s="48"/>
      <c r="AW578" s="34">
        <f t="shared" si="341"/>
        <v>20250</v>
      </c>
      <c r="AX578" s="50">
        <f t="shared" si="413"/>
        <v>0</v>
      </c>
      <c r="AY578" s="43"/>
      <c r="AZ578" s="43"/>
      <c r="BA578" s="48" t="str">
        <f t="shared" si="431"/>
        <v>#REF!</v>
      </c>
      <c r="BB578" s="27"/>
      <c r="BC578" s="27"/>
      <c r="BD578" s="51"/>
      <c r="BE578" s="52"/>
      <c r="BF578" s="27" t="s">
        <v>1992</v>
      </c>
      <c r="BG578" s="58" t="s">
        <v>1997</v>
      </c>
      <c r="BH578" s="53" t="str">
        <f>'[1]2023'!Q868</f>
        <v>#REF!</v>
      </c>
      <c r="BI578" s="27"/>
      <c r="BJ578" s="27"/>
      <c r="BK578" s="27" t="s">
        <v>76</v>
      </c>
      <c r="BL578" s="27"/>
    </row>
    <row r="579" ht="14.25" customHeight="1">
      <c r="A579" s="26" t="s">
        <v>55</v>
      </c>
      <c r="B579" s="26" t="s">
        <v>56</v>
      </c>
      <c r="C579" s="26" t="s">
        <v>57</v>
      </c>
      <c r="D579" s="26" t="s">
        <v>81</v>
      </c>
      <c r="E579" s="27" t="s">
        <v>1998</v>
      </c>
      <c r="F579" s="28" t="s">
        <v>1999</v>
      </c>
      <c r="G579" s="29" t="s">
        <v>2000</v>
      </c>
      <c r="H579" s="30">
        <v>45091.0</v>
      </c>
      <c r="I579" s="30">
        <v>45456.0</v>
      </c>
      <c r="J579" s="31">
        <v>0.0</v>
      </c>
      <c r="K579" s="26" t="s">
        <v>440</v>
      </c>
      <c r="L579" s="32" t="s">
        <v>75</v>
      </c>
      <c r="M579" s="33">
        <v>28980.0</v>
      </c>
      <c r="N579" s="34">
        <v>30829.82</v>
      </c>
      <c r="O579" s="27" t="s">
        <v>76</v>
      </c>
      <c r="P579" s="35" t="s">
        <v>89</v>
      </c>
      <c r="Q579" s="35">
        <v>0.0</v>
      </c>
      <c r="R579" s="36" t="e">
        <v>#VALUE!</v>
      </c>
      <c r="S579" s="35" t="s">
        <v>78</v>
      </c>
      <c r="T579" s="54" t="s">
        <v>604</v>
      </c>
      <c r="U579" s="37" t="s">
        <v>67</v>
      </c>
      <c r="V579" s="38"/>
      <c r="W579" s="38"/>
      <c r="X579" s="27"/>
      <c r="Y579" s="39"/>
      <c r="Z579" s="39"/>
      <c r="AA579" s="39"/>
      <c r="AB579" s="40"/>
      <c r="AC579" s="27">
        <f t="shared" si="408"/>
        <v>0</v>
      </c>
      <c r="AD579" s="41"/>
      <c r="AE579" s="42"/>
      <c r="AF579" s="27"/>
      <c r="AG579" s="43">
        <f t="shared" ref="AG579:AG584" si="432">IF(O579="Paid",IF(A579="Alwataniya",(M579*21%)-((M579*21%)*5%),IF((A579="GIG"),(M579*25%)-((M579*25%)*5%),IF((A579="Allianz"),(M579*27%)-((M579*27%)*5%),0))),0)</f>
        <v>7433.37</v>
      </c>
      <c r="AH579" s="29"/>
      <c r="AI579" s="29"/>
      <c r="AJ579" s="29"/>
      <c r="AK579" s="29"/>
      <c r="AL579" s="27"/>
      <c r="AM579" s="44"/>
      <c r="AN579" s="45"/>
      <c r="AO579" s="46">
        <f>M579*15%</f>
        <v>4347</v>
      </c>
      <c r="AP579" s="47" t="s">
        <v>1283</v>
      </c>
      <c r="AQ579" s="43">
        <f t="shared" ref="AQ579:AQ584" si="433">IF(U579="Motor Plus",(M579*27%),IF(U579="Motor One",(M579*22%),(IF(U579="Golden",(M579*25%),(IF(U579="Classic",(M579*15%),(IF(U579="Wethaq",(M579*28%),IF(U579="Alwataniya",(M579*21%))*0))))))))</f>
        <v>7824.6</v>
      </c>
      <c r="AR579" s="43">
        <f t="shared" si="2"/>
        <v>391.23</v>
      </c>
      <c r="AS579" s="43">
        <f t="shared" si="3"/>
        <v>1369.305</v>
      </c>
      <c r="AT579" s="48">
        <f t="shared" si="4"/>
        <v>6064.065</v>
      </c>
      <c r="AU579" s="49">
        <f t="shared" si="429"/>
        <v>6064.065</v>
      </c>
      <c r="AV579" s="48"/>
      <c r="AW579" s="34">
        <f t="shared" si="341"/>
        <v>30829.82</v>
      </c>
      <c r="AX579" s="50">
        <f t="shared" si="413"/>
        <v>1717.065</v>
      </c>
      <c r="AY579" s="43"/>
      <c r="AZ579" s="43"/>
      <c r="BA579" s="48">
        <f t="shared" ref="BA579:BA591" si="434">IF(S579&lt;&gt;0,AU579-AO579-AM579,(AG579-AD579-AE579-AS579))</f>
        <v>1717.065</v>
      </c>
      <c r="BB579" s="27"/>
      <c r="BC579" s="27"/>
      <c r="BD579" s="51"/>
      <c r="BE579" s="52"/>
      <c r="BF579" s="27" t="s">
        <v>1998</v>
      </c>
      <c r="BG579" s="53">
        <v>0.0</v>
      </c>
      <c r="BH579" s="53" t="str">
        <f>'[1]2023'!Q740</f>
        <v>#REF!</v>
      </c>
      <c r="BI579" s="27"/>
      <c r="BJ579" s="27"/>
      <c r="BK579" s="27" t="s">
        <v>76</v>
      </c>
      <c r="BL579" s="27"/>
    </row>
    <row r="580" ht="14.25" customHeight="1">
      <c r="A580" s="26" t="s">
        <v>55</v>
      </c>
      <c r="B580" s="26" t="s">
        <v>56</v>
      </c>
      <c r="C580" s="26" t="s">
        <v>57</v>
      </c>
      <c r="D580" s="26" t="s">
        <v>81</v>
      </c>
      <c r="E580" s="27" t="s">
        <v>2001</v>
      </c>
      <c r="F580" s="28" t="s">
        <v>2002</v>
      </c>
      <c r="G580" s="29" t="s">
        <v>2000</v>
      </c>
      <c r="H580" s="30">
        <v>45091.0</v>
      </c>
      <c r="I580" s="30">
        <v>45456.0</v>
      </c>
      <c r="J580" s="31" t="s">
        <v>2003</v>
      </c>
      <c r="K580" s="26" t="s">
        <v>440</v>
      </c>
      <c r="L580" s="32" t="s">
        <v>75</v>
      </c>
      <c r="M580" s="33">
        <v>16500.0</v>
      </c>
      <c r="N580" s="34">
        <v>17614.5</v>
      </c>
      <c r="O580" s="27" t="s">
        <v>76</v>
      </c>
      <c r="P580" s="35" t="s">
        <v>89</v>
      </c>
      <c r="Q580" s="35" t="s">
        <v>108</v>
      </c>
      <c r="R580" s="36" t="e">
        <v>#VALUE!</v>
      </c>
      <c r="S580" s="35" t="s">
        <v>86</v>
      </c>
      <c r="T580" s="35">
        <v>0.0</v>
      </c>
      <c r="U580" s="37" t="s">
        <v>67</v>
      </c>
      <c r="V580" s="38"/>
      <c r="W580" s="38"/>
      <c r="X580" s="27"/>
      <c r="Y580" s="39"/>
      <c r="Z580" s="39"/>
      <c r="AA580" s="39"/>
      <c r="AB580" s="40"/>
      <c r="AC580" s="27">
        <f t="shared" si="408"/>
        <v>0</v>
      </c>
      <c r="AD580" s="41">
        <f t="shared" ref="AD580:AD581" si="435">IF(AND(S580="0",O580="Paid"),(M580*15%)-AC580,0)</f>
        <v>2475</v>
      </c>
      <c r="AE580" s="42"/>
      <c r="AF580" s="27" t="s">
        <v>1980</v>
      </c>
      <c r="AG580" s="43">
        <f t="shared" si="432"/>
        <v>4232.25</v>
      </c>
      <c r="AH580" s="29"/>
      <c r="AI580" s="29"/>
      <c r="AJ580" s="29"/>
      <c r="AK580" s="29"/>
      <c r="AL580" s="27"/>
      <c r="AM580" s="44"/>
      <c r="AN580" s="45"/>
      <c r="AO580" s="46"/>
      <c r="AP580" s="47"/>
      <c r="AQ580" s="43">
        <f t="shared" si="433"/>
        <v>4455</v>
      </c>
      <c r="AR580" s="43">
        <f t="shared" si="2"/>
        <v>222.75</v>
      </c>
      <c r="AS580" s="43">
        <f t="shared" si="3"/>
        <v>779.625</v>
      </c>
      <c r="AT580" s="48">
        <f t="shared" si="4"/>
        <v>3452.625</v>
      </c>
      <c r="AU580" s="49">
        <f t="shared" si="429"/>
        <v>3452.625</v>
      </c>
      <c r="AV580" s="48"/>
      <c r="AW580" s="34">
        <f t="shared" si="341"/>
        <v>15139.5</v>
      </c>
      <c r="AX580" s="50">
        <f t="shared" si="413"/>
        <v>977.625</v>
      </c>
      <c r="AY580" s="43"/>
      <c r="AZ580" s="43"/>
      <c r="BA580" s="48">
        <f t="shared" si="434"/>
        <v>3452.625</v>
      </c>
      <c r="BB580" s="27"/>
      <c r="BC580" s="27"/>
      <c r="BD580" s="51"/>
      <c r="BE580" s="52"/>
      <c r="BF580" s="27" t="s">
        <v>2001</v>
      </c>
      <c r="BG580" s="58" t="s">
        <v>562</v>
      </c>
      <c r="BH580" s="53" t="str">
        <f>'[1]2023'!Q770</f>
        <v>#REF!</v>
      </c>
      <c r="BI580" s="27"/>
      <c r="BJ580" s="27"/>
      <c r="BK580" s="27" t="s">
        <v>76</v>
      </c>
      <c r="BL580" s="27"/>
    </row>
    <row r="581" ht="14.25" customHeight="1">
      <c r="A581" s="26" t="s">
        <v>55</v>
      </c>
      <c r="B581" s="26" t="s">
        <v>56</v>
      </c>
      <c r="C581" s="26" t="s">
        <v>57</v>
      </c>
      <c r="D581" s="26" t="s">
        <v>81</v>
      </c>
      <c r="E581" s="27" t="s">
        <v>2004</v>
      </c>
      <c r="F581" s="28" t="s">
        <v>2005</v>
      </c>
      <c r="G581" s="29" t="s">
        <v>2000</v>
      </c>
      <c r="H581" s="30">
        <v>45091.0</v>
      </c>
      <c r="I581" s="30">
        <v>45456.0</v>
      </c>
      <c r="J581" s="31">
        <v>0.0</v>
      </c>
      <c r="K581" s="26" t="s">
        <v>440</v>
      </c>
      <c r="L581" s="32" t="s">
        <v>75</v>
      </c>
      <c r="M581" s="33">
        <v>9262.5</v>
      </c>
      <c r="N581" s="34">
        <v>9950.0</v>
      </c>
      <c r="O581" s="27" t="s">
        <v>76</v>
      </c>
      <c r="P581" s="35" t="s">
        <v>430</v>
      </c>
      <c r="Q581" s="35">
        <v>0.0</v>
      </c>
      <c r="R581" s="36" t="e">
        <v>#VALUE!</v>
      </c>
      <c r="S581" s="35" t="s">
        <v>86</v>
      </c>
      <c r="T581" s="35">
        <v>0.0</v>
      </c>
      <c r="U581" s="37" t="s">
        <v>67</v>
      </c>
      <c r="V581" s="38"/>
      <c r="W581" s="38"/>
      <c r="X581" s="27"/>
      <c r="Y581" s="39"/>
      <c r="Z581" s="39"/>
      <c r="AA581" s="39"/>
      <c r="AB581" s="40"/>
      <c r="AC581" s="27">
        <f t="shared" si="408"/>
        <v>0</v>
      </c>
      <c r="AD581" s="41">
        <f t="shared" si="435"/>
        <v>1389.375</v>
      </c>
      <c r="AE581" s="42"/>
      <c r="AF581" s="27"/>
      <c r="AG581" s="43">
        <f t="shared" si="432"/>
        <v>2375.83125</v>
      </c>
      <c r="AH581" s="29"/>
      <c r="AI581" s="29"/>
      <c r="AJ581" s="29"/>
      <c r="AK581" s="29"/>
      <c r="AL581" s="27"/>
      <c r="AM581" s="44"/>
      <c r="AN581" s="45"/>
      <c r="AO581" s="46"/>
      <c r="AP581" s="47"/>
      <c r="AQ581" s="43">
        <f t="shared" si="433"/>
        <v>2500.875</v>
      </c>
      <c r="AR581" s="43">
        <f t="shared" si="2"/>
        <v>125.04375</v>
      </c>
      <c r="AS581" s="43">
        <f t="shared" si="3"/>
        <v>437.653125</v>
      </c>
      <c r="AT581" s="48">
        <f t="shared" si="4"/>
        <v>1938.178125</v>
      </c>
      <c r="AU581" s="49">
        <f t="shared" si="429"/>
        <v>1938.178125</v>
      </c>
      <c r="AV581" s="48"/>
      <c r="AW581" s="34">
        <f t="shared" si="341"/>
        <v>8560.625</v>
      </c>
      <c r="AX581" s="50">
        <f t="shared" si="413"/>
        <v>548.803125</v>
      </c>
      <c r="AY581" s="43"/>
      <c r="AZ581" s="43"/>
      <c r="BA581" s="48">
        <f t="shared" si="434"/>
        <v>1938.178125</v>
      </c>
      <c r="BB581" s="27"/>
      <c r="BC581" s="27"/>
      <c r="BD581" s="51"/>
      <c r="BE581" s="52"/>
      <c r="BF581" s="27" t="s">
        <v>2004</v>
      </c>
      <c r="BG581" s="53">
        <v>0.0</v>
      </c>
      <c r="BH581" s="53" t="str">
        <f>'[1]2023'!Q772</f>
        <v>#REF!</v>
      </c>
      <c r="BI581" s="27"/>
      <c r="BJ581" s="27"/>
      <c r="BK581" s="27" t="s">
        <v>76</v>
      </c>
      <c r="BL581" s="27"/>
    </row>
    <row r="582" ht="14.25" customHeight="1">
      <c r="A582" s="26" t="s">
        <v>55</v>
      </c>
      <c r="B582" s="26" t="s">
        <v>56</v>
      </c>
      <c r="C582" s="26" t="s">
        <v>57</v>
      </c>
      <c r="D582" s="26" t="s">
        <v>81</v>
      </c>
      <c r="E582" s="27" t="s">
        <v>2006</v>
      </c>
      <c r="F582" s="28" t="s">
        <v>2007</v>
      </c>
      <c r="G582" s="29" t="s">
        <v>2000</v>
      </c>
      <c r="H582" s="30">
        <v>45091.0</v>
      </c>
      <c r="I582" s="30">
        <v>45456.0</v>
      </c>
      <c r="J582" s="31">
        <v>0.0</v>
      </c>
      <c r="K582" s="26" t="s">
        <v>440</v>
      </c>
      <c r="L582" s="32" t="s">
        <v>75</v>
      </c>
      <c r="M582" s="33">
        <v>18525.0</v>
      </c>
      <c r="N582" s="34">
        <v>19759.98</v>
      </c>
      <c r="O582" s="27" t="s">
        <v>76</v>
      </c>
      <c r="P582" s="35" t="s">
        <v>430</v>
      </c>
      <c r="Q582" s="35" t="s">
        <v>65</v>
      </c>
      <c r="R582" s="36" t="e">
        <v>#VALUE!</v>
      </c>
      <c r="S582" s="35" t="s">
        <v>86</v>
      </c>
      <c r="T582" s="35">
        <v>0.0</v>
      </c>
      <c r="U582" s="37" t="s">
        <v>67</v>
      </c>
      <c r="V582" s="38"/>
      <c r="W582" s="38"/>
      <c r="X582" s="27"/>
      <c r="Y582" s="39"/>
      <c r="Z582" s="39"/>
      <c r="AA582" s="39"/>
      <c r="AB582" s="40"/>
      <c r="AC582" s="27">
        <f t="shared" si="408"/>
        <v>0</v>
      </c>
      <c r="AD582" s="41"/>
      <c r="AE582" s="42"/>
      <c r="AF582" s="27"/>
      <c r="AG582" s="43">
        <f t="shared" si="432"/>
        <v>4751.6625</v>
      </c>
      <c r="AH582" s="29"/>
      <c r="AI582" s="29"/>
      <c r="AJ582" s="29"/>
      <c r="AK582" s="29"/>
      <c r="AL582" s="27"/>
      <c r="AM582" s="44"/>
      <c r="AN582" s="45"/>
      <c r="AO582" s="46"/>
      <c r="AP582" s="47"/>
      <c r="AQ582" s="43">
        <f t="shared" si="433"/>
        <v>5001.75</v>
      </c>
      <c r="AR582" s="43">
        <f t="shared" si="2"/>
        <v>250.0875</v>
      </c>
      <c r="AS582" s="43">
        <f t="shared" si="3"/>
        <v>875.30625</v>
      </c>
      <c r="AT582" s="48">
        <f t="shared" si="4"/>
        <v>3876.35625</v>
      </c>
      <c r="AU582" s="49">
        <f t="shared" si="429"/>
        <v>3876.35625</v>
      </c>
      <c r="AV582" s="48"/>
      <c r="AW582" s="34">
        <f t="shared" si="341"/>
        <v>19759.98</v>
      </c>
      <c r="AX582" s="50">
        <f t="shared" si="413"/>
        <v>3876.35625</v>
      </c>
      <c r="AY582" s="43"/>
      <c r="AZ582" s="43"/>
      <c r="BA582" s="48">
        <f t="shared" si="434"/>
        <v>3876.35625</v>
      </c>
      <c r="BB582" s="27"/>
      <c r="BC582" s="27"/>
      <c r="BD582" s="51"/>
      <c r="BE582" s="52"/>
      <c r="BF582" s="27" t="s">
        <v>2006</v>
      </c>
      <c r="BG582" s="53">
        <v>0.0</v>
      </c>
      <c r="BH582" s="53" t="str">
        <f t="shared" ref="BH582:BH583" si="436">'[1]2023'!Q774</f>
        <v>#REF!</v>
      </c>
      <c r="BI582" s="27"/>
      <c r="BJ582" s="27"/>
      <c r="BK582" s="27" t="s">
        <v>76</v>
      </c>
      <c r="BL582" s="27"/>
    </row>
    <row r="583" ht="14.25" customHeight="1">
      <c r="A583" s="26" t="s">
        <v>55</v>
      </c>
      <c r="B583" s="26" t="s">
        <v>56</v>
      </c>
      <c r="C583" s="26" t="s">
        <v>57</v>
      </c>
      <c r="D583" s="26" t="s">
        <v>81</v>
      </c>
      <c r="E583" s="27" t="s">
        <v>2008</v>
      </c>
      <c r="F583" s="28" t="s">
        <v>2009</v>
      </c>
      <c r="G583" s="29" t="s">
        <v>2000</v>
      </c>
      <c r="H583" s="30">
        <v>45091.0</v>
      </c>
      <c r="I583" s="30">
        <v>45456.0</v>
      </c>
      <c r="J583" s="31">
        <v>0.0</v>
      </c>
      <c r="K583" s="26" t="s">
        <v>440</v>
      </c>
      <c r="L583" s="32" t="s">
        <v>75</v>
      </c>
      <c r="M583" s="33">
        <v>25300.0</v>
      </c>
      <c r="N583" s="34">
        <v>26934.7</v>
      </c>
      <c r="O583" s="27" t="s">
        <v>76</v>
      </c>
      <c r="P583" s="35" t="s">
        <v>430</v>
      </c>
      <c r="Q583" s="35" t="s">
        <v>65</v>
      </c>
      <c r="R583" s="36" t="e">
        <v>#VALUE!</v>
      </c>
      <c r="S583" s="35" t="s">
        <v>86</v>
      </c>
      <c r="T583" s="35">
        <v>0.0</v>
      </c>
      <c r="U583" s="37" t="s">
        <v>67</v>
      </c>
      <c r="V583" s="38"/>
      <c r="W583" s="38"/>
      <c r="X583" s="27"/>
      <c r="Y583" s="39"/>
      <c r="Z583" s="39"/>
      <c r="AA583" s="39"/>
      <c r="AB583" s="40"/>
      <c r="AC583" s="27">
        <f t="shared" si="408"/>
        <v>0</v>
      </c>
      <c r="AD583" s="41"/>
      <c r="AE583" s="42"/>
      <c r="AF583" s="27"/>
      <c r="AG583" s="43">
        <f t="shared" si="432"/>
        <v>6489.45</v>
      </c>
      <c r="AH583" s="29"/>
      <c r="AI583" s="29"/>
      <c r="AJ583" s="29"/>
      <c r="AK583" s="29"/>
      <c r="AL583" s="27"/>
      <c r="AM583" s="44"/>
      <c r="AN583" s="45"/>
      <c r="AO583" s="46"/>
      <c r="AP583" s="47"/>
      <c r="AQ583" s="43">
        <f t="shared" si="433"/>
        <v>6831</v>
      </c>
      <c r="AR583" s="43">
        <f t="shared" si="2"/>
        <v>341.55</v>
      </c>
      <c r="AS583" s="43">
        <f t="shared" si="3"/>
        <v>1195.425</v>
      </c>
      <c r="AT583" s="48">
        <f t="shared" si="4"/>
        <v>5294.025</v>
      </c>
      <c r="AU583" s="49">
        <f t="shared" si="429"/>
        <v>5294.025</v>
      </c>
      <c r="AV583" s="48"/>
      <c r="AW583" s="34">
        <f t="shared" si="341"/>
        <v>26934.7</v>
      </c>
      <c r="AX583" s="50">
        <f t="shared" si="413"/>
        <v>5294.025</v>
      </c>
      <c r="AY583" s="43"/>
      <c r="AZ583" s="43"/>
      <c r="BA583" s="48">
        <f t="shared" si="434"/>
        <v>5294.025</v>
      </c>
      <c r="BB583" s="27"/>
      <c r="BC583" s="27"/>
      <c r="BD583" s="51"/>
      <c r="BE583" s="52"/>
      <c r="BF583" s="27" t="s">
        <v>2008</v>
      </c>
      <c r="BG583" s="53">
        <v>0.0</v>
      </c>
      <c r="BH583" s="53" t="str">
        <f t="shared" si="436"/>
        <v>#REF!</v>
      </c>
      <c r="BI583" s="27"/>
      <c r="BJ583" s="27"/>
      <c r="BK583" s="27" t="s">
        <v>76</v>
      </c>
      <c r="BL583" s="27"/>
    </row>
    <row r="584" ht="14.25" customHeight="1">
      <c r="A584" s="26" t="s">
        <v>55</v>
      </c>
      <c r="B584" s="26" t="s">
        <v>56</v>
      </c>
      <c r="C584" s="26" t="s">
        <v>57</v>
      </c>
      <c r="D584" s="26" t="s">
        <v>81</v>
      </c>
      <c r="E584" s="27" t="s">
        <v>2010</v>
      </c>
      <c r="F584" s="28" t="s">
        <v>2011</v>
      </c>
      <c r="G584" s="29" t="s">
        <v>2000</v>
      </c>
      <c r="H584" s="30">
        <v>45091.0</v>
      </c>
      <c r="I584" s="30">
        <v>45456.0</v>
      </c>
      <c r="J584" s="31">
        <v>0.0</v>
      </c>
      <c r="K584" s="26" t="s">
        <v>440</v>
      </c>
      <c r="L584" s="32" t="s">
        <v>75</v>
      </c>
      <c r="M584" s="160">
        <v>21588.84</v>
      </c>
      <c r="N584" s="34">
        <v>23003.56</v>
      </c>
      <c r="O584" s="27" t="s">
        <v>76</v>
      </c>
      <c r="P584" s="35" t="s">
        <v>95</v>
      </c>
      <c r="Q584" s="35" t="s">
        <v>108</v>
      </c>
      <c r="R584" s="36" t="e">
        <v>#VALUE!</v>
      </c>
      <c r="S584" s="35" t="s">
        <v>86</v>
      </c>
      <c r="T584" s="35">
        <v>0.0</v>
      </c>
      <c r="U584" s="37" t="s">
        <v>67</v>
      </c>
      <c r="V584" s="38"/>
      <c r="W584" s="38"/>
      <c r="X584" s="27"/>
      <c r="Y584" s="39"/>
      <c r="Z584" s="39"/>
      <c r="AA584" s="39"/>
      <c r="AB584" s="40"/>
      <c r="AC584" s="27">
        <f t="shared" si="408"/>
        <v>0</v>
      </c>
      <c r="AD584" s="41">
        <f>IF(AND(S584="0",O584="Paid"),M584*15%,0)</f>
        <v>3238.326</v>
      </c>
      <c r="AE584" s="42"/>
      <c r="AF584" s="27" t="s">
        <v>305</v>
      </c>
      <c r="AG584" s="43">
        <f t="shared" si="432"/>
        <v>5537.53746</v>
      </c>
      <c r="AH584" s="29"/>
      <c r="AI584" s="29"/>
      <c r="AJ584" s="29"/>
      <c r="AK584" s="29"/>
      <c r="AL584" s="27"/>
      <c r="AM584" s="44"/>
      <c r="AN584" s="45"/>
      <c r="AO584" s="46"/>
      <c r="AP584" s="47"/>
      <c r="AQ584" s="43">
        <f t="shared" si="433"/>
        <v>5828.9868</v>
      </c>
      <c r="AR584" s="43">
        <f t="shared" si="2"/>
        <v>291.44934</v>
      </c>
      <c r="AS584" s="43">
        <f t="shared" si="3"/>
        <v>1020.07269</v>
      </c>
      <c r="AT584" s="48">
        <f t="shared" si="4"/>
        <v>4517.46477</v>
      </c>
      <c r="AU584" s="49">
        <f t="shared" si="429"/>
        <v>4517.46477</v>
      </c>
      <c r="AV584" s="48"/>
      <c r="AW584" s="34">
        <f t="shared" si="341"/>
        <v>19765.234</v>
      </c>
      <c r="AX584" s="50">
        <f t="shared" si="413"/>
        <v>1279.13877</v>
      </c>
      <c r="AY584" s="43"/>
      <c r="AZ584" s="43"/>
      <c r="BA584" s="48">
        <f t="shared" si="434"/>
        <v>4517.46477</v>
      </c>
      <c r="BB584" s="27"/>
      <c r="BC584" s="27"/>
      <c r="BD584" s="51"/>
      <c r="BE584" s="52"/>
      <c r="BF584" s="27" t="s">
        <v>2010</v>
      </c>
      <c r="BG584" s="58" t="s">
        <v>2012</v>
      </c>
      <c r="BH584" s="53" t="str">
        <f>'[1]2023'!Q854</f>
        <v>#REF!</v>
      </c>
      <c r="BI584" s="27"/>
      <c r="BJ584" s="27"/>
      <c r="BK584" s="27" t="s">
        <v>76</v>
      </c>
      <c r="BL584" s="27"/>
    </row>
    <row r="585" ht="14.25" customHeight="1">
      <c r="A585" s="26" t="s">
        <v>68</v>
      </c>
      <c r="B585" s="26" t="s">
        <v>56</v>
      </c>
      <c r="C585" s="26" t="s">
        <v>57</v>
      </c>
      <c r="D585" s="26" t="s">
        <v>71</v>
      </c>
      <c r="E585" s="27" t="s">
        <v>2013</v>
      </c>
      <c r="F585" s="28" t="s">
        <v>2014</v>
      </c>
      <c r="G585" s="29" t="s">
        <v>2000</v>
      </c>
      <c r="H585" s="30">
        <v>45091.0</v>
      </c>
      <c r="I585" s="30">
        <v>45456.0</v>
      </c>
      <c r="J585" s="31" t="s">
        <v>2015</v>
      </c>
      <c r="K585" s="26" t="s">
        <v>440</v>
      </c>
      <c r="L585" s="69">
        <v>45113.0</v>
      </c>
      <c r="M585" s="33">
        <v>10507.26</v>
      </c>
      <c r="N585" s="34">
        <v>11250.0</v>
      </c>
      <c r="O585" s="27" t="s">
        <v>76</v>
      </c>
      <c r="P585" s="35" t="s">
        <v>430</v>
      </c>
      <c r="Q585" s="35">
        <v>0.0</v>
      </c>
      <c r="R585" s="36" t="e">
        <v>#VALUE!</v>
      </c>
      <c r="S585" s="35" t="s">
        <v>78</v>
      </c>
      <c r="T585" s="54" t="s">
        <v>1271</v>
      </c>
      <c r="U585" s="37" t="s">
        <v>68</v>
      </c>
      <c r="V585" s="38">
        <v>500000.0</v>
      </c>
      <c r="W585" s="38"/>
      <c r="X585" s="27"/>
      <c r="Y585" s="39"/>
      <c r="Z585" s="79" t="s">
        <v>2016</v>
      </c>
      <c r="AA585" s="39"/>
      <c r="AB585" s="40"/>
      <c r="AC585" s="27">
        <f t="shared" si="408"/>
        <v>0</v>
      </c>
      <c r="AD585" s="41"/>
      <c r="AE585" s="42"/>
      <c r="AF585" s="27"/>
      <c r="AG585" s="43">
        <f>IF(O585="Paid",IF(A585="Wethaq",(M585*26%)-((M585*26%)*5%)))</f>
        <v>2595.29322</v>
      </c>
      <c r="AH585" s="29">
        <v>45115.0</v>
      </c>
      <c r="AI585" s="29">
        <v>45177.0</v>
      </c>
      <c r="AJ585" s="97">
        <v>0.26</v>
      </c>
      <c r="AK585" s="29">
        <v>45115.0</v>
      </c>
      <c r="AL585" s="27"/>
      <c r="AM585" s="44"/>
      <c r="AN585" s="45"/>
      <c r="AO585" s="46">
        <f>(M585*15%)-AC585</f>
        <v>1576.089</v>
      </c>
      <c r="AP585" s="63" t="s">
        <v>2017</v>
      </c>
      <c r="AQ585" s="43">
        <f>M585*AJ585</f>
        <v>2731.8876</v>
      </c>
      <c r="AR585" s="43">
        <f t="shared" si="2"/>
        <v>136.59438</v>
      </c>
      <c r="AS585" s="43">
        <f t="shared" si="3"/>
        <v>478.08033</v>
      </c>
      <c r="AT585" s="48">
        <f t="shared" si="4"/>
        <v>2117.21289</v>
      </c>
      <c r="AU585" s="49">
        <f t="shared" si="429"/>
        <v>2117.21289</v>
      </c>
      <c r="AV585" s="48"/>
      <c r="AW585" s="34">
        <f t="shared" si="341"/>
        <v>11250</v>
      </c>
      <c r="AX585" s="50">
        <f t="shared" si="413"/>
        <v>541.12389</v>
      </c>
      <c r="AY585" s="43"/>
      <c r="AZ585" s="43">
        <f>IF(AJ585&lt;28%,M585*(28%-AJ585)-((M585*(28%-AJ585))*5%),0)</f>
        <v>199.63794</v>
      </c>
      <c r="BA585" s="48">
        <f t="shared" si="434"/>
        <v>541.12389</v>
      </c>
      <c r="BB585" s="27"/>
      <c r="BC585" s="27"/>
      <c r="BD585" s="51"/>
      <c r="BE585" s="52"/>
      <c r="BF585" s="27" t="s">
        <v>2013</v>
      </c>
      <c r="BG585" s="58" t="s">
        <v>2018</v>
      </c>
      <c r="BH585" s="53" t="str">
        <f>'[1]2023'!Q860</f>
        <v>#REF!</v>
      </c>
      <c r="BI585" s="27"/>
      <c r="BJ585" s="27"/>
      <c r="BK585" s="27" t="s">
        <v>76</v>
      </c>
      <c r="BL585" s="27"/>
    </row>
    <row r="586" ht="14.25" customHeight="1">
      <c r="A586" s="26" t="s">
        <v>55</v>
      </c>
      <c r="B586" s="26" t="s">
        <v>1786</v>
      </c>
      <c r="C586" s="26" t="s">
        <v>57</v>
      </c>
      <c r="D586" s="26" t="s">
        <v>71</v>
      </c>
      <c r="E586" s="27" t="s">
        <v>2019</v>
      </c>
      <c r="F586" s="28" t="s">
        <v>2020</v>
      </c>
      <c r="G586" s="29" t="s">
        <v>2000</v>
      </c>
      <c r="H586" s="30">
        <v>45091.0</v>
      </c>
      <c r="I586" s="30">
        <v>45456.0</v>
      </c>
      <c r="J586" s="31">
        <v>0.0</v>
      </c>
      <c r="K586" s="26" t="s">
        <v>440</v>
      </c>
      <c r="L586" s="32" t="s">
        <v>75</v>
      </c>
      <c r="M586" s="33">
        <v>6180.0</v>
      </c>
      <c r="N586" s="34">
        <v>0.0</v>
      </c>
      <c r="O586" s="27" t="s">
        <v>76</v>
      </c>
      <c r="P586" s="35" t="s">
        <v>95</v>
      </c>
      <c r="Q586" s="35">
        <v>0.0</v>
      </c>
      <c r="R586" s="36" t="e">
        <v>#VALUE!</v>
      </c>
      <c r="S586" s="35" t="s">
        <v>66</v>
      </c>
      <c r="T586" s="35">
        <v>0.0</v>
      </c>
      <c r="U586" s="37" t="s">
        <v>1786</v>
      </c>
      <c r="V586" s="38"/>
      <c r="W586" s="38"/>
      <c r="X586" s="27"/>
      <c r="Y586" s="39"/>
      <c r="Z586" s="39"/>
      <c r="AA586" s="39"/>
      <c r="AB586" s="40"/>
      <c r="AC586" s="27">
        <f t="shared" si="408"/>
        <v>0</v>
      </c>
      <c r="AD586" s="41">
        <f>IF(AND(S586="0",O586="Paid"),(M586*15%)-AC586,0)</f>
        <v>0</v>
      </c>
      <c r="AE586" s="42"/>
      <c r="AF586" s="27"/>
      <c r="AG586" s="43">
        <f t="shared" ref="AG586:AG589" si="437">IF(O586="Paid",IF(A586="Alwataniya",(M586*21%)-((M586*21%)*5%),IF((A586="GIG"),(M586*25%)-((M586*25%)*5%),IF((A586="Allianz"),(M586*27%)-((M586*27%)*5%),0))),0)</f>
        <v>1585.17</v>
      </c>
      <c r="AH586" s="29"/>
      <c r="AI586" s="29"/>
      <c r="AJ586" s="29"/>
      <c r="AK586" s="29"/>
      <c r="AL586" s="27"/>
      <c r="AM586" s="44">
        <f>((M586*35%)*30%)</f>
        <v>648.9</v>
      </c>
      <c r="AN586" s="146" t="s">
        <v>1038</v>
      </c>
      <c r="AO586" s="46"/>
      <c r="AP586" s="47"/>
      <c r="AQ586" s="43">
        <f t="shared" ref="AQ586:AQ589" si="438">IF(U586="Motor Plus",(M586*27%),IF(U586="Motor One",(M586*22%),(IF(U586="Golden",(M586*25%),(IF(U586="Classic",(M586*15%),(IF(U586="Wethaq",(M586*28%),IF(U586="Alwataniya",(M586*21%))*0))))))))</f>
        <v>0</v>
      </c>
      <c r="AR586" s="43">
        <f t="shared" si="2"/>
        <v>0</v>
      </c>
      <c r="AS586" s="43">
        <f t="shared" si="3"/>
        <v>0</v>
      </c>
      <c r="AT586" s="48">
        <f t="shared" si="4"/>
        <v>0</v>
      </c>
      <c r="AU586" s="49">
        <f t="shared" si="429"/>
        <v>0</v>
      </c>
      <c r="AV586" s="48"/>
      <c r="AW586" s="34">
        <f t="shared" si="341"/>
        <v>0</v>
      </c>
      <c r="AX586" s="50">
        <f t="shared" si="413"/>
        <v>936.27</v>
      </c>
      <c r="AY586" s="43"/>
      <c r="AZ586" s="43"/>
      <c r="BA586" s="48">
        <f t="shared" si="434"/>
        <v>-648.9</v>
      </c>
      <c r="BB586" s="27"/>
      <c r="BC586" s="27"/>
      <c r="BD586" s="51"/>
      <c r="BE586" s="52" t="s">
        <v>440</v>
      </c>
      <c r="BF586" s="27" t="s">
        <v>2019</v>
      </c>
      <c r="BG586" s="53">
        <v>0.0</v>
      </c>
      <c r="BH586" s="53" t="str">
        <f>'[1]2023'!Q930</f>
        <v>#REF!</v>
      </c>
      <c r="BI586" s="27"/>
      <c r="BJ586" s="27"/>
      <c r="BK586" s="27" t="s">
        <v>76</v>
      </c>
      <c r="BL586" s="27"/>
    </row>
    <row r="587" ht="14.25" customHeight="1">
      <c r="A587" s="26" t="s">
        <v>55</v>
      </c>
      <c r="B587" s="26" t="s">
        <v>56</v>
      </c>
      <c r="C587" s="26" t="s">
        <v>57</v>
      </c>
      <c r="D587" s="26" t="s">
        <v>81</v>
      </c>
      <c r="E587" s="27" t="s">
        <v>2021</v>
      </c>
      <c r="F587" s="28" t="s">
        <v>2022</v>
      </c>
      <c r="G587" s="29" t="s">
        <v>2023</v>
      </c>
      <c r="H587" s="30">
        <v>45092.0</v>
      </c>
      <c r="I587" s="30">
        <v>45457.0</v>
      </c>
      <c r="J587" s="31">
        <v>0.0</v>
      </c>
      <c r="K587" s="26" t="s">
        <v>440</v>
      </c>
      <c r="L587" s="32" t="s">
        <v>75</v>
      </c>
      <c r="M587" s="33">
        <v>22420.0</v>
      </c>
      <c r="N587" s="34">
        <v>23883.78</v>
      </c>
      <c r="O587" s="27" t="s">
        <v>76</v>
      </c>
      <c r="P587" s="35" t="s">
        <v>122</v>
      </c>
      <c r="Q587" s="35" t="s">
        <v>65</v>
      </c>
      <c r="R587" s="36" t="e">
        <v>#VALUE!</v>
      </c>
      <c r="S587" s="35" t="s">
        <v>86</v>
      </c>
      <c r="T587" s="35">
        <v>0.0</v>
      </c>
      <c r="U587" s="37" t="s">
        <v>67</v>
      </c>
      <c r="V587" s="38"/>
      <c r="W587" s="38"/>
      <c r="X587" s="27"/>
      <c r="Y587" s="39"/>
      <c r="Z587" s="39"/>
      <c r="AA587" s="39"/>
      <c r="AB587" s="40"/>
      <c r="AC587" s="27">
        <f t="shared" si="408"/>
        <v>0</v>
      </c>
      <c r="AD587" s="41"/>
      <c r="AE587" s="42"/>
      <c r="AF587" s="27"/>
      <c r="AG587" s="43">
        <f t="shared" si="437"/>
        <v>5750.73</v>
      </c>
      <c r="AH587" s="29"/>
      <c r="AI587" s="29"/>
      <c r="AJ587" s="29"/>
      <c r="AK587" s="29"/>
      <c r="AL587" s="27"/>
      <c r="AM587" s="44"/>
      <c r="AN587" s="45"/>
      <c r="AO587" s="46"/>
      <c r="AP587" s="47"/>
      <c r="AQ587" s="43">
        <f t="shared" si="438"/>
        <v>6053.4</v>
      </c>
      <c r="AR587" s="43">
        <f t="shared" si="2"/>
        <v>302.67</v>
      </c>
      <c r="AS587" s="43">
        <f t="shared" si="3"/>
        <v>1059.345</v>
      </c>
      <c r="AT587" s="48">
        <f t="shared" si="4"/>
        <v>4691.385</v>
      </c>
      <c r="AU587" s="49">
        <f t="shared" si="429"/>
        <v>4691.385</v>
      </c>
      <c r="AV587" s="48"/>
      <c r="AW587" s="34">
        <f t="shared" si="341"/>
        <v>23883.78</v>
      </c>
      <c r="AX587" s="50">
        <f t="shared" si="413"/>
        <v>4691.385</v>
      </c>
      <c r="AY587" s="43"/>
      <c r="AZ587" s="43"/>
      <c r="BA587" s="48">
        <f t="shared" si="434"/>
        <v>4691.385</v>
      </c>
      <c r="BB587" s="27"/>
      <c r="BC587" s="27"/>
      <c r="BD587" s="51"/>
      <c r="BE587" s="52"/>
      <c r="BF587" s="27" t="s">
        <v>2021</v>
      </c>
      <c r="BG587" s="53">
        <v>0.0</v>
      </c>
      <c r="BH587" s="53" t="str">
        <f>'[1]2023'!Q760</f>
        <v>#REF!</v>
      </c>
      <c r="BI587" s="27"/>
      <c r="BJ587" s="27"/>
      <c r="BK587" s="27" t="s">
        <v>76</v>
      </c>
      <c r="BL587" s="27"/>
    </row>
    <row r="588" ht="14.25" customHeight="1">
      <c r="A588" s="26" t="s">
        <v>55</v>
      </c>
      <c r="B588" s="26" t="s">
        <v>56</v>
      </c>
      <c r="C588" s="26" t="s">
        <v>57</v>
      </c>
      <c r="D588" s="26" t="s">
        <v>81</v>
      </c>
      <c r="E588" s="27" t="s">
        <v>2024</v>
      </c>
      <c r="F588" s="28" t="s">
        <v>2025</v>
      </c>
      <c r="G588" s="29" t="s">
        <v>2023</v>
      </c>
      <c r="H588" s="30">
        <v>45092.0</v>
      </c>
      <c r="I588" s="30">
        <v>45457.0</v>
      </c>
      <c r="J588" s="31">
        <v>0.0</v>
      </c>
      <c r="K588" s="26" t="s">
        <v>440</v>
      </c>
      <c r="L588" s="32" t="s">
        <v>75</v>
      </c>
      <c r="M588" s="33">
        <v>20475.0</v>
      </c>
      <c r="N588" s="34">
        <v>21825.03</v>
      </c>
      <c r="O588" s="27" t="s">
        <v>76</v>
      </c>
      <c r="P588" s="35" t="s">
        <v>95</v>
      </c>
      <c r="Q588" s="35" t="s">
        <v>108</v>
      </c>
      <c r="R588" s="36" t="e">
        <v>#VALUE!</v>
      </c>
      <c r="S588" s="35" t="s">
        <v>86</v>
      </c>
      <c r="T588" s="35">
        <v>0.0</v>
      </c>
      <c r="U588" s="37" t="s">
        <v>67</v>
      </c>
      <c r="V588" s="38"/>
      <c r="W588" s="38"/>
      <c r="X588" s="27"/>
      <c r="Y588" s="39"/>
      <c r="Z588" s="39"/>
      <c r="AA588" s="39"/>
      <c r="AB588" s="40"/>
      <c r="AC588" s="27">
        <f t="shared" si="408"/>
        <v>0</v>
      </c>
      <c r="AD588" s="41">
        <f>IF(AND(S588="0",O588="Paid"),(M588*15%)-AC588,0)</f>
        <v>3071.25</v>
      </c>
      <c r="AE588" s="42"/>
      <c r="AF588" s="27" t="s">
        <v>305</v>
      </c>
      <c r="AG588" s="43">
        <f t="shared" si="437"/>
        <v>5251.8375</v>
      </c>
      <c r="AH588" s="29"/>
      <c r="AI588" s="29"/>
      <c r="AJ588" s="29"/>
      <c r="AK588" s="29"/>
      <c r="AL588" s="27"/>
      <c r="AM588" s="44"/>
      <c r="AN588" s="45"/>
      <c r="AO588" s="46"/>
      <c r="AP588" s="47"/>
      <c r="AQ588" s="43">
        <f t="shared" si="438"/>
        <v>5528.25</v>
      </c>
      <c r="AR588" s="43">
        <f t="shared" si="2"/>
        <v>276.4125</v>
      </c>
      <c r="AS588" s="43">
        <f t="shared" si="3"/>
        <v>967.44375</v>
      </c>
      <c r="AT588" s="48">
        <f t="shared" si="4"/>
        <v>4284.39375</v>
      </c>
      <c r="AU588" s="49">
        <f t="shared" si="429"/>
        <v>4284.39375</v>
      </c>
      <c r="AV588" s="48"/>
      <c r="AW588" s="34">
        <f t="shared" si="341"/>
        <v>18753.78</v>
      </c>
      <c r="AX588" s="50">
        <f t="shared" si="413"/>
        <v>1213.14375</v>
      </c>
      <c r="AY588" s="43"/>
      <c r="AZ588" s="43"/>
      <c r="BA588" s="48">
        <f t="shared" si="434"/>
        <v>4284.39375</v>
      </c>
      <c r="BB588" s="27"/>
      <c r="BC588" s="27"/>
      <c r="BD588" s="51"/>
      <c r="BE588" s="52"/>
      <c r="BF588" s="27" t="s">
        <v>2024</v>
      </c>
      <c r="BG588" s="53">
        <v>0.0</v>
      </c>
      <c r="BH588" s="53" t="str">
        <f>'[1]2023'!Q796</f>
        <v>#REF!</v>
      </c>
      <c r="BI588" s="27"/>
      <c r="BJ588" s="27"/>
      <c r="BK588" s="27" t="s">
        <v>76</v>
      </c>
      <c r="BL588" s="27"/>
    </row>
    <row r="589" ht="14.25" customHeight="1">
      <c r="A589" s="26" t="s">
        <v>55</v>
      </c>
      <c r="B589" s="26" t="s">
        <v>56</v>
      </c>
      <c r="C589" s="26" t="s">
        <v>57</v>
      </c>
      <c r="D589" s="26" t="s">
        <v>81</v>
      </c>
      <c r="E589" s="27" t="s">
        <v>2026</v>
      </c>
      <c r="F589" s="28" t="s">
        <v>2027</v>
      </c>
      <c r="G589" s="29" t="s">
        <v>2023</v>
      </c>
      <c r="H589" s="30">
        <v>45092.0</v>
      </c>
      <c r="I589" s="30">
        <v>45457.0</v>
      </c>
      <c r="J589" s="31">
        <v>0.0</v>
      </c>
      <c r="K589" s="26" t="s">
        <v>440</v>
      </c>
      <c r="L589" s="32" t="s">
        <v>75</v>
      </c>
      <c r="M589" s="33">
        <v>23400.0</v>
      </c>
      <c r="N589" s="34">
        <v>24921.6</v>
      </c>
      <c r="O589" s="27" t="s">
        <v>76</v>
      </c>
      <c r="P589" s="35" t="s">
        <v>122</v>
      </c>
      <c r="Q589" s="35" t="s">
        <v>65</v>
      </c>
      <c r="R589" s="36" t="e">
        <v>#VALUE!</v>
      </c>
      <c r="S589" s="35" t="s">
        <v>86</v>
      </c>
      <c r="T589" s="35">
        <v>0.0</v>
      </c>
      <c r="U589" s="37" t="s">
        <v>67</v>
      </c>
      <c r="V589" s="38"/>
      <c r="W589" s="38"/>
      <c r="X589" s="27"/>
      <c r="Y589" s="39"/>
      <c r="Z589" s="39"/>
      <c r="AA589" s="39"/>
      <c r="AB589" s="40"/>
      <c r="AC589" s="27">
        <f t="shared" si="408"/>
        <v>0</v>
      </c>
      <c r="AD589" s="41"/>
      <c r="AE589" s="42"/>
      <c r="AF589" s="27"/>
      <c r="AG589" s="43">
        <f t="shared" si="437"/>
        <v>6002.1</v>
      </c>
      <c r="AH589" s="29"/>
      <c r="AI589" s="29"/>
      <c r="AJ589" s="29"/>
      <c r="AK589" s="29"/>
      <c r="AL589" s="27"/>
      <c r="AM589" s="44"/>
      <c r="AN589" s="45"/>
      <c r="AO589" s="46"/>
      <c r="AP589" s="47"/>
      <c r="AQ589" s="43">
        <f t="shared" si="438"/>
        <v>6318</v>
      </c>
      <c r="AR589" s="43">
        <f t="shared" si="2"/>
        <v>315.9</v>
      </c>
      <c r="AS589" s="43">
        <f t="shared" si="3"/>
        <v>1105.65</v>
      </c>
      <c r="AT589" s="48">
        <f t="shared" si="4"/>
        <v>4896.45</v>
      </c>
      <c r="AU589" s="49">
        <f t="shared" si="429"/>
        <v>4896.45</v>
      </c>
      <c r="AV589" s="48"/>
      <c r="AW589" s="34">
        <f t="shared" si="341"/>
        <v>24921.6</v>
      </c>
      <c r="AX589" s="50">
        <f t="shared" si="413"/>
        <v>4896.45</v>
      </c>
      <c r="AY589" s="43"/>
      <c r="AZ589" s="43"/>
      <c r="BA589" s="48">
        <f t="shared" si="434"/>
        <v>4896.45</v>
      </c>
      <c r="BB589" s="27"/>
      <c r="BC589" s="27"/>
      <c r="BD589" s="51"/>
      <c r="BE589" s="52"/>
      <c r="BF589" s="27" t="s">
        <v>2026</v>
      </c>
      <c r="BG589" s="53">
        <v>0.0</v>
      </c>
      <c r="BH589" s="53" t="str">
        <f>'[1]2023'!Q799</f>
        <v>#REF!</v>
      </c>
      <c r="BI589" s="27"/>
      <c r="BJ589" s="27"/>
      <c r="BK589" s="27" t="s">
        <v>76</v>
      </c>
      <c r="BL589" s="27"/>
    </row>
    <row r="590" ht="14.25" customHeight="1">
      <c r="A590" s="26" t="s">
        <v>111</v>
      </c>
      <c r="B590" s="26" t="s">
        <v>56</v>
      </c>
      <c r="C590" s="26" t="s">
        <v>57</v>
      </c>
      <c r="D590" s="26" t="s">
        <v>71</v>
      </c>
      <c r="E590" s="27" t="s">
        <v>2028</v>
      </c>
      <c r="F590" s="28" t="s">
        <v>2029</v>
      </c>
      <c r="G590" s="29" t="s">
        <v>2023</v>
      </c>
      <c r="H590" s="30">
        <v>45092.0</v>
      </c>
      <c r="I590" s="30">
        <v>45457.0</v>
      </c>
      <c r="J590" s="31" t="s">
        <v>2030</v>
      </c>
      <c r="K590" s="26" t="s">
        <v>440</v>
      </c>
      <c r="L590" s="32" t="s">
        <v>75</v>
      </c>
      <c r="M590" s="33">
        <v>13261.76</v>
      </c>
      <c r="N590" s="34">
        <v>14300.0</v>
      </c>
      <c r="O590" s="27" t="s">
        <v>76</v>
      </c>
      <c r="P590" s="35" t="s">
        <v>430</v>
      </c>
      <c r="Q590" s="35" t="s">
        <v>114</v>
      </c>
      <c r="R590" s="36" t="e">
        <v>#VALUE!</v>
      </c>
      <c r="S590" s="35" t="s">
        <v>2031</v>
      </c>
      <c r="T590" s="54" t="s">
        <v>2032</v>
      </c>
      <c r="U590" s="37" t="s">
        <v>115</v>
      </c>
      <c r="V590" s="38">
        <v>550000.0</v>
      </c>
      <c r="W590" s="38"/>
      <c r="X590" s="27"/>
      <c r="Y590" s="39"/>
      <c r="Z590" s="79" t="s">
        <v>2033</v>
      </c>
      <c r="AA590" s="39"/>
      <c r="AB590" s="40"/>
      <c r="AC590" s="27">
        <f t="shared" si="408"/>
        <v>0</v>
      </c>
      <c r="AD590" s="41"/>
      <c r="AE590" s="42"/>
      <c r="AF590" s="27"/>
      <c r="AG590" s="43">
        <f t="shared" ref="AG590:AG591" si="439">IF(O590="Paid",IF(A590="Alwataniya",(M590*21%)-((M590*21%)*5%),IF((A590="GIG"),(M590*25%)-((M590*25%)*5%),IF((A590="Allianz"),(M590*27%)-((M590*27%)*20%),0))),0)</f>
        <v>3149.668</v>
      </c>
      <c r="AH590" s="29">
        <v>45237.0</v>
      </c>
      <c r="AI590" s="29">
        <v>45267.0</v>
      </c>
      <c r="AJ590" s="40"/>
      <c r="AK590" s="62" t="s">
        <v>63</v>
      </c>
      <c r="AL590" s="27"/>
      <c r="AM590" s="48">
        <f>(AQ590-AR590-AS590-(M590*15%))*30%</f>
        <v>174.0606</v>
      </c>
      <c r="AN590" s="68" t="s">
        <v>75</v>
      </c>
      <c r="AO590" s="46">
        <f>M590*15%</f>
        <v>1989.264</v>
      </c>
      <c r="AP590" s="57">
        <v>45237.0</v>
      </c>
      <c r="AQ590" s="43">
        <f>M590*25%</f>
        <v>3315.44</v>
      </c>
      <c r="AR590" s="43">
        <f t="shared" si="2"/>
        <v>165.772</v>
      </c>
      <c r="AS590" s="43">
        <f t="shared" si="3"/>
        <v>580.202</v>
      </c>
      <c r="AT590" s="48">
        <f t="shared" si="4"/>
        <v>2569.466</v>
      </c>
      <c r="AU590" s="48">
        <f>AQ590-AR590-AS590</f>
        <v>2569.466</v>
      </c>
      <c r="AV590" s="133">
        <v>52.0</v>
      </c>
      <c r="AW590" s="34">
        <f t="shared" si="341"/>
        <v>14300</v>
      </c>
      <c r="AX590" s="50">
        <f t="shared" si="413"/>
        <v>354.1414</v>
      </c>
      <c r="AY590" s="43">
        <f>AG590-(AG590*22.5%)</f>
        <v>2440.9927</v>
      </c>
      <c r="AZ590" s="43"/>
      <c r="BA590" s="48">
        <f t="shared" si="434"/>
        <v>406.1414</v>
      </c>
      <c r="BB590" s="27"/>
      <c r="BC590" s="27"/>
      <c r="BD590" s="51"/>
      <c r="BE590" s="52" t="s">
        <v>440</v>
      </c>
      <c r="BF590" s="27" t="s">
        <v>2028</v>
      </c>
      <c r="BG590" s="58" t="s">
        <v>562</v>
      </c>
      <c r="BH590" s="53" t="str">
        <f>'[1]2023'!Q856</f>
        <v>#REF!</v>
      </c>
      <c r="BI590" s="27"/>
      <c r="BJ590" s="27"/>
      <c r="BK590" s="27" t="s">
        <v>76</v>
      </c>
      <c r="BL590" s="27"/>
    </row>
    <row r="591" ht="14.25" customHeight="1">
      <c r="A591" s="26" t="s">
        <v>111</v>
      </c>
      <c r="B591" s="26" t="s">
        <v>56</v>
      </c>
      <c r="C591" s="26" t="s">
        <v>57</v>
      </c>
      <c r="D591" s="26" t="s">
        <v>71</v>
      </c>
      <c r="E591" s="27" t="s">
        <v>2034</v>
      </c>
      <c r="F591" s="28" t="s">
        <v>2035</v>
      </c>
      <c r="G591" s="29" t="s">
        <v>2023</v>
      </c>
      <c r="H591" s="30">
        <v>45092.0</v>
      </c>
      <c r="I591" s="30">
        <v>45457.0</v>
      </c>
      <c r="J591" s="31" t="s">
        <v>2036</v>
      </c>
      <c r="K591" s="26" t="s">
        <v>440</v>
      </c>
      <c r="L591" s="32" t="s">
        <v>75</v>
      </c>
      <c r="M591" s="33">
        <v>120060.62</v>
      </c>
      <c r="N591" s="34">
        <v>127400.0</v>
      </c>
      <c r="O591" s="27" t="s">
        <v>76</v>
      </c>
      <c r="P591" s="35" t="s">
        <v>430</v>
      </c>
      <c r="Q591" s="35" t="s">
        <v>114</v>
      </c>
      <c r="R591" s="36" t="e">
        <v>#VALUE!</v>
      </c>
      <c r="S591" s="35" t="s">
        <v>66</v>
      </c>
      <c r="T591" s="35">
        <v>0.0</v>
      </c>
      <c r="U591" s="37" t="s">
        <v>115</v>
      </c>
      <c r="V591" s="38">
        <v>4900000.0</v>
      </c>
      <c r="W591" s="38"/>
      <c r="X591" s="27"/>
      <c r="Y591" s="39"/>
      <c r="Z591" s="79" t="s">
        <v>2037</v>
      </c>
      <c r="AA591" s="39"/>
      <c r="AB591" s="40"/>
      <c r="AC591" s="27">
        <f t="shared" si="408"/>
        <v>0</v>
      </c>
      <c r="AD591" s="41">
        <f>IF(AND(S591="0",O591="Paid"),(M591*15%)-AC591,0)</f>
        <v>0</v>
      </c>
      <c r="AE591" s="42"/>
      <c r="AF591" s="27"/>
      <c r="AG591" s="43">
        <f t="shared" si="439"/>
        <v>28514.39725</v>
      </c>
      <c r="AH591" s="29">
        <v>45237.0</v>
      </c>
      <c r="AI591" s="29">
        <v>45267.0</v>
      </c>
      <c r="AJ591" s="40"/>
      <c r="AK591" s="62" t="s">
        <v>63</v>
      </c>
      <c r="AL591" s="27"/>
      <c r="AM591" s="44">
        <f>((M591*25%)-((M591*25%)*22.5%))*30%</f>
        <v>6978.523538</v>
      </c>
      <c r="AN591" s="146" t="s">
        <v>1038</v>
      </c>
      <c r="AO591" s="46"/>
      <c r="AP591" s="47"/>
      <c r="AQ591" s="43">
        <f>IF(U591="Motor Plus",(M591*27%),IF(U591="Motor One",(M591*22%),(IF(U591="Golden",(M591*25%),(IF(U591="Classic",(M591*15%),(IF(U591="Wethaq",(M591*28%),IF(U591="Alwataniya",(M591*21%))*0))))))))</f>
        <v>30015.155</v>
      </c>
      <c r="AR591" s="43">
        <f t="shared" si="2"/>
        <v>1500.75775</v>
      </c>
      <c r="AS591" s="43">
        <f t="shared" si="3"/>
        <v>5252.652125</v>
      </c>
      <c r="AT591" s="48">
        <f t="shared" si="4"/>
        <v>23261.74513</v>
      </c>
      <c r="AU591" s="49">
        <f t="shared" ref="AU591:AU594" si="440">AQ591-AR591-AS591-AC591</f>
        <v>23261.74513</v>
      </c>
      <c r="AV591" s="48"/>
      <c r="AW591" s="34">
        <f t="shared" si="341"/>
        <v>127400</v>
      </c>
      <c r="AX591" s="50">
        <f t="shared" si="413"/>
        <v>16283.22159</v>
      </c>
      <c r="AY591" s="43"/>
      <c r="AZ591" s="43"/>
      <c r="BA591" s="48">
        <f t="shared" si="434"/>
        <v>16283.22159</v>
      </c>
      <c r="BB591" s="27"/>
      <c r="BC591" s="27"/>
      <c r="BD591" s="51"/>
      <c r="BE591" s="52" t="s">
        <v>440</v>
      </c>
      <c r="BF591" s="27" t="s">
        <v>2034</v>
      </c>
      <c r="BG591" s="53">
        <v>0.0</v>
      </c>
      <c r="BH591" s="53" t="str">
        <f>'[1]2023'!Q865</f>
        <v>#REF!</v>
      </c>
      <c r="BI591" s="27"/>
      <c r="BJ591" s="27"/>
      <c r="BK591" s="27" t="s">
        <v>76</v>
      </c>
      <c r="BL591" s="27"/>
    </row>
    <row r="592" ht="14.25" customHeight="1">
      <c r="A592" s="26" t="s">
        <v>68</v>
      </c>
      <c r="B592" s="26" t="s">
        <v>56</v>
      </c>
      <c r="C592" s="26" t="s">
        <v>57</v>
      </c>
      <c r="D592" s="26" t="s">
        <v>71</v>
      </c>
      <c r="E592" s="27" t="s">
        <v>2038</v>
      </c>
      <c r="F592" s="28" t="s">
        <v>2039</v>
      </c>
      <c r="G592" s="29" t="s">
        <v>2023</v>
      </c>
      <c r="H592" s="30">
        <v>45092.0</v>
      </c>
      <c r="I592" s="30">
        <v>45457.0</v>
      </c>
      <c r="J592" s="88" t="s">
        <v>510</v>
      </c>
      <c r="K592" s="26" t="s">
        <v>440</v>
      </c>
      <c r="L592" s="69">
        <v>45098.0</v>
      </c>
      <c r="M592" s="33">
        <v>50676.16</v>
      </c>
      <c r="N592" s="34">
        <v>54000.0</v>
      </c>
      <c r="O592" s="27" t="s">
        <v>76</v>
      </c>
      <c r="P592" s="35" t="s">
        <v>430</v>
      </c>
      <c r="Q592" s="35">
        <v>0.0</v>
      </c>
      <c r="R592" s="36" t="e">
        <v>#VALUE!</v>
      </c>
      <c r="S592" s="35" t="s">
        <v>78</v>
      </c>
      <c r="T592" s="54" t="s">
        <v>510</v>
      </c>
      <c r="U592" s="37" t="s">
        <v>68</v>
      </c>
      <c r="V592" s="38">
        <v>3000000.0</v>
      </c>
      <c r="W592" s="38"/>
      <c r="X592" s="27"/>
      <c r="Y592" s="39"/>
      <c r="Z592" s="39" t="s">
        <v>2040</v>
      </c>
      <c r="AA592" s="39"/>
      <c r="AB592" s="40"/>
      <c r="AC592" s="27">
        <f t="shared" si="408"/>
        <v>0</v>
      </c>
      <c r="AD592" s="41"/>
      <c r="AE592" s="42"/>
      <c r="AF592" s="27"/>
      <c r="AG592" s="43">
        <f>IF(O592="Paid",IF(A592="Wethaq",(M592*20%)-((M592*20%)*5%)))</f>
        <v>9628.4704</v>
      </c>
      <c r="AH592" s="29">
        <v>45237.0</v>
      </c>
      <c r="AI592" s="29">
        <v>45177.0</v>
      </c>
      <c r="AJ592" s="97">
        <v>0.2</v>
      </c>
      <c r="AK592" s="29">
        <v>45115.0</v>
      </c>
      <c r="AL592" s="27"/>
      <c r="AM592" s="44"/>
      <c r="AN592" s="104"/>
      <c r="AO592" s="95">
        <f>M592*AJ592-((M592*AJ592)*22.5%)</f>
        <v>7854.8048</v>
      </c>
      <c r="AP592" s="47" t="s">
        <v>2041</v>
      </c>
      <c r="AQ592" s="43">
        <f>M592*AJ592</f>
        <v>10135.232</v>
      </c>
      <c r="AR592" s="43">
        <f t="shared" si="2"/>
        <v>506.7616</v>
      </c>
      <c r="AS592" s="43">
        <f t="shared" si="3"/>
        <v>1773.6656</v>
      </c>
      <c r="AT592" s="48">
        <f t="shared" si="4"/>
        <v>7854.8048</v>
      </c>
      <c r="AU592" s="49">
        <f t="shared" si="440"/>
        <v>7854.8048</v>
      </c>
      <c r="AV592" s="48"/>
      <c r="AW592" s="34">
        <f t="shared" si="341"/>
        <v>54000</v>
      </c>
      <c r="AX592" s="50">
        <f t="shared" si="413"/>
        <v>0</v>
      </c>
      <c r="AY592" s="43"/>
      <c r="AZ592" s="43">
        <f>IF(AJ592&lt;28%,M592*(28%-AJ592)-((M592*(28%-AJ592))*5%),0)</f>
        <v>3851.38816</v>
      </c>
      <c r="BA592" s="48" t="str">
        <f>IF(S592&lt;&gt;0,AU592-#REF!-AM592,(AG592-AD592-AE592-AS592))</f>
        <v>#REF!</v>
      </c>
      <c r="BB592" s="27"/>
      <c r="BC592" s="27"/>
      <c r="BD592" s="51"/>
      <c r="BE592" s="52"/>
      <c r="BF592" s="27" t="s">
        <v>2038</v>
      </c>
      <c r="BG592" s="58" t="s">
        <v>562</v>
      </c>
      <c r="BH592" s="53" t="str">
        <f>'[1]2023'!Q869</f>
        <v>#REF!</v>
      </c>
      <c r="BI592" s="27"/>
      <c r="BJ592" s="27"/>
      <c r="BK592" s="27" t="s">
        <v>76</v>
      </c>
      <c r="BL592" s="27"/>
    </row>
    <row r="593" ht="14.25" customHeight="1">
      <c r="A593" s="26" t="s">
        <v>55</v>
      </c>
      <c r="B593" s="26" t="s">
        <v>56</v>
      </c>
      <c r="C593" s="26" t="s">
        <v>57</v>
      </c>
      <c r="D593" s="26" t="s">
        <v>58</v>
      </c>
      <c r="E593" s="27" t="s">
        <v>2042</v>
      </c>
      <c r="F593" s="28" t="s">
        <v>2043</v>
      </c>
      <c r="G593" s="29" t="s">
        <v>2023</v>
      </c>
      <c r="H593" s="30">
        <v>45092.0</v>
      </c>
      <c r="I593" s="30">
        <v>45457.0</v>
      </c>
      <c r="J593" s="31">
        <v>0.0</v>
      </c>
      <c r="K593" s="26" t="s">
        <v>440</v>
      </c>
      <c r="L593" s="32" t="s">
        <v>75</v>
      </c>
      <c r="M593" s="33">
        <v>5480.33</v>
      </c>
      <c r="N593" s="34">
        <v>5805.0</v>
      </c>
      <c r="O593" s="27" t="s">
        <v>76</v>
      </c>
      <c r="P593" s="35" t="s">
        <v>122</v>
      </c>
      <c r="Q593" s="35" t="s">
        <v>65</v>
      </c>
      <c r="R593" s="36" t="e">
        <v>#VALUE!</v>
      </c>
      <c r="S593" s="35" t="s">
        <v>86</v>
      </c>
      <c r="T593" s="35">
        <v>0.0</v>
      </c>
      <c r="U593" s="37" t="s">
        <v>157</v>
      </c>
      <c r="V593" s="38"/>
      <c r="W593" s="38"/>
      <c r="X593" s="27"/>
      <c r="Y593" s="39"/>
      <c r="Z593" s="39"/>
      <c r="AA593" s="39"/>
      <c r="AB593" s="40"/>
      <c r="AC593" s="27">
        <f t="shared" si="408"/>
        <v>0</v>
      </c>
      <c r="AD593" s="41"/>
      <c r="AE593" s="42"/>
      <c r="AF593" s="27"/>
      <c r="AG593" s="43">
        <f t="shared" ref="AG593:AG594" si="441">IF(O593="Paid",IF(A593="Alwataniya",(M593*21%)-((M593*21%)*5%),IF((A593="GIG"),(M593*25%)-((M593*25%)*5%),IF((A593="Allianz"),(M593*27%)-((M593*27%)*5%),0))),0)</f>
        <v>1405.704645</v>
      </c>
      <c r="AH593" s="29"/>
      <c r="AI593" s="29"/>
      <c r="AJ593" s="29"/>
      <c r="AK593" s="29"/>
      <c r="AL593" s="27"/>
      <c r="AM593" s="44"/>
      <c r="AN593" s="45"/>
      <c r="AO593" s="46"/>
      <c r="AP593" s="47"/>
      <c r="AQ593" s="43">
        <f t="shared" ref="AQ593:AQ594" si="442">IF(U593="Motor Plus",(M593*27%),IF(U593="Motor One",(M593*22%),(IF(U593="Golden",(M593*25%),(IF(U593="Classic",(M593*15%),(IF(U593="Wethaq",(M593*28%),IF(U593="Alwataniya",(M593*21%))*0))))))))</f>
        <v>1205.6726</v>
      </c>
      <c r="AR593" s="43">
        <f t="shared" si="2"/>
        <v>60.28363</v>
      </c>
      <c r="AS593" s="43">
        <f t="shared" si="3"/>
        <v>210.992705</v>
      </c>
      <c r="AT593" s="48">
        <f t="shared" si="4"/>
        <v>934.396265</v>
      </c>
      <c r="AU593" s="49">
        <f t="shared" si="440"/>
        <v>934.396265</v>
      </c>
      <c r="AV593" s="48"/>
      <c r="AW593" s="34">
        <f t="shared" si="341"/>
        <v>5805</v>
      </c>
      <c r="AX593" s="50">
        <f t="shared" si="413"/>
        <v>1194.71194</v>
      </c>
      <c r="AY593" s="43"/>
      <c r="AZ593" s="43"/>
      <c r="BA593" s="48">
        <f t="shared" ref="BA593:BA598" si="443">IF(S593&lt;&gt;0,AU593-AO593-AM593,(AG593-AD593-AE593-AS593))</f>
        <v>934.396265</v>
      </c>
      <c r="BB593" s="27"/>
      <c r="BC593" s="27"/>
      <c r="BD593" s="51"/>
      <c r="BE593" s="52"/>
      <c r="BF593" s="27" t="s">
        <v>2044</v>
      </c>
      <c r="BG593" s="53">
        <v>0.0</v>
      </c>
      <c r="BH593" s="53" t="str">
        <f t="shared" ref="BH593:BH594" si="444">'[1]2023'!Q872</f>
        <v>#REF!</v>
      </c>
      <c r="BI593" s="27"/>
      <c r="BJ593" s="27"/>
      <c r="BK593" s="27" t="s">
        <v>76</v>
      </c>
      <c r="BL593" s="27"/>
    </row>
    <row r="594" ht="14.25" customHeight="1">
      <c r="A594" s="26" t="s">
        <v>55</v>
      </c>
      <c r="B594" s="26" t="s">
        <v>56</v>
      </c>
      <c r="C594" s="26" t="s">
        <v>57</v>
      </c>
      <c r="D594" s="26" t="s">
        <v>58</v>
      </c>
      <c r="E594" s="27" t="s">
        <v>2045</v>
      </c>
      <c r="F594" s="28" t="s">
        <v>2046</v>
      </c>
      <c r="G594" s="29" t="s">
        <v>2023</v>
      </c>
      <c r="H594" s="30">
        <v>45092.0</v>
      </c>
      <c r="I594" s="30">
        <v>45457.0</v>
      </c>
      <c r="J594" s="31">
        <v>0.0</v>
      </c>
      <c r="K594" s="26" t="s">
        <v>440</v>
      </c>
      <c r="L594" s="32" t="s">
        <v>75</v>
      </c>
      <c r="M594" s="33">
        <v>3291.98</v>
      </c>
      <c r="N594" s="34">
        <v>3490.0</v>
      </c>
      <c r="O594" s="27" t="s">
        <v>76</v>
      </c>
      <c r="P594" s="35" t="s">
        <v>122</v>
      </c>
      <c r="Q594" s="35" t="s">
        <v>85</v>
      </c>
      <c r="R594" s="36" t="e">
        <v>#VALUE!</v>
      </c>
      <c r="S594" s="35" t="s">
        <v>86</v>
      </c>
      <c r="T594" s="35">
        <v>0.0</v>
      </c>
      <c r="U594" s="37" t="s">
        <v>67</v>
      </c>
      <c r="V594" s="38"/>
      <c r="W594" s="38"/>
      <c r="X594" s="27"/>
      <c r="Y594" s="39"/>
      <c r="Z594" s="39"/>
      <c r="AA594" s="39"/>
      <c r="AB594" s="40"/>
      <c r="AC594" s="27">
        <f t="shared" si="408"/>
        <v>0</v>
      </c>
      <c r="AD594" s="41">
        <f t="shared" ref="AD594:AD595" si="445">IF(AND(S594="0",O594="Paid"),(M594*15%)-AC594,0)</f>
        <v>493.797</v>
      </c>
      <c r="AE594" s="42"/>
      <c r="AF594" s="27"/>
      <c r="AG594" s="43">
        <f t="shared" si="441"/>
        <v>844.39287</v>
      </c>
      <c r="AH594" s="29"/>
      <c r="AI594" s="29"/>
      <c r="AJ594" s="29"/>
      <c r="AK594" s="29"/>
      <c r="AL594" s="27"/>
      <c r="AM594" s="44"/>
      <c r="AN594" s="45"/>
      <c r="AO594" s="46"/>
      <c r="AP594" s="47"/>
      <c r="AQ594" s="43">
        <f t="shared" si="442"/>
        <v>888.8346</v>
      </c>
      <c r="AR594" s="43">
        <f t="shared" si="2"/>
        <v>44.44173</v>
      </c>
      <c r="AS594" s="43">
        <f t="shared" si="3"/>
        <v>155.546055</v>
      </c>
      <c r="AT594" s="48">
        <f t="shared" si="4"/>
        <v>688.846815</v>
      </c>
      <c r="AU594" s="49">
        <f t="shared" si="440"/>
        <v>688.846815</v>
      </c>
      <c r="AV594" s="48"/>
      <c r="AW594" s="34">
        <f t="shared" si="341"/>
        <v>2996.203</v>
      </c>
      <c r="AX594" s="50">
        <f t="shared" si="413"/>
        <v>195.049815</v>
      </c>
      <c r="AY594" s="43"/>
      <c r="AZ594" s="43"/>
      <c r="BA594" s="48">
        <f t="shared" si="443"/>
        <v>688.846815</v>
      </c>
      <c r="BB594" s="27"/>
      <c r="BC594" s="27"/>
      <c r="BD594" s="51"/>
      <c r="BE594" s="52"/>
      <c r="BF594" s="27" t="s">
        <v>2045</v>
      </c>
      <c r="BG594" s="53">
        <v>0.0</v>
      </c>
      <c r="BH594" s="53" t="str">
        <f t="shared" si="444"/>
        <v>#REF!</v>
      </c>
      <c r="BI594" s="27"/>
      <c r="BJ594" s="27"/>
      <c r="BK594" s="27" t="s">
        <v>76</v>
      </c>
      <c r="BL594" s="27"/>
    </row>
    <row r="595" ht="14.25" customHeight="1">
      <c r="A595" s="26" t="s">
        <v>111</v>
      </c>
      <c r="B595" s="26" t="s">
        <v>56</v>
      </c>
      <c r="C595" s="26" t="s">
        <v>57</v>
      </c>
      <c r="D595" s="26" t="s">
        <v>71</v>
      </c>
      <c r="E595" s="27" t="s">
        <v>2047</v>
      </c>
      <c r="F595" s="28" t="s">
        <v>2048</v>
      </c>
      <c r="G595" s="29">
        <v>45092.54236111111</v>
      </c>
      <c r="H595" s="30">
        <v>45092.54236111111</v>
      </c>
      <c r="I595" s="30">
        <v>45457.54236111111</v>
      </c>
      <c r="J595" s="31">
        <v>0.0</v>
      </c>
      <c r="K595" s="26" t="s">
        <v>440</v>
      </c>
      <c r="L595" s="32" t="s">
        <v>63</v>
      </c>
      <c r="M595" s="33">
        <v>122515.77</v>
      </c>
      <c r="N595" s="34">
        <v>130000.0</v>
      </c>
      <c r="O595" s="27" t="s">
        <v>64</v>
      </c>
      <c r="P595" s="35">
        <v>0.0</v>
      </c>
      <c r="Q595" s="35">
        <v>0.0</v>
      </c>
      <c r="R595" s="36">
        <v>45101.54236111111</v>
      </c>
      <c r="S595" s="35" t="s">
        <v>86</v>
      </c>
      <c r="T595" s="35">
        <v>0.0</v>
      </c>
      <c r="U595" s="37" t="s">
        <v>115</v>
      </c>
      <c r="V595" s="38"/>
      <c r="W595" s="78"/>
      <c r="X595" s="27"/>
      <c r="Y595" s="39"/>
      <c r="Z595" s="39"/>
      <c r="AA595" s="39"/>
      <c r="AB595" s="27"/>
      <c r="AC595" s="27">
        <f t="shared" si="408"/>
        <v>0</v>
      </c>
      <c r="AD595" s="41">
        <f t="shared" si="445"/>
        <v>0</v>
      </c>
      <c r="AE595" s="42"/>
      <c r="AF595" s="27"/>
      <c r="AG595" s="43">
        <f>IF(O595="Paid",IF(A595="Alwataniya",(M595*21%)-((M595*21%)*5%),IF((A595="GIG"),(M595*25%)-((M595*25%)*5%),IF((A595="Allianz"),(M595*27%)-((M595*27%)*20%),0))),0)</f>
        <v>0</v>
      </c>
      <c r="AH595" s="29"/>
      <c r="AI595" s="29"/>
      <c r="AJ595" s="29"/>
      <c r="AK595" s="29"/>
      <c r="AL595" s="27"/>
      <c r="AM595" s="44"/>
      <c r="AN595" s="68"/>
      <c r="AO595" s="46"/>
      <c r="AP595" s="47"/>
      <c r="AQ595" s="43" t="b">
        <f>IF(O595="Paid",IF(U595="Motor Plus",(M595*27%),IF(U595="Motor One",(M595*22%),(IF(U595="Golden",(M595*25%),(IF(U595="Classic",(M595*15%),(IF(U595="Wethaq",(M595*28%),IF(U595="Alwataniya",(M595*21%))*0)))))))))</f>
        <v>0</v>
      </c>
      <c r="AR595" s="43">
        <f t="shared" si="2"/>
        <v>0</v>
      </c>
      <c r="AS595" s="43">
        <f t="shared" si="3"/>
        <v>0</v>
      </c>
      <c r="AT595" s="48">
        <f t="shared" si="4"/>
        <v>0</v>
      </c>
      <c r="AU595" s="49">
        <f>AQ595-AR595-AS595-AC595-AO595</f>
        <v>0</v>
      </c>
      <c r="AV595" s="48"/>
      <c r="AW595" s="34">
        <f t="shared" si="341"/>
        <v>130000</v>
      </c>
      <c r="AX595" s="50">
        <f t="shared" si="413"/>
        <v>0</v>
      </c>
      <c r="AY595" s="43"/>
      <c r="AZ595" s="47"/>
      <c r="BA595" s="48">
        <f t="shared" si="443"/>
        <v>0</v>
      </c>
      <c r="BB595" s="27"/>
      <c r="BC595" s="27"/>
      <c r="BD595" s="51"/>
      <c r="BE595" s="52"/>
      <c r="BF595" s="27"/>
      <c r="BG595" s="53">
        <v>0.0</v>
      </c>
      <c r="BH595" s="53" t="str">
        <f>'[1]2023'!Q1344</f>
        <v>#REF!</v>
      </c>
      <c r="BI595" s="27"/>
      <c r="BJ595" s="27"/>
      <c r="BK595" s="27" t="s">
        <v>64</v>
      </c>
      <c r="BL595" s="27"/>
    </row>
    <row r="596" ht="14.25" customHeight="1">
      <c r="A596" s="26" t="s">
        <v>55</v>
      </c>
      <c r="B596" s="26" t="s">
        <v>56</v>
      </c>
      <c r="C596" s="26" t="s">
        <v>57</v>
      </c>
      <c r="D596" s="26" t="s">
        <v>81</v>
      </c>
      <c r="E596" s="27" t="s">
        <v>2049</v>
      </c>
      <c r="F596" s="28" t="s">
        <v>2050</v>
      </c>
      <c r="G596" s="29" t="s">
        <v>2051</v>
      </c>
      <c r="H596" s="30">
        <v>45093.0</v>
      </c>
      <c r="I596" s="30">
        <v>45458.0</v>
      </c>
      <c r="J596" s="31">
        <v>0.0</v>
      </c>
      <c r="K596" s="26" t="s">
        <v>440</v>
      </c>
      <c r="L596" s="32" t="s">
        <v>75</v>
      </c>
      <c r="M596" s="33">
        <v>26400.0</v>
      </c>
      <c r="N596" s="34">
        <v>28098.6</v>
      </c>
      <c r="O596" s="27" t="s">
        <v>76</v>
      </c>
      <c r="P596" s="35" t="s">
        <v>122</v>
      </c>
      <c r="Q596" s="35">
        <v>0.0</v>
      </c>
      <c r="R596" s="36" t="e">
        <v>#VALUE!</v>
      </c>
      <c r="S596" s="35" t="s">
        <v>86</v>
      </c>
      <c r="T596" s="35">
        <v>0.0</v>
      </c>
      <c r="U596" s="37" t="s">
        <v>67</v>
      </c>
      <c r="V596" s="38"/>
      <c r="W596" s="38"/>
      <c r="X596" s="27"/>
      <c r="Y596" s="39"/>
      <c r="Z596" s="39"/>
      <c r="AA596" s="39"/>
      <c r="AB596" s="40"/>
      <c r="AC596" s="27">
        <f t="shared" si="408"/>
        <v>0</v>
      </c>
      <c r="AD596" s="41">
        <f>IF(AND(S596="0",O596="Paid"),M596*15%,0)</f>
        <v>3960</v>
      </c>
      <c r="AE596" s="42"/>
      <c r="AF596" s="27"/>
      <c r="AG596" s="43">
        <f t="shared" ref="AG596:AG600" si="446">IF(O596="Paid",IF(A596="Alwataniya",(M596*21%)-((M596*21%)*5%),IF((A596="GIG"),(M596*25%)-((M596*25%)*5%),IF((A596="Allianz"),(M596*27%)-((M596*27%)*5%),0))),0)</f>
        <v>6771.6</v>
      </c>
      <c r="AH596" s="29"/>
      <c r="AI596" s="29"/>
      <c r="AJ596" s="29"/>
      <c r="AK596" s="29"/>
      <c r="AL596" s="27"/>
      <c r="AM596" s="44"/>
      <c r="AN596" s="63"/>
      <c r="AO596" s="46"/>
      <c r="AP596" s="47"/>
      <c r="AQ596" s="43">
        <f>IF(U596="Motor Plus",(M596*27%),IF(U596="Motor One",(M596*22%),(IF(U596="Golden",(M596*25%),(IF(U596="Classic",(M596*15%),(IF(U596="Wethaq",(M596*28%),IF(U596="Alwataniya",(M596*21%))*0))))))))</f>
        <v>7128</v>
      </c>
      <c r="AR596" s="43">
        <f t="shared" si="2"/>
        <v>356.4</v>
      </c>
      <c r="AS596" s="43">
        <f t="shared" si="3"/>
        <v>1247.4</v>
      </c>
      <c r="AT596" s="48">
        <f t="shared" si="4"/>
        <v>5524.2</v>
      </c>
      <c r="AU596" s="49">
        <f t="shared" ref="AU596:AU598" si="447">AQ596-AR596-AS596-AC596</f>
        <v>5524.2</v>
      </c>
      <c r="AV596" s="48"/>
      <c r="AW596" s="34">
        <f t="shared" si="341"/>
        <v>24138.6</v>
      </c>
      <c r="AX596" s="50">
        <f t="shared" si="413"/>
        <v>1564.2</v>
      </c>
      <c r="AY596" s="43"/>
      <c r="AZ596" s="43"/>
      <c r="BA596" s="48">
        <f t="shared" si="443"/>
        <v>5524.2</v>
      </c>
      <c r="BB596" s="27"/>
      <c r="BC596" s="27"/>
      <c r="BD596" s="51"/>
      <c r="BE596" s="52"/>
      <c r="BF596" s="27" t="s">
        <v>2049</v>
      </c>
      <c r="BG596" s="53">
        <v>0.0</v>
      </c>
      <c r="BH596" s="53" t="str">
        <f>'[1]2023'!Q773</f>
        <v>#REF!</v>
      </c>
      <c r="BI596" s="27"/>
      <c r="BJ596" s="27"/>
      <c r="BK596" s="27" t="s">
        <v>76</v>
      </c>
      <c r="BL596" s="27"/>
    </row>
    <row r="597" ht="14.25" customHeight="1">
      <c r="A597" s="26" t="s">
        <v>55</v>
      </c>
      <c r="B597" s="26" t="s">
        <v>56</v>
      </c>
      <c r="C597" s="26" t="s">
        <v>57</v>
      </c>
      <c r="D597" s="26" t="s">
        <v>81</v>
      </c>
      <c r="E597" s="27" t="s">
        <v>2052</v>
      </c>
      <c r="F597" s="28" t="s">
        <v>2053</v>
      </c>
      <c r="G597" s="29" t="s">
        <v>2051</v>
      </c>
      <c r="H597" s="30">
        <v>45093.0</v>
      </c>
      <c r="I597" s="30">
        <v>45458.0</v>
      </c>
      <c r="J597" s="31">
        <v>0.0</v>
      </c>
      <c r="K597" s="26" t="s">
        <v>440</v>
      </c>
      <c r="L597" s="32" t="s">
        <v>63</v>
      </c>
      <c r="M597" s="33">
        <v>0.0</v>
      </c>
      <c r="N597" s="34">
        <v>0.0</v>
      </c>
      <c r="O597" s="27" t="s">
        <v>64</v>
      </c>
      <c r="P597" s="35">
        <v>0.0</v>
      </c>
      <c r="Q597" s="35" t="s">
        <v>65</v>
      </c>
      <c r="R597" s="36" t="e">
        <v>#VALUE!</v>
      </c>
      <c r="S597" s="35" t="s">
        <v>86</v>
      </c>
      <c r="T597" s="35">
        <v>0.0</v>
      </c>
      <c r="U597" s="37" t="s">
        <v>67</v>
      </c>
      <c r="V597" s="38"/>
      <c r="W597" s="38"/>
      <c r="X597" s="27"/>
      <c r="Y597" s="39"/>
      <c r="Z597" s="39"/>
      <c r="AA597" s="39"/>
      <c r="AB597" s="40"/>
      <c r="AC597" s="27">
        <f t="shared" si="408"/>
        <v>0</v>
      </c>
      <c r="AD597" s="41">
        <f>IF(AND(S597="0",O597="Paid"),(M597*15%)-AC597,0)</f>
        <v>0</v>
      </c>
      <c r="AE597" s="42"/>
      <c r="AF597" s="27"/>
      <c r="AG597" s="43">
        <f t="shared" si="446"/>
        <v>0</v>
      </c>
      <c r="AH597" s="29"/>
      <c r="AI597" s="29"/>
      <c r="AJ597" s="29"/>
      <c r="AK597" s="29"/>
      <c r="AL597" s="27"/>
      <c r="AM597" s="44"/>
      <c r="AN597" s="45"/>
      <c r="AO597" s="46"/>
      <c r="AP597" s="47"/>
      <c r="AQ597" s="43" t="b">
        <f>IF(O597="Paid",IF(U597="Motor Plus",(M597*27%),IF(U597="Motor One",(M597*22%),(IF(U597="Golden",(M597*25%),(IF(U597="Classic",(M597*15%),(IF(U597="Wethaq",(M597*28%),IF(U597="Alwataniya",(M597*21%))*0)))))))))</f>
        <v>0</v>
      </c>
      <c r="AR597" s="43">
        <f t="shared" si="2"/>
        <v>0</v>
      </c>
      <c r="AS597" s="43">
        <f t="shared" si="3"/>
        <v>0</v>
      </c>
      <c r="AT597" s="48">
        <f t="shared" si="4"/>
        <v>0</v>
      </c>
      <c r="AU597" s="49">
        <f t="shared" si="447"/>
        <v>0</v>
      </c>
      <c r="AV597" s="48"/>
      <c r="AW597" s="34">
        <f t="shared" si="341"/>
        <v>0</v>
      </c>
      <c r="AX597" s="50">
        <f t="shared" si="413"/>
        <v>0</v>
      </c>
      <c r="AY597" s="43"/>
      <c r="AZ597" s="43"/>
      <c r="BA597" s="48">
        <f t="shared" si="443"/>
        <v>0</v>
      </c>
      <c r="BB597" s="27"/>
      <c r="BC597" s="27"/>
      <c r="BD597" s="51"/>
      <c r="BE597" s="52"/>
      <c r="BF597" s="27" t="s">
        <v>2052</v>
      </c>
      <c r="BG597" s="53">
        <v>0.0</v>
      </c>
      <c r="BH597" s="53" t="str">
        <f>'[1]2023'!Q819</f>
        <v>#REF!</v>
      </c>
      <c r="BI597" s="27"/>
      <c r="BJ597" s="27"/>
      <c r="BK597" s="27" t="s">
        <v>64</v>
      </c>
      <c r="BL597" s="27"/>
    </row>
    <row r="598" ht="14.25" customHeight="1">
      <c r="A598" s="26" t="s">
        <v>55</v>
      </c>
      <c r="B598" s="26" t="s">
        <v>56</v>
      </c>
      <c r="C598" s="26" t="s">
        <v>57</v>
      </c>
      <c r="D598" s="26" t="s">
        <v>81</v>
      </c>
      <c r="E598" s="27" t="s">
        <v>2054</v>
      </c>
      <c r="F598" s="28" t="s">
        <v>2055</v>
      </c>
      <c r="G598" s="29" t="s">
        <v>2056</v>
      </c>
      <c r="H598" s="30">
        <v>45094.0</v>
      </c>
      <c r="I598" s="30">
        <v>45459.0</v>
      </c>
      <c r="J598" s="31">
        <v>0.0</v>
      </c>
      <c r="K598" s="26" t="s">
        <v>440</v>
      </c>
      <c r="L598" s="32" t="s">
        <v>75</v>
      </c>
      <c r="M598" s="33">
        <v>17552.5</v>
      </c>
      <c r="N598" s="34">
        <v>18729.11</v>
      </c>
      <c r="O598" s="27" t="s">
        <v>76</v>
      </c>
      <c r="P598" s="35" t="s">
        <v>430</v>
      </c>
      <c r="Q598" s="35" t="s">
        <v>65</v>
      </c>
      <c r="R598" s="36" t="e">
        <v>#VALUE!</v>
      </c>
      <c r="S598" s="35" t="s">
        <v>86</v>
      </c>
      <c r="T598" s="35">
        <v>0.0</v>
      </c>
      <c r="U598" s="37" t="s">
        <v>67</v>
      </c>
      <c r="V598" s="38"/>
      <c r="W598" s="38"/>
      <c r="X598" s="27"/>
      <c r="Y598" s="39"/>
      <c r="Z598" s="39"/>
      <c r="AA598" s="39"/>
      <c r="AB598" s="40"/>
      <c r="AC598" s="27">
        <f t="shared" si="408"/>
        <v>0</v>
      </c>
      <c r="AD598" s="41"/>
      <c r="AE598" s="42"/>
      <c r="AF598" s="27"/>
      <c r="AG598" s="43">
        <f t="shared" si="446"/>
        <v>4502.21625</v>
      </c>
      <c r="AH598" s="29"/>
      <c r="AI598" s="29"/>
      <c r="AJ598" s="29"/>
      <c r="AK598" s="29"/>
      <c r="AL598" s="27"/>
      <c r="AM598" s="44"/>
      <c r="AN598" s="45"/>
      <c r="AO598" s="46"/>
      <c r="AP598" s="47"/>
      <c r="AQ598" s="43">
        <f>IF(U598="Motor Plus",(M598*27%),IF(U598="Motor One",(M598*22%),(IF(U598="Golden",(M598*25%),(IF(U598="Classic",(M598*15%),(IF(U598="Wethaq",(M598*28%),IF(U598="Alwataniya",(M598*21%))*0))))))))</f>
        <v>4739.175</v>
      </c>
      <c r="AR598" s="43">
        <f t="shared" si="2"/>
        <v>236.95875</v>
      </c>
      <c r="AS598" s="43">
        <f t="shared" si="3"/>
        <v>829.355625</v>
      </c>
      <c r="AT598" s="48">
        <f t="shared" si="4"/>
        <v>3672.860625</v>
      </c>
      <c r="AU598" s="49">
        <f t="shared" si="447"/>
        <v>3672.860625</v>
      </c>
      <c r="AV598" s="48"/>
      <c r="AW598" s="34">
        <f t="shared" si="341"/>
        <v>18729.11</v>
      </c>
      <c r="AX598" s="50">
        <f t="shared" si="413"/>
        <v>3672.860625</v>
      </c>
      <c r="AY598" s="43"/>
      <c r="AZ598" s="43"/>
      <c r="BA598" s="48">
        <f t="shared" si="443"/>
        <v>3672.860625</v>
      </c>
      <c r="BB598" s="27"/>
      <c r="BC598" s="27"/>
      <c r="BD598" s="51"/>
      <c r="BE598" s="52"/>
      <c r="BF598" s="27" t="s">
        <v>2054</v>
      </c>
      <c r="BG598" s="53">
        <v>0.0</v>
      </c>
      <c r="BH598" s="53" t="str">
        <f>'[1]2023'!Q725</f>
        <v>#REF!</v>
      </c>
      <c r="BI598" s="27"/>
      <c r="BJ598" s="27"/>
      <c r="BK598" s="27" t="s">
        <v>76</v>
      </c>
      <c r="BL598" s="27"/>
    </row>
    <row r="599" ht="14.25" customHeight="1">
      <c r="A599" s="26" t="s">
        <v>55</v>
      </c>
      <c r="B599" s="26" t="s">
        <v>56</v>
      </c>
      <c r="C599" s="26" t="s">
        <v>57</v>
      </c>
      <c r="D599" s="26" t="s">
        <v>81</v>
      </c>
      <c r="E599" s="27" t="s">
        <v>2057</v>
      </c>
      <c r="F599" s="28" t="s">
        <v>2058</v>
      </c>
      <c r="G599" s="29" t="s">
        <v>2056</v>
      </c>
      <c r="H599" s="30">
        <v>45094.0</v>
      </c>
      <c r="I599" s="30">
        <v>45459.0</v>
      </c>
      <c r="J599" s="31">
        <v>0.0</v>
      </c>
      <c r="K599" s="26" t="s">
        <v>440</v>
      </c>
      <c r="L599" s="32" t="s">
        <v>75</v>
      </c>
      <c r="M599" s="33">
        <v>24225.0</v>
      </c>
      <c r="N599" s="34">
        <v>25795.28</v>
      </c>
      <c r="O599" s="27" t="s">
        <v>76</v>
      </c>
      <c r="P599" s="35" t="s">
        <v>89</v>
      </c>
      <c r="Q599" s="35">
        <v>0.0</v>
      </c>
      <c r="R599" s="36" t="e">
        <v>#VALUE!</v>
      </c>
      <c r="S599" s="35" t="s">
        <v>86</v>
      </c>
      <c r="T599" s="35">
        <v>0.0</v>
      </c>
      <c r="U599" s="37" t="s">
        <v>67</v>
      </c>
      <c r="V599" s="38"/>
      <c r="W599" s="78"/>
      <c r="X599" s="27"/>
      <c r="Y599" s="39"/>
      <c r="Z599" s="39"/>
      <c r="AA599" s="39"/>
      <c r="AB599" s="40"/>
      <c r="AC599" s="27">
        <f t="shared" si="408"/>
        <v>0</v>
      </c>
      <c r="AD599" s="44">
        <f>IF(AND(S599="0",O599="Paid"),M599*15%,0)</f>
        <v>3633.75</v>
      </c>
      <c r="AE599" s="27"/>
      <c r="AF599" s="27"/>
      <c r="AG599" s="43">
        <f t="shared" si="446"/>
        <v>6213.7125</v>
      </c>
      <c r="AH599" s="29"/>
      <c r="AI599" s="29"/>
      <c r="AJ599" s="29"/>
      <c r="AK599" s="29"/>
      <c r="AL599" s="27"/>
      <c r="AM599" s="44"/>
      <c r="AN599" s="45"/>
      <c r="AO599" s="46"/>
      <c r="AP599" s="47"/>
      <c r="AQ599" s="43"/>
      <c r="AR599" s="43"/>
      <c r="AS599" s="43"/>
      <c r="AT599" s="48"/>
      <c r="AU599" s="49"/>
      <c r="AV599" s="48"/>
      <c r="AW599" s="67"/>
      <c r="AX599" s="50">
        <f t="shared" si="413"/>
        <v>2579.9625</v>
      </c>
      <c r="AY599" s="161"/>
      <c r="AZ599" s="43"/>
      <c r="BA599" s="48"/>
      <c r="BB599" s="67"/>
      <c r="BC599" s="67"/>
      <c r="BD599" s="162"/>
      <c r="BE599" s="163"/>
      <c r="BF599" s="27" t="s">
        <v>2057</v>
      </c>
      <c r="BG599" s="53">
        <v>0.0</v>
      </c>
      <c r="BH599" s="53" t="str">
        <f>'[1]2023'!Q801</f>
        <v>#REF!</v>
      </c>
      <c r="BI599" s="67"/>
      <c r="BJ599" s="67"/>
      <c r="BK599" s="27" t="s">
        <v>76</v>
      </c>
      <c r="BL599" s="67"/>
    </row>
    <row r="600" ht="14.25" customHeight="1">
      <c r="A600" s="26" t="s">
        <v>55</v>
      </c>
      <c r="B600" s="26" t="s">
        <v>56</v>
      </c>
      <c r="C600" s="26" t="s">
        <v>57</v>
      </c>
      <c r="D600" s="26" t="s">
        <v>81</v>
      </c>
      <c r="E600" s="27" t="s">
        <v>2059</v>
      </c>
      <c r="F600" s="28" t="s">
        <v>2060</v>
      </c>
      <c r="G600" s="29" t="s">
        <v>2061</v>
      </c>
      <c r="H600" s="30">
        <v>45095.0</v>
      </c>
      <c r="I600" s="30">
        <v>45460.0</v>
      </c>
      <c r="J600" s="31">
        <v>0.0</v>
      </c>
      <c r="K600" s="26" t="s">
        <v>440</v>
      </c>
      <c r="L600" s="32" t="s">
        <v>75</v>
      </c>
      <c r="M600" s="33">
        <v>32418.75</v>
      </c>
      <c r="N600" s="34">
        <v>34474.46</v>
      </c>
      <c r="O600" s="27" t="s">
        <v>76</v>
      </c>
      <c r="P600" s="35" t="s">
        <v>95</v>
      </c>
      <c r="Q600" s="35" t="s">
        <v>65</v>
      </c>
      <c r="R600" s="36" t="e">
        <v>#VALUE!</v>
      </c>
      <c r="S600" s="35" t="s">
        <v>86</v>
      </c>
      <c r="T600" s="35">
        <v>0.0</v>
      </c>
      <c r="U600" s="37" t="s">
        <v>67</v>
      </c>
      <c r="V600" s="38"/>
      <c r="W600" s="38"/>
      <c r="X600" s="27"/>
      <c r="Y600" s="39"/>
      <c r="Z600" s="39"/>
      <c r="AA600" s="39"/>
      <c r="AB600" s="40"/>
      <c r="AC600" s="27">
        <f t="shared" si="408"/>
        <v>0</v>
      </c>
      <c r="AD600" s="41"/>
      <c r="AE600" s="42"/>
      <c r="AF600" s="27"/>
      <c r="AG600" s="43">
        <f t="shared" si="446"/>
        <v>8315.409375</v>
      </c>
      <c r="AH600" s="29"/>
      <c r="AI600" s="29"/>
      <c r="AJ600" s="29"/>
      <c r="AK600" s="29"/>
      <c r="AL600" s="27"/>
      <c r="AM600" s="44"/>
      <c r="AN600" s="45"/>
      <c r="AO600" s="46"/>
      <c r="AP600" s="47"/>
      <c r="AQ600" s="43">
        <f>IF(U600="Motor Plus",(M600*27%),IF(U600="Motor One",(M600*22%),(IF(U600="Golden",(M600*25%),(IF(U600="Classic",(M600*15%),(IF(U600="Wethaq",(M600*28%),IF(U600="Alwataniya",(M600*21%))*0))))))))</f>
        <v>8753.0625</v>
      </c>
      <c r="AR600" s="43">
        <f t="shared" ref="AR600:AR1470" si="448">AQ600*5%</f>
        <v>437.653125</v>
      </c>
      <c r="AS600" s="43">
        <f t="shared" ref="AS600:AS1470" si="449">AQ600*17.5%</f>
        <v>1531.785938</v>
      </c>
      <c r="AT600" s="48">
        <f t="shared" ref="AT600:AT879" si="450">AQ600-AR600-AS600</f>
        <v>6783.623438</v>
      </c>
      <c r="AU600" s="49">
        <f>AQ600-AR600-AS600-AC600</f>
        <v>6783.623438</v>
      </c>
      <c r="AV600" s="48"/>
      <c r="AW600" s="34">
        <f t="shared" ref="AW600:AW631" si="451">N600-AD600-AE600-AC600</f>
        <v>34474.46</v>
      </c>
      <c r="AX600" s="50">
        <f t="shared" si="413"/>
        <v>6783.623438</v>
      </c>
      <c r="AY600" s="43"/>
      <c r="AZ600" s="43"/>
      <c r="BA600" s="48">
        <f t="shared" ref="BA600:BA605" si="452">IF(S600&lt;&gt;0,AU600-AO600-AM600,(AG600-AD600-AE600-AS600))</f>
        <v>6783.623438</v>
      </c>
      <c r="BB600" s="27"/>
      <c r="BC600" s="27"/>
      <c r="BD600" s="51"/>
      <c r="BE600" s="52"/>
      <c r="BF600" s="27" t="s">
        <v>2059</v>
      </c>
      <c r="BG600" s="53">
        <v>0.0</v>
      </c>
      <c r="BH600" s="53" t="str">
        <f>'[1]2023'!Q839</f>
        <v>#REF!</v>
      </c>
      <c r="BI600" s="27"/>
      <c r="BJ600" s="27"/>
      <c r="BK600" s="27" t="s">
        <v>76</v>
      </c>
      <c r="BL600" s="27"/>
    </row>
    <row r="601" ht="14.25" customHeight="1">
      <c r="A601" s="26" t="s">
        <v>111</v>
      </c>
      <c r="B601" s="26" t="s">
        <v>56</v>
      </c>
      <c r="C601" s="26" t="s">
        <v>57</v>
      </c>
      <c r="D601" s="26" t="s">
        <v>71</v>
      </c>
      <c r="E601" s="27" t="s">
        <v>2062</v>
      </c>
      <c r="F601" s="28" t="s">
        <v>2063</v>
      </c>
      <c r="G601" s="29" t="s">
        <v>2061</v>
      </c>
      <c r="H601" s="30">
        <v>45095.0</v>
      </c>
      <c r="I601" s="30">
        <v>45460.0</v>
      </c>
      <c r="J601" s="31" t="s">
        <v>2064</v>
      </c>
      <c r="K601" s="26" t="s">
        <v>440</v>
      </c>
      <c r="L601" s="32" t="s">
        <v>75</v>
      </c>
      <c r="M601" s="33">
        <v>13261.76</v>
      </c>
      <c r="N601" s="34">
        <v>14300.0</v>
      </c>
      <c r="O601" s="27" t="s">
        <v>76</v>
      </c>
      <c r="P601" s="35" t="s">
        <v>430</v>
      </c>
      <c r="Q601" s="35" t="s">
        <v>114</v>
      </c>
      <c r="R601" s="36" t="e">
        <v>#VALUE!</v>
      </c>
      <c r="S601" s="35" t="s">
        <v>676</v>
      </c>
      <c r="T601" s="35" t="s">
        <v>78</v>
      </c>
      <c r="U601" s="37" t="s">
        <v>115</v>
      </c>
      <c r="V601" s="38">
        <v>550000.0</v>
      </c>
      <c r="W601" s="38"/>
      <c r="X601" s="27"/>
      <c r="Y601" s="39"/>
      <c r="Z601" s="79" t="s">
        <v>2065</v>
      </c>
      <c r="AA601" s="39"/>
      <c r="AB601" s="40">
        <v>0.05</v>
      </c>
      <c r="AC601" s="27">
        <v>650.0</v>
      </c>
      <c r="AD601" s="41"/>
      <c r="AE601" s="42"/>
      <c r="AF601" s="27"/>
      <c r="AG601" s="43">
        <f>IF(O601="Paid",IF(A601="Alwataniya",(M601*21%)-((M601*21%)*5%),IF((A601="GIG"),(M601*25%)-((M601*25%)*5%),IF((A601="Allianz"),(M601*27%)-((M601*27%)*20%),0))),0)</f>
        <v>3149.668</v>
      </c>
      <c r="AH601" s="29">
        <v>45237.0</v>
      </c>
      <c r="AI601" s="29" t="s">
        <v>1038</v>
      </c>
      <c r="AJ601" s="40"/>
      <c r="AK601" s="62" t="s">
        <v>63</v>
      </c>
      <c r="AL601" s="27"/>
      <c r="AM601" s="48">
        <f>(AQ601-AR601-AS601-(M601*15%))*30%</f>
        <v>174.0606</v>
      </c>
      <c r="AN601" s="68" t="s">
        <v>75</v>
      </c>
      <c r="AO601" s="46">
        <f>M601*15%-AC601</f>
        <v>1339.264</v>
      </c>
      <c r="AP601" s="47"/>
      <c r="AQ601" s="43">
        <f>M601*25%</f>
        <v>3315.44</v>
      </c>
      <c r="AR601" s="43">
        <f t="shared" si="448"/>
        <v>165.772</v>
      </c>
      <c r="AS601" s="43">
        <f t="shared" si="449"/>
        <v>580.202</v>
      </c>
      <c r="AT601" s="48">
        <f t="shared" si="450"/>
        <v>2569.466</v>
      </c>
      <c r="AU601" s="48">
        <f>AQ601-AR601-AS601</f>
        <v>2569.466</v>
      </c>
      <c r="AV601" s="133">
        <v>40.0</v>
      </c>
      <c r="AW601" s="34">
        <f t="shared" si="451"/>
        <v>13650</v>
      </c>
      <c r="AX601" s="50">
        <f t="shared" si="413"/>
        <v>1016.1414</v>
      </c>
      <c r="AY601" s="43">
        <f>AG601-(AG601*22.5%)</f>
        <v>2440.9927</v>
      </c>
      <c r="AZ601" s="43"/>
      <c r="BA601" s="48">
        <f t="shared" si="452"/>
        <v>1056.1414</v>
      </c>
      <c r="BB601" s="27"/>
      <c r="BC601" s="27"/>
      <c r="BD601" s="51"/>
      <c r="BE601" s="52" t="s">
        <v>440</v>
      </c>
      <c r="BF601" s="27" t="s">
        <v>2062</v>
      </c>
      <c r="BG601" s="58" t="s">
        <v>562</v>
      </c>
      <c r="BH601" s="53" t="str">
        <f>'[1]2023'!Q866</f>
        <v>#REF!</v>
      </c>
      <c r="BI601" s="27"/>
      <c r="BJ601" s="27"/>
      <c r="BK601" s="27" t="s">
        <v>76</v>
      </c>
      <c r="BL601" s="27"/>
    </row>
    <row r="602" ht="14.25" customHeight="1">
      <c r="A602" s="26" t="s">
        <v>55</v>
      </c>
      <c r="B602" s="26" t="s">
        <v>56</v>
      </c>
      <c r="C602" s="26" t="s">
        <v>57</v>
      </c>
      <c r="D602" s="26" t="s">
        <v>71</v>
      </c>
      <c r="E602" s="27" t="s">
        <v>2066</v>
      </c>
      <c r="F602" s="28" t="s">
        <v>2067</v>
      </c>
      <c r="G602" s="29" t="s">
        <v>2061</v>
      </c>
      <c r="H602" s="30">
        <v>45095.0</v>
      </c>
      <c r="I602" s="30">
        <v>45460.0</v>
      </c>
      <c r="J602" s="31" t="s">
        <v>2068</v>
      </c>
      <c r="K602" s="26" t="s">
        <v>2069</v>
      </c>
      <c r="L602" s="69">
        <v>45084.0</v>
      </c>
      <c r="M602" s="33">
        <v>21612.5</v>
      </c>
      <c r="N602" s="34">
        <v>23029.65</v>
      </c>
      <c r="O602" s="27" t="s">
        <v>76</v>
      </c>
      <c r="P602" s="35" t="s">
        <v>122</v>
      </c>
      <c r="Q602" s="35" t="s">
        <v>65</v>
      </c>
      <c r="R602" s="36" t="e">
        <v>#VALUE!</v>
      </c>
      <c r="S602" s="35" t="s">
        <v>66</v>
      </c>
      <c r="T602" s="35">
        <v>0.0</v>
      </c>
      <c r="U602" s="37" t="s">
        <v>67</v>
      </c>
      <c r="V602" s="38">
        <v>950000.0</v>
      </c>
      <c r="W602" s="78">
        <v>655953.0</v>
      </c>
      <c r="X602" s="27">
        <v>2021.0</v>
      </c>
      <c r="Y602" s="39"/>
      <c r="Z602" s="79" t="s">
        <v>2070</v>
      </c>
      <c r="AA602" s="39"/>
      <c r="AB602" s="40"/>
      <c r="AC602" s="27">
        <f t="shared" ref="AC602:AC646" si="453">M602*AB602</f>
        <v>0</v>
      </c>
      <c r="AD602" s="41"/>
      <c r="AE602" s="42"/>
      <c r="AF602" s="27"/>
      <c r="AG602" s="43">
        <f>IF(O602="Paid",IF(A602="Alwataniya",(M602*21%)-((M602*21%)*5%),IF((A602="GIG"),(M602*25%)-((M602*25%)*5%),IF((A602="Allianz"),(M602*27%)-((M602*27%)*5%),0))),0)</f>
        <v>5543.60625</v>
      </c>
      <c r="AH602" s="29"/>
      <c r="AI602" s="29"/>
      <c r="AJ602" s="29"/>
      <c r="AK602" s="29"/>
      <c r="AL602" s="27"/>
      <c r="AM602" s="46">
        <f>((M602*27%)-AC602-((M602*27%)*22.5%))*30%</f>
        <v>1356.724688</v>
      </c>
      <c r="AN602" s="45" t="s">
        <v>1730</v>
      </c>
      <c r="AO602" s="46"/>
      <c r="AP602" s="47"/>
      <c r="AQ602" s="43">
        <f t="shared" ref="AQ602:AQ603" si="454">IF(U602="Motor Plus",(M602*27%),IF(U602="Motor One",(M602*22%),(IF(U602="Golden",(M602*25%),(IF(U602="Classic",(M602*15%),(IF(U602="Wethaq",(M602*28%),IF(U602="Alwataniya",(M602*21%))*0))))))))</f>
        <v>5835.375</v>
      </c>
      <c r="AR602" s="43">
        <f t="shared" si="448"/>
        <v>291.76875</v>
      </c>
      <c r="AS602" s="43">
        <f t="shared" si="449"/>
        <v>1021.190625</v>
      </c>
      <c r="AT602" s="48">
        <f t="shared" si="450"/>
        <v>4522.415625</v>
      </c>
      <c r="AU602" s="49">
        <f t="shared" ref="AU602:AU604" si="455">AQ602-AR602-AS602-AC602</f>
        <v>4522.415625</v>
      </c>
      <c r="AV602" s="48"/>
      <c r="AW602" s="34">
        <f t="shared" si="451"/>
        <v>23029.65</v>
      </c>
      <c r="AX602" s="50">
        <f t="shared" si="413"/>
        <v>3165.690938</v>
      </c>
      <c r="AY602" s="43"/>
      <c r="AZ602" s="43"/>
      <c r="BA602" s="48">
        <f t="shared" si="452"/>
        <v>3165.690938</v>
      </c>
      <c r="BB602" s="27"/>
      <c r="BC602" s="27"/>
      <c r="BD602" s="51"/>
      <c r="BE602" s="52"/>
      <c r="BF602" s="27" t="s">
        <v>2066</v>
      </c>
      <c r="BG602" s="53">
        <v>0.0</v>
      </c>
      <c r="BH602" s="53" t="str">
        <f>'[1]2023'!Q921</f>
        <v>#REF!</v>
      </c>
      <c r="BI602" s="27"/>
      <c r="BJ602" s="27"/>
      <c r="BK602" s="27" t="s">
        <v>76</v>
      </c>
      <c r="BL602" s="27"/>
    </row>
    <row r="603" ht="14.25" customHeight="1">
      <c r="A603" s="26" t="s">
        <v>68</v>
      </c>
      <c r="B603" s="26" t="s">
        <v>56</v>
      </c>
      <c r="C603" s="26" t="s">
        <v>57</v>
      </c>
      <c r="D603" s="26" t="s">
        <v>71</v>
      </c>
      <c r="E603" s="27" t="s">
        <v>2071</v>
      </c>
      <c r="F603" s="28" t="s">
        <v>2072</v>
      </c>
      <c r="G603" s="29" t="s">
        <v>2073</v>
      </c>
      <c r="H603" s="30">
        <v>45096.0</v>
      </c>
      <c r="I603" s="30">
        <v>45461.0</v>
      </c>
      <c r="J603" s="31" t="s">
        <v>2074</v>
      </c>
      <c r="K603" s="26" t="s">
        <v>440</v>
      </c>
      <c r="L603" s="32" t="s">
        <v>75</v>
      </c>
      <c r="M603" s="33">
        <v>18888.94</v>
      </c>
      <c r="N603" s="34">
        <v>20200.0</v>
      </c>
      <c r="O603" s="27" t="s">
        <v>76</v>
      </c>
      <c r="P603" s="35" t="s">
        <v>430</v>
      </c>
      <c r="Q603" s="35">
        <v>0.0</v>
      </c>
      <c r="R603" s="36" t="e">
        <v>#VALUE!</v>
      </c>
      <c r="S603" s="35" t="s">
        <v>848</v>
      </c>
      <c r="T603" s="35">
        <v>0.0</v>
      </c>
      <c r="U603" s="37" t="s">
        <v>68</v>
      </c>
      <c r="V603" s="38">
        <v>1010000.0</v>
      </c>
      <c r="W603" s="38"/>
      <c r="X603" s="27"/>
      <c r="Y603" s="39"/>
      <c r="Z603" s="79" t="s">
        <v>2075</v>
      </c>
      <c r="AA603" s="39"/>
      <c r="AB603" s="40"/>
      <c r="AC603" s="27">
        <f t="shared" si="453"/>
        <v>0</v>
      </c>
      <c r="AD603" s="41">
        <f>IF(AND(S603="0",O603="Paid"),(M603*15%)-AC603,0)</f>
        <v>0</v>
      </c>
      <c r="AE603" s="42"/>
      <c r="AF603" s="27"/>
      <c r="AG603" s="43">
        <f>IF(O603="Paid",IF(A603="Wethaq",(M603*28%)-((M603*28%)*5%)))</f>
        <v>5024.45804</v>
      </c>
      <c r="AH603" s="29">
        <v>45115.0</v>
      </c>
      <c r="AI603" s="29">
        <v>45115.0</v>
      </c>
      <c r="AJ603" s="55">
        <v>0.28</v>
      </c>
      <c r="AK603" s="29">
        <v>44993.0</v>
      </c>
      <c r="AL603" s="27"/>
      <c r="AM603" s="68">
        <f>((M603*28%)-((M603*28%)*22.5%))*20%</f>
        <v>819.779996</v>
      </c>
      <c r="AN603" s="68" t="s">
        <v>75</v>
      </c>
      <c r="AO603" s="46"/>
      <c r="AP603" s="47"/>
      <c r="AQ603" s="43">
        <f t="shared" si="454"/>
        <v>5288.9032</v>
      </c>
      <c r="AR603" s="43">
        <f t="shared" si="448"/>
        <v>264.44516</v>
      </c>
      <c r="AS603" s="43">
        <f t="shared" si="449"/>
        <v>925.55806</v>
      </c>
      <c r="AT603" s="48">
        <f t="shared" si="450"/>
        <v>4098.89998</v>
      </c>
      <c r="AU603" s="49">
        <f t="shared" si="455"/>
        <v>4098.89998</v>
      </c>
      <c r="AV603" s="106">
        <f>BA603*10%</f>
        <v>327.9119984</v>
      </c>
      <c r="AW603" s="34">
        <f t="shared" si="451"/>
        <v>20200</v>
      </c>
      <c r="AX603" s="50">
        <f t="shared" si="413"/>
        <v>2951.207986</v>
      </c>
      <c r="AY603" s="43"/>
      <c r="AZ603" s="43">
        <f>IF(AJ603&lt;28%,M603*(28%-AJ603)-((M603*(28%-AJ603))*5%),0)</f>
        <v>0</v>
      </c>
      <c r="BA603" s="48">
        <f t="shared" si="452"/>
        <v>3279.119984</v>
      </c>
      <c r="BB603" s="27"/>
      <c r="BC603" s="27"/>
      <c r="BD603" s="51">
        <v>3.0</v>
      </c>
      <c r="BE603" s="52" t="s">
        <v>440</v>
      </c>
      <c r="BF603" s="27" t="s">
        <v>2071</v>
      </c>
      <c r="BG603" s="58" t="s">
        <v>562</v>
      </c>
      <c r="BH603" s="53" t="str">
        <f>'[1]2023'!Q889</f>
        <v>#REF!</v>
      </c>
      <c r="BI603" s="27"/>
      <c r="BJ603" s="27"/>
      <c r="BK603" s="27" t="s">
        <v>76</v>
      </c>
      <c r="BL603" s="27"/>
    </row>
    <row r="604" ht="14.25" customHeight="1">
      <c r="A604" s="26" t="s">
        <v>68</v>
      </c>
      <c r="B604" s="26" t="s">
        <v>1185</v>
      </c>
      <c r="C604" s="26" t="s">
        <v>70</v>
      </c>
      <c r="D604" s="26" t="s">
        <v>58</v>
      </c>
      <c r="E604" s="27" t="s">
        <v>2076</v>
      </c>
      <c r="F604" s="28" t="s">
        <v>1636</v>
      </c>
      <c r="G604" s="29" t="s">
        <v>2073</v>
      </c>
      <c r="H604" s="30">
        <v>45096.0</v>
      </c>
      <c r="I604" s="30">
        <v>45461.0</v>
      </c>
      <c r="J604" s="31">
        <v>0.0</v>
      </c>
      <c r="K604" s="26" t="s">
        <v>440</v>
      </c>
      <c r="L604" s="32" t="s">
        <v>63</v>
      </c>
      <c r="M604" s="33">
        <v>21.0</v>
      </c>
      <c r="N604" s="85">
        <v>25.0</v>
      </c>
      <c r="O604" s="27" t="s">
        <v>76</v>
      </c>
      <c r="P604" s="35" t="s">
        <v>430</v>
      </c>
      <c r="Q604" s="35">
        <v>0.0</v>
      </c>
      <c r="R604" s="36" t="e">
        <v>#VALUE!</v>
      </c>
      <c r="S604" s="35" t="s">
        <v>78</v>
      </c>
      <c r="T604" s="54" t="s">
        <v>79</v>
      </c>
      <c r="U604" s="37" t="s">
        <v>1185</v>
      </c>
      <c r="V604" s="38"/>
      <c r="W604" s="38"/>
      <c r="X604" s="27"/>
      <c r="Y604" s="39"/>
      <c r="Z604" s="39"/>
      <c r="AA604" s="39"/>
      <c r="AB604" s="40"/>
      <c r="AC604" s="27">
        <f t="shared" si="453"/>
        <v>0</v>
      </c>
      <c r="AD604" s="41"/>
      <c r="AE604" s="42"/>
      <c r="AF604" s="27"/>
      <c r="AG604" s="43">
        <f t="shared" ref="AG604:AG605" si="456">M604*17%-(M604*17%)*5%</f>
        <v>3.3915</v>
      </c>
      <c r="AH604" s="29"/>
      <c r="AI604" s="29"/>
      <c r="AJ604" s="55">
        <v>0.17</v>
      </c>
      <c r="AK604" s="29" t="s">
        <v>2077</v>
      </c>
      <c r="AL604" s="27"/>
      <c r="AM604" s="44"/>
      <c r="AN604" s="68"/>
      <c r="AO604" s="164"/>
      <c r="AP604" s="47"/>
      <c r="AQ604" s="43">
        <f t="shared" ref="AQ604:AQ607" si="457">M604*AJ604</f>
        <v>3.57</v>
      </c>
      <c r="AR604" s="43">
        <f t="shared" si="448"/>
        <v>0.1785</v>
      </c>
      <c r="AS604" s="43">
        <f t="shared" si="449"/>
        <v>0.62475</v>
      </c>
      <c r="AT604" s="48">
        <f t="shared" si="450"/>
        <v>2.76675</v>
      </c>
      <c r="AU604" s="49">
        <f t="shared" si="455"/>
        <v>2.76675</v>
      </c>
      <c r="AV604" s="48"/>
      <c r="AW604" s="34">
        <f t="shared" si="451"/>
        <v>25</v>
      </c>
      <c r="AX604" s="113">
        <f t="shared" si="413"/>
        <v>2.76675</v>
      </c>
      <c r="AY604" s="43"/>
      <c r="AZ604" s="47"/>
      <c r="BA604" s="48">
        <f t="shared" si="452"/>
        <v>2.76675</v>
      </c>
      <c r="BB604" s="27"/>
      <c r="BC604" s="27"/>
      <c r="BD604" s="51"/>
      <c r="BE604" s="52"/>
      <c r="BF604" s="27" t="s">
        <v>2076</v>
      </c>
      <c r="BG604" s="58" t="s">
        <v>2078</v>
      </c>
      <c r="BH604" s="53" t="str">
        <f>'[1]2023'!Q974</f>
        <v>#REF!</v>
      </c>
      <c r="BI604" s="27"/>
      <c r="BJ604" s="27"/>
      <c r="BK604" s="27" t="s">
        <v>76</v>
      </c>
      <c r="BL604" s="27"/>
    </row>
    <row r="605" ht="14.25" customHeight="1">
      <c r="A605" s="26" t="s">
        <v>68</v>
      </c>
      <c r="B605" s="26" t="s">
        <v>1185</v>
      </c>
      <c r="C605" s="26" t="s">
        <v>70</v>
      </c>
      <c r="D605" s="26" t="s">
        <v>58</v>
      </c>
      <c r="E605" s="27" t="s">
        <v>2079</v>
      </c>
      <c r="F605" s="28" t="s">
        <v>1636</v>
      </c>
      <c r="G605" s="29" t="s">
        <v>2073</v>
      </c>
      <c r="H605" s="30">
        <v>45096.0</v>
      </c>
      <c r="I605" s="30">
        <v>45461.0</v>
      </c>
      <c r="J605" s="31">
        <v>0.0</v>
      </c>
      <c r="K605" s="26" t="s">
        <v>440</v>
      </c>
      <c r="L605" s="32" t="s">
        <v>63</v>
      </c>
      <c r="M605" s="33">
        <v>29.0</v>
      </c>
      <c r="N605" s="85">
        <v>33.0</v>
      </c>
      <c r="O605" s="27" t="s">
        <v>76</v>
      </c>
      <c r="P605" s="35" t="s">
        <v>430</v>
      </c>
      <c r="Q605" s="35">
        <v>0.0</v>
      </c>
      <c r="R605" s="36" t="e">
        <v>#VALUE!</v>
      </c>
      <c r="S605" s="35" t="s">
        <v>78</v>
      </c>
      <c r="T605" s="54" t="s">
        <v>79</v>
      </c>
      <c r="U605" s="37" t="s">
        <v>1185</v>
      </c>
      <c r="V605" s="38"/>
      <c r="W605" s="38"/>
      <c r="X605" s="27"/>
      <c r="Y605" s="39"/>
      <c r="Z605" s="39"/>
      <c r="AA605" s="39"/>
      <c r="AB605" s="27"/>
      <c r="AC605" s="27">
        <f t="shared" si="453"/>
        <v>0</v>
      </c>
      <c r="AD605" s="41"/>
      <c r="AE605" s="42"/>
      <c r="AF605" s="27"/>
      <c r="AG605" s="43">
        <f t="shared" si="456"/>
        <v>4.6835</v>
      </c>
      <c r="AH605" s="29"/>
      <c r="AI605" s="29"/>
      <c r="AJ605" s="55">
        <v>0.17</v>
      </c>
      <c r="AK605" s="29" t="s">
        <v>2077</v>
      </c>
      <c r="AL605" s="27"/>
      <c r="AM605" s="44"/>
      <c r="AN605" s="68"/>
      <c r="AO605" s="164"/>
      <c r="AP605" s="47"/>
      <c r="AQ605" s="43">
        <f t="shared" si="457"/>
        <v>4.93</v>
      </c>
      <c r="AR605" s="43">
        <f t="shared" si="448"/>
        <v>0.2465</v>
      </c>
      <c r="AS605" s="43">
        <f t="shared" si="449"/>
        <v>0.86275</v>
      </c>
      <c r="AT605" s="48">
        <f t="shared" si="450"/>
        <v>3.82075</v>
      </c>
      <c r="AU605" s="49">
        <f>AQ605-AR605-AS605-AC605-AO605</f>
        <v>3.82075</v>
      </c>
      <c r="AV605" s="48"/>
      <c r="AW605" s="34">
        <f t="shared" si="451"/>
        <v>33</v>
      </c>
      <c r="AX605" s="50">
        <f t="shared" si="413"/>
        <v>3.82075</v>
      </c>
      <c r="AY605" s="43"/>
      <c r="AZ605" s="47"/>
      <c r="BA605" s="48">
        <f t="shared" si="452"/>
        <v>3.82075</v>
      </c>
      <c r="BB605" s="27"/>
      <c r="BC605" s="27"/>
      <c r="BD605" s="51"/>
      <c r="BE605" s="52"/>
      <c r="BF605" s="27"/>
      <c r="BG605" s="58" t="s">
        <v>2080</v>
      </c>
      <c r="BH605" s="53" t="str">
        <f t="shared" ref="BH605:BH607" si="458">'[1]2023'!Q1215</f>
        <v>#REF!</v>
      </c>
      <c r="BI605" s="27"/>
      <c r="BJ605" s="27"/>
      <c r="BK605" s="27" t="s">
        <v>76</v>
      </c>
      <c r="BL605" s="27"/>
    </row>
    <row r="606" ht="14.25" customHeight="1">
      <c r="A606" s="26" t="s">
        <v>68</v>
      </c>
      <c r="B606" s="26" t="s">
        <v>1185</v>
      </c>
      <c r="C606" s="26" t="s">
        <v>70</v>
      </c>
      <c r="D606" s="26" t="s">
        <v>58</v>
      </c>
      <c r="E606" s="27" t="s">
        <v>2081</v>
      </c>
      <c r="F606" s="28" t="s">
        <v>1636</v>
      </c>
      <c r="G606" s="29" t="s">
        <v>2073</v>
      </c>
      <c r="H606" s="30">
        <v>45096.0</v>
      </c>
      <c r="I606" s="30">
        <v>45461.0</v>
      </c>
      <c r="J606" s="31">
        <v>0.0</v>
      </c>
      <c r="K606" s="26" t="s">
        <v>440</v>
      </c>
      <c r="L606" s="73" t="s">
        <v>487</v>
      </c>
      <c r="M606" s="33">
        <v>477.0</v>
      </c>
      <c r="N606" s="34">
        <v>565.0</v>
      </c>
      <c r="O606" s="27" t="s">
        <v>76</v>
      </c>
      <c r="P606" s="35" t="s">
        <v>162</v>
      </c>
      <c r="Q606" s="35">
        <v>0.0</v>
      </c>
      <c r="R606" s="36" t="e">
        <v>#VALUE!</v>
      </c>
      <c r="S606" s="35" t="s">
        <v>78</v>
      </c>
      <c r="T606" s="54" t="s">
        <v>79</v>
      </c>
      <c r="U606" s="37" t="s">
        <v>1185</v>
      </c>
      <c r="V606" s="38"/>
      <c r="W606" s="38"/>
      <c r="X606" s="27"/>
      <c r="Y606" s="39"/>
      <c r="Z606" s="39"/>
      <c r="AA606" s="39"/>
      <c r="AB606" s="27"/>
      <c r="AC606" s="27">
        <f t="shared" si="453"/>
        <v>0</v>
      </c>
      <c r="AD606" s="41"/>
      <c r="AE606" s="42"/>
      <c r="AF606" s="27"/>
      <c r="AG606" s="159">
        <f t="shared" ref="AG606:AG607" si="459">M606*17%-((M606*17%)*5%)</f>
        <v>77.0355</v>
      </c>
      <c r="AH606" s="29"/>
      <c r="AI606" s="29" t="s">
        <v>1324</v>
      </c>
      <c r="AJ606" s="55">
        <v>0.17</v>
      </c>
      <c r="AK606" s="75" t="s">
        <v>1325</v>
      </c>
      <c r="AL606" s="27"/>
      <c r="AM606" s="27"/>
      <c r="AN606" s="56"/>
      <c r="AO606" s="76">
        <f t="shared" ref="AO606:AO607" si="460">((M606*AJ606)-((M606*AJ606)*22.5%))*80%</f>
        <v>50.2758</v>
      </c>
      <c r="AP606" s="57" t="s">
        <v>1325</v>
      </c>
      <c r="AQ606" s="43">
        <f t="shared" si="457"/>
        <v>81.09</v>
      </c>
      <c r="AR606" s="43">
        <f t="shared" si="448"/>
        <v>4.0545</v>
      </c>
      <c r="AS606" s="43">
        <f t="shared" si="449"/>
        <v>14.19075</v>
      </c>
      <c r="AT606" s="48">
        <f t="shared" si="450"/>
        <v>62.84475</v>
      </c>
      <c r="AU606" s="49" t="str">
        <f t="shared" ref="AU606:AU607" si="461">AQ606-AR606-AS606-AC606-#REF!</f>
        <v>#REF!</v>
      </c>
      <c r="AV606" s="48"/>
      <c r="AW606" s="34">
        <f t="shared" si="451"/>
        <v>565</v>
      </c>
      <c r="AX606" s="50">
        <f t="shared" si="413"/>
        <v>12.56895</v>
      </c>
      <c r="AY606" s="43"/>
      <c r="AZ606" s="47"/>
      <c r="BA606" s="48" t="str">
        <f t="shared" ref="BA606:BA607" si="462">IF(S606&lt;&gt;0,AU606-#REF!-AM606,(AG606-AD606-AE606-AS606))</f>
        <v>#REF!</v>
      </c>
      <c r="BB606" s="27"/>
      <c r="BC606" s="27"/>
      <c r="BD606" s="51"/>
      <c r="BE606" s="52"/>
      <c r="BF606" s="27"/>
      <c r="BG606" s="58" t="s">
        <v>2082</v>
      </c>
      <c r="BH606" s="53" t="str">
        <f t="shared" si="458"/>
        <v>#REF!</v>
      </c>
      <c r="BI606" s="27"/>
      <c r="BJ606" s="27"/>
      <c r="BK606" s="27" t="s">
        <v>76</v>
      </c>
      <c r="BL606" s="27"/>
    </row>
    <row r="607" ht="14.25" customHeight="1">
      <c r="A607" s="26" t="s">
        <v>68</v>
      </c>
      <c r="B607" s="26" t="s">
        <v>1185</v>
      </c>
      <c r="C607" s="26" t="s">
        <v>70</v>
      </c>
      <c r="D607" s="26" t="s">
        <v>58</v>
      </c>
      <c r="E607" s="27" t="s">
        <v>2083</v>
      </c>
      <c r="F607" s="28" t="s">
        <v>1636</v>
      </c>
      <c r="G607" s="29" t="s">
        <v>2073</v>
      </c>
      <c r="H607" s="30">
        <v>45096.0</v>
      </c>
      <c r="I607" s="30">
        <v>45461.0</v>
      </c>
      <c r="J607" s="31">
        <v>0.0</v>
      </c>
      <c r="K607" s="26" t="s">
        <v>440</v>
      </c>
      <c r="L607" s="73" t="s">
        <v>487</v>
      </c>
      <c r="M607" s="33">
        <v>72.0</v>
      </c>
      <c r="N607" s="34">
        <v>130.0</v>
      </c>
      <c r="O607" s="27" t="s">
        <v>76</v>
      </c>
      <c r="P607" s="35" t="s">
        <v>162</v>
      </c>
      <c r="Q607" s="35">
        <v>0.0</v>
      </c>
      <c r="R607" s="36" t="e">
        <v>#VALUE!</v>
      </c>
      <c r="S607" s="35" t="s">
        <v>78</v>
      </c>
      <c r="T607" s="54" t="s">
        <v>79</v>
      </c>
      <c r="U607" s="37" t="s">
        <v>1185</v>
      </c>
      <c r="V607" s="38"/>
      <c r="W607" s="38"/>
      <c r="X607" s="27"/>
      <c r="Y607" s="39"/>
      <c r="Z607" s="39"/>
      <c r="AA607" s="39"/>
      <c r="AB607" s="27"/>
      <c r="AC607" s="27">
        <f t="shared" si="453"/>
        <v>0</v>
      </c>
      <c r="AD607" s="41"/>
      <c r="AE607" s="42"/>
      <c r="AF607" s="27"/>
      <c r="AG607" s="159">
        <f t="shared" si="459"/>
        <v>11.628</v>
      </c>
      <c r="AH607" s="29"/>
      <c r="AI607" s="29" t="s">
        <v>1324</v>
      </c>
      <c r="AJ607" s="55">
        <v>0.17</v>
      </c>
      <c r="AK607" s="75" t="s">
        <v>1325</v>
      </c>
      <c r="AL607" s="27"/>
      <c r="AM607" s="44"/>
      <c r="AN607" s="104"/>
      <c r="AO607" s="46">
        <f t="shared" si="460"/>
        <v>7.5888</v>
      </c>
      <c r="AP607" s="57" t="s">
        <v>1325</v>
      </c>
      <c r="AQ607" s="43">
        <f t="shared" si="457"/>
        <v>12.24</v>
      </c>
      <c r="AR607" s="43">
        <f t="shared" si="448"/>
        <v>0.612</v>
      </c>
      <c r="AS607" s="43">
        <f t="shared" si="449"/>
        <v>2.142</v>
      </c>
      <c r="AT607" s="48">
        <f t="shared" si="450"/>
        <v>9.486</v>
      </c>
      <c r="AU607" s="103" t="str">
        <f t="shared" si="461"/>
        <v>#REF!</v>
      </c>
      <c r="AV607" s="43"/>
      <c r="AW607" s="34">
        <f t="shared" si="451"/>
        <v>130</v>
      </c>
      <c r="AX607" s="50">
        <f t="shared" si="413"/>
        <v>1.8972</v>
      </c>
      <c r="AY607" s="43"/>
      <c r="AZ607" s="47"/>
      <c r="BA607" s="48" t="str">
        <f t="shared" si="462"/>
        <v>#REF!</v>
      </c>
      <c r="BB607" s="27"/>
      <c r="BC607" s="27"/>
      <c r="BD607" s="51"/>
      <c r="BE607" s="52"/>
      <c r="BF607" s="27"/>
      <c r="BG607" s="58" t="s">
        <v>2084</v>
      </c>
      <c r="BH607" s="53" t="str">
        <f t="shared" si="458"/>
        <v>#REF!</v>
      </c>
      <c r="BI607" s="27"/>
      <c r="BJ607" s="27"/>
      <c r="BK607" s="27" t="s">
        <v>76</v>
      </c>
      <c r="BL607" s="27"/>
    </row>
    <row r="608" ht="14.25" customHeight="1">
      <c r="A608" s="26" t="s">
        <v>111</v>
      </c>
      <c r="B608" s="26" t="s">
        <v>56</v>
      </c>
      <c r="C608" s="26" t="s">
        <v>57</v>
      </c>
      <c r="D608" s="26" t="s">
        <v>71</v>
      </c>
      <c r="E608" s="27" t="s">
        <v>2085</v>
      </c>
      <c r="F608" s="28" t="s">
        <v>2086</v>
      </c>
      <c r="G608" s="29">
        <v>45096.45625</v>
      </c>
      <c r="H608" s="30">
        <v>45096.45625</v>
      </c>
      <c r="I608" s="30">
        <v>45461.45625</v>
      </c>
      <c r="J608" s="31">
        <v>0.0</v>
      </c>
      <c r="K608" s="26" t="s">
        <v>440</v>
      </c>
      <c r="L608" s="32" t="s">
        <v>63</v>
      </c>
      <c r="M608" s="33">
        <v>24309.92</v>
      </c>
      <c r="N608" s="34">
        <v>26000.0</v>
      </c>
      <c r="O608" s="27" t="s">
        <v>64</v>
      </c>
      <c r="P608" s="35">
        <v>0.0</v>
      </c>
      <c r="Q608" s="35">
        <v>0.0</v>
      </c>
      <c r="R608" s="36">
        <v>45105.45625</v>
      </c>
      <c r="S608" s="35" t="s">
        <v>86</v>
      </c>
      <c r="T608" s="35">
        <v>0.0</v>
      </c>
      <c r="U608" s="37" t="s">
        <v>115</v>
      </c>
      <c r="V608" s="38"/>
      <c r="W608" s="78"/>
      <c r="X608" s="27"/>
      <c r="Y608" s="39"/>
      <c r="Z608" s="39"/>
      <c r="AA608" s="39"/>
      <c r="AB608" s="27"/>
      <c r="AC608" s="27">
        <f t="shared" si="453"/>
        <v>0</v>
      </c>
      <c r="AD608" s="41">
        <f>IF(AND(S608="0",O608="Paid"),(M608*15%)-AC608,0)</f>
        <v>0</v>
      </c>
      <c r="AE608" s="42"/>
      <c r="AF608" s="27"/>
      <c r="AG608" s="43">
        <f>IF(O608="Paid",IF(A608="Alwataniya",(M608*21%)-((M608*21%)*5%),IF((A608="GIG"),(M608*25%)-((M608*25%)*5%),IF((A608="Allianz"),(M608*27%)-((M608*27%)*20%),0))),0)</f>
        <v>0</v>
      </c>
      <c r="AH608" s="29"/>
      <c r="AI608" s="29"/>
      <c r="AJ608" s="29"/>
      <c r="AK608" s="29"/>
      <c r="AL608" s="27"/>
      <c r="AM608" s="27"/>
      <c r="AN608" s="47"/>
      <c r="AO608" s="46"/>
      <c r="AP608" s="47"/>
      <c r="AQ608" s="43" t="b">
        <f>IF(O608="Paid",IF(U608="Motor Plus",(M608*27%),IF(U608="Motor One",(M608*22%),(IF(U608="Golden",(M608*25%),(IF(U608="Classic",(M608*15%),(IF(U608="Wethaq",(M608*28%),IF(U608="Alwataniya",(M608*21%))*0)))))))))</f>
        <v>0</v>
      </c>
      <c r="AR608" s="43">
        <f t="shared" si="448"/>
        <v>0</v>
      </c>
      <c r="AS608" s="43">
        <f t="shared" si="449"/>
        <v>0</v>
      </c>
      <c r="AT608" s="48">
        <f t="shared" si="450"/>
        <v>0</v>
      </c>
      <c r="AU608" s="49">
        <f>AQ608-AR608-AS608-AC608-AO608</f>
        <v>0</v>
      </c>
      <c r="AV608" s="48"/>
      <c r="AW608" s="34">
        <f t="shared" si="451"/>
        <v>26000</v>
      </c>
      <c r="AX608" s="50">
        <f t="shared" si="413"/>
        <v>0</v>
      </c>
      <c r="AY608" s="43"/>
      <c r="AZ608" s="47"/>
      <c r="BA608" s="48">
        <f t="shared" ref="BA608:BA612" si="463">IF(S608&lt;&gt;0,AU608-AO608-AM608,(AG608-AD608-AE608-AS608))</f>
        <v>0</v>
      </c>
      <c r="BB608" s="27"/>
      <c r="BC608" s="27"/>
      <c r="BD608" s="51"/>
      <c r="BE608" s="52"/>
      <c r="BF608" s="27"/>
      <c r="BG608" s="53">
        <v>0.0</v>
      </c>
      <c r="BH608" s="53" t="str">
        <f>'[1]2023'!Q1343</f>
        <v>#REF!</v>
      </c>
      <c r="BI608" s="27"/>
      <c r="BJ608" s="27"/>
      <c r="BK608" s="27" t="s">
        <v>64</v>
      </c>
      <c r="BL608" s="27"/>
    </row>
    <row r="609" ht="14.25" customHeight="1">
      <c r="A609" s="26" t="s">
        <v>55</v>
      </c>
      <c r="B609" s="26" t="s">
        <v>56</v>
      </c>
      <c r="C609" s="26" t="s">
        <v>57</v>
      </c>
      <c r="D609" s="26" t="s">
        <v>81</v>
      </c>
      <c r="E609" s="27" t="s">
        <v>2087</v>
      </c>
      <c r="F609" s="28" t="s">
        <v>2088</v>
      </c>
      <c r="G609" s="29" t="s">
        <v>1932</v>
      </c>
      <c r="H609" s="30">
        <v>45097.0</v>
      </c>
      <c r="I609" s="30">
        <v>45462.0</v>
      </c>
      <c r="J609" s="31">
        <v>0.0</v>
      </c>
      <c r="K609" s="26" t="s">
        <v>440</v>
      </c>
      <c r="L609" s="32" t="s">
        <v>75</v>
      </c>
      <c r="M609" s="33">
        <v>15400.0</v>
      </c>
      <c r="N609" s="34">
        <v>16449.6</v>
      </c>
      <c r="O609" s="27" t="s">
        <v>76</v>
      </c>
      <c r="P609" s="35" t="s">
        <v>122</v>
      </c>
      <c r="Q609" s="35" t="s">
        <v>65</v>
      </c>
      <c r="R609" s="36" t="e">
        <v>#VALUE!</v>
      </c>
      <c r="S609" s="35" t="s">
        <v>86</v>
      </c>
      <c r="T609" s="35">
        <v>0.0</v>
      </c>
      <c r="U609" s="37" t="s">
        <v>67</v>
      </c>
      <c r="V609" s="38"/>
      <c r="W609" s="38"/>
      <c r="X609" s="27"/>
      <c r="Y609" s="39"/>
      <c r="Z609" s="39"/>
      <c r="AA609" s="39"/>
      <c r="AB609" s="40"/>
      <c r="AC609" s="27">
        <f t="shared" si="453"/>
        <v>0</v>
      </c>
      <c r="AD609" s="41"/>
      <c r="AE609" s="42"/>
      <c r="AF609" s="27"/>
      <c r="AG609" s="43">
        <f t="shared" ref="AG609:AG612" si="464">IF(O609="Paid",IF(A609="Alwataniya",(M609*21%)-((M609*21%)*5%),IF((A609="GIG"),(M609*25%)-((M609*25%)*5%),IF((A609="Allianz"),(M609*27%)-((M609*27%)*5%),0))),0)</f>
        <v>3950.1</v>
      </c>
      <c r="AH609" s="29"/>
      <c r="AI609" s="29"/>
      <c r="AJ609" s="29"/>
      <c r="AK609" s="29"/>
      <c r="AL609" s="27"/>
      <c r="AM609" s="27"/>
      <c r="AN609" s="63"/>
      <c r="AO609" s="46"/>
      <c r="AP609" s="47"/>
      <c r="AQ609" s="43">
        <f t="shared" ref="AQ609:AQ612" si="465">IF(U609="Motor Plus",(M609*27%),IF(U609="Motor One",(M609*22%),(IF(U609="Golden",(M609*25%),(IF(U609="Classic",(M609*15%),(IF(U609="Wethaq",(M609*28%),IF(U609="Alwataniya",(M609*21%))*0))))))))</f>
        <v>4158</v>
      </c>
      <c r="AR609" s="43">
        <f t="shared" si="448"/>
        <v>207.9</v>
      </c>
      <c r="AS609" s="43">
        <f t="shared" si="449"/>
        <v>727.65</v>
      </c>
      <c r="AT609" s="48">
        <f t="shared" si="450"/>
        <v>3222.45</v>
      </c>
      <c r="AU609" s="49">
        <f t="shared" ref="AU609:AU614" si="466">AQ609-AR609-AS609-AC609</f>
        <v>3222.45</v>
      </c>
      <c r="AV609" s="48"/>
      <c r="AW609" s="34">
        <f t="shared" si="451"/>
        <v>16449.6</v>
      </c>
      <c r="AX609" s="50">
        <f t="shared" si="413"/>
        <v>3222.45</v>
      </c>
      <c r="AY609" s="43"/>
      <c r="AZ609" s="43"/>
      <c r="BA609" s="48">
        <f t="shared" si="463"/>
        <v>3222.45</v>
      </c>
      <c r="BB609" s="27"/>
      <c r="BC609" s="27"/>
      <c r="BD609" s="51"/>
      <c r="BE609" s="52"/>
      <c r="BF609" s="27" t="s">
        <v>2087</v>
      </c>
      <c r="BG609" s="53">
        <v>0.0</v>
      </c>
      <c r="BH609" s="53" t="str">
        <f>'[1]2023'!Q724</f>
        <v>#REF!</v>
      </c>
      <c r="BI609" s="27"/>
      <c r="BJ609" s="27"/>
      <c r="BK609" s="27" t="s">
        <v>76</v>
      </c>
      <c r="BL609" s="27"/>
    </row>
    <row r="610" ht="14.25" customHeight="1">
      <c r="A610" s="26" t="s">
        <v>55</v>
      </c>
      <c r="B610" s="26" t="s">
        <v>56</v>
      </c>
      <c r="C610" s="26" t="s">
        <v>57</v>
      </c>
      <c r="D610" s="26" t="s">
        <v>81</v>
      </c>
      <c r="E610" s="27" t="s">
        <v>2089</v>
      </c>
      <c r="F610" s="28" t="s">
        <v>2090</v>
      </c>
      <c r="G610" s="29" t="s">
        <v>1932</v>
      </c>
      <c r="H610" s="30">
        <v>45097.0</v>
      </c>
      <c r="I610" s="30">
        <v>45462.0</v>
      </c>
      <c r="J610" s="31">
        <v>0.0</v>
      </c>
      <c r="K610" s="26" t="s">
        <v>440</v>
      </c>
      <c r="L610" s="73" t="s">
        <v>75</v>
      </c>
      <c r="M610" s="33">
        <v>26845.0</v>
      </c>
      <c r="N610" s="34">
        <v>28569.86</v>
      </c>
      <c r="O610" s="27" t="s">
        <v>76</v>
      </c>
      <c r="P610" s="35" t="s">
        <v>122</v>
      </c>
      <c r="Q610" s="35" t="s">
        <v>85</v>
      </c>
      <c r="R610" s="36" t="e">
        <v>#VALUE!</v>
      </c>
      <c r="S610" s="35" t="s">
        <v>86</v>
      </c>
      <c r="T610" s="35">
        <v>0.0</v>
      </c>
      <c r="U610" s="37" t="s">
        <v>67</v>
      </c>
      <c r="V610" s="38"/>
      <c r="W610" s="38"/>
      <c r="X610" s="27"/>
      <c r="Y610" s="39"/>
      <c r="Z610" s="39"/>
      <c r="AA610" s="39"/>
      <c r="AB610" s="40"/>
      <c r="AC610" s="27">
        <f t="shared" si="453"/>
        <v>0</v>
      </c>
      <c r="AD610" s="41">
        <f>IF(AND(S610="0",O610="Paid"),M610*15%,0)</f>
        <v>4026.75</v>
      </c>
      <c r="AE610" s="42"/>
      <c r="AF610" s="29">
        <v>45206.0</v>
      </c>
      <c r="AG610" s="43">
        <f t="shared" si="464"/>
        <v>6885.7425</v>
      </c>
      <c r="AH610" s="29"/>
      <c r="AI610" s="29"/>
      <c r="AJ610" s="29"/>
      <c r="AK610" s="75"/>
      <c r="AL610" s="27"/>
      <c r="AM610" s="27"/>
      <c r="AN610" s="63"/>
      <c r="AO610" s="76"/>
      <c r="AP610" s="47"/>
      <c r="AQ610" s="43">
        <f t="shared" si="465"/>
        <v>7248.15</v>
      </c>
      <c r="AR610" s="43">
        <f t="shared" si="448"/>
        <v>362.4075</v>
      </c>
      <c r="AS610" s="43">
        <f t="shared" si="449"/>
        <v>1268.42625</v>
      </c>
      <c r="AT610" s="48">
        <f t="shared" si="450"/>
        <v>5617.31625</v>
      </c>
      <c r="AU610" s="49">
        <f t="shared" si="466"/>
        <v>5617.31625</v>
      </c>
      <c r="AV610" s="48"/>
      <c r="AW610" s="34">
        <f t="shared" si="451"/>
        <v>24543.11</v>
      </c>
      <c r="AX610" s="50">
        <f t="shared" si="413"/>
        <v>1590.56625</v>
      </c>
      <c r="AY610" s="43"/>
      <c r="AZ610" s="43"/>
      <c r="BA610" s="48">
        <f t="shared" si="463"/>
        <v>5617.31625</v>
      </c>
      <c r="BB610" s="27"/>
      <c r="BC610" s="27"/>
      <c r="BD610" s="51"/>
      <c r="BE610" s="52"/>
      <c r="BF610" s="27" t="s">
        <v>2089</v>
      </c>
      <c r="BG610" s="53">
        <v>0.0</v>
      </c>
      <c r="BH610" s="53" t="str">
        <f>'[1]2023'!Q743</f>
        <v>#REF!</v>
      </c>
      <c r="BI610" s="27"/>
      <c r="BJ610" s="27"/>
      <c r="BK610" s="27" t="s">
        <v>76</v>
      </c>
      <c r="BL610" s="27"/>
    </row>
    <row r="611" ht="14.25" customHeight="1">
      <c r="A611" s="26" t="s">
        <v>55</v>
      </c>
      <c r="B611" s="26" t="s">
        <v>56</v>
      </c>
      <c r="C611" s="26" t="s">
        <v>57</v>
      </c>
      <c r="D611" s="26" t="s">
        <v>58</v>
      </c>
      <c r="E611" s="27" t="s">
        <v>2091</v>
      </c>
      <c r="F611" s="28" t="s">
        <v>2092</v>
      </c>
      <c r="G611" s="29" t="s">
        <v>1932</v>
      </c>
      <c r="H611" s="30">
        <v>45097.0</v>
      </c>
      <c r="I611" s="30">
        <v>45462.0</v>
      </c>
      <c r="J611" s="31" t="s">
        <v>2093</v>
      </c>
      <c r="K611" s="26" t="s">
        <v>440</v>
      </c>
      <c r="L611" s="73" t="s">
        <v>75</v>
      </c>
      <c r="M611" s="33">
        <v>4045.14</v>
      </c>
      <c r="N611" s="34">
        <v>4283.81</v>
      </c>
      <c r="O611" s="27" t="s">
        <v>76</v>
      </c>
      <c r="P611" s="35" t="s">
        <v>430</v>
      </c>
      <c r="Q611" s="35" t="s">
        <v>90</v>
      </c>
      <c r="R611" s="36" t="e">
        <v>#VALUE!</v>
      </c>
      <c r="S611" s="35" t="s">
        <v>86</v>
      </c>
      <c r="T611" s="35">
        <v>0.0</v>
      </c>
      <c r="U611" s="37" t="s">
        <v>67</v>
      </c>
      <c r="V611" s="38"/>
      <c r="W611" s="38"/>
      <c r="X611" s="27"/>
      <c r="Y611" s="39"/>
      <c r="Z611" s="39"/>
      <c r="AA611" s="39"/>
      <c r="AB611" s="40"/>
      <c r="AC611" s="27">
        <f t="shared" si="453"/>
        <v>0</v>
      </c>
      <c r="AD611" s="41">
        <f t="shared" ref="AD611:AD612" si="467">IF(AND(S611="0",O611="Paid"),(M611*15%)-AC611,0)</f>
        <v>606.771</v>
      </c>
      <c r="AE611" s="42"/>
      <c r="AF611" s="27"/>
      <c r="AG611" s="43">
        <f t="shared" si="464"/>
        <v>1037.57841</v>
      </c>
      <c r="AH611" s="29"/>
      <c r="AI611" s="29"/>
      <c r="AJ611" s="29"/>
      <c r="AK611" s="29"/>
      <c r="AL611" s="27"/>
      <c r="AM611" s="27"/>
      <c r="AN611" s="63"/>
      <c r="AO611" s="46"/>
      <c r="AP611" s="47"/>
      <c r="AQ611" s="43">
        <f t="shared" si="465"/>
        <v>1092.1878</v>
      </c>
      <c r="AR611" s="43">
        <f t="shared" si="448"/>
        <v>54.60939</v>
      </c>
      <c r="AS611" s="43">
        <f t="shared" si="449"/>
        <v>191.132865</v>
      </c>
      <c r="AT611" s="48">
        <f t="shared" si="450"/>
        <v>846.445545</v>
      </c>
      <c r="AU611" s="49">
        <f t="shared" si="466"/>
        <v>846.445545</v>
      </c>
      <c r="AV611" s="48"/>
      <c r="AW611" s="34">
        <f t="shared" si="451"/>
        <v>3677.039</v>
      </c>
      <c r="AX611" s="50">
        <f t="shared" si="413"/>
        <v>239.674545</v>
      </c>
      <c r="AY611" s="43"/>
      <c r="AZ611" s="43"/>
      <c r="BA611" s="48">
        <f t="shared" si="463"/>
        <v>846.445545</v>
      </c>
      <c r="BB611" s="27"/>
      <c r="BC611" s="27"/>
      <c r="BD611" s="51"/>
      <c r="BE611" s="52"/>
      <c r="BF611" s="27" t="s">
        <v>2094</v>
      </c>
      <c r="BG611" s="53">
        <v>0.0</v>
      </c>
      <c r="BH611" s="53" t="str">
        <f>'[1]2023'!Q871</f>
        <v>#REF!</v>
      </c>
      <c r="BI611" s="27"/>
      <c r="BJ611" s="27"/>
      <c r="BK611" s="27" t="s">
        <v>76</v>
      </c>
      <c r="BL611" s="27"/>
    </row>
    <row r="612" ht="14.25" customHeight="1">
      <c r="A612" s="26" t="s">
        <v>55</v>
      </c>
      <c r="B612" s="26" t="s">
        <v>56</v>
      </c>
      <c r="C612" s="26" t="s">
        <v>57</v>
      </c>
      <c r="D612" s="26" t="s">
        <v>81</v>
      </c>
      <c r="E612" s="27" t="s">
        <v>2095</v>
      </c>
      <c r="F612" s="28" t="s">
        <v>2096</v>
      </c>
      <c r="G612" s="29" t="s">
        <v>1932</v>
      </c>
      <c r="H612" s="30">
        <v>45097.0</v>
      </c>
      <c r="I612" s="30">
        <v>45462.0</v>
      </c>
      <c r="J612" s="31">
        <v>0.0</v>
      </c>
      <c r="K612" s="26" t="s">
        <v>440</v>
      </c>
      <c r="L612" s="73" t="s">
        <v>75</v>
      </c>
      <c r="M612" s="33">
        <v>11220.0</v>
      </c>
      <c r="N612" s="34">
        <v>12022.98</v>
      </c>
      <c r="O612" s="27" t="s">
        <v>76</v>
      </c>
      <c r="P612" s="35" t="s">
        <v>122</v>
      </c>
      <c r="Q612" s="35">
        <v>0.0</v>
      </c>
      <c r="R612" s="36" t="e">
        <v>#VALUE!</v>
      </c>
      <c r="S612" s="35" t="s">
        <v>86</v>
      </c>
      <c r="T612" s="35">
        <v>0.0</v>
      </c>
      <c r="U612" s="37" t="s">
        <v>67</v>
      </c>
      <c r="V612" s="38"/>
      <c r="W612" s="38"/>
      <c r="X612" s="27"/>
      <c r="Y612" s="39"/>
      <c r="Z612" s="39"/>
      <c r="AA612" s="39"/>
      <c r="AB612" s="40"/>
      <c r="AC612" s="27">
        <f t="shared" si="453"/>
        <v>0</v>
      </c>
      <c r="AD612" s="41">
        <f t="shared" si="467"/>
        <v>1683</v>
      </c>
      <c r="AE612" s="42"/>
      <c r="AF612" s="27"/>
      <c r="AG612" s="43">
        <f t="shared" si="464"/>
        <v>2877.93</v>
      </c>
      <c r="AH612" s="29"/>
      <c r="AI612" s="29"/>
      <c r="AJ612" s="29"/>
      <c r="AK612" s="29"/>
      <c r="AL612" s="27"/>
      <c r="AM612" s="27"/>
      <c r="AN612" s="63"/>
      <c r="AO612" s="46"/>
      <c r="AP612" s="47"/>
      <c r="AQ612" s="43">
        <f t="shared" si="465"/>
        <v>3029.4</v>
      </c>
      <c r="AR612" s="43">
        <f t="shared" si="448"/>
        <v>151.47</v>
      </c>
      <c r="AS612" s="43">
        <f t="shared" si="449"/>
        <v>530.145</v>
      </c>
      <c r="AT612" s="48">
        <f t="shared" si="450"/>
        <v>2347.785</v>
      </c>
      <c r="AU612" s="49">
        <f t="shared" si="466"/>
        <v>2347.785</v>
      </c>
      <c r="AV612" s="48"/>
      <c r="AW612" s="34">
        <f t="shared" si="451"/>
        <v>10339.98</v>
      </c>
      <c r="AX612" s="50">
        <f t="shared" si="413"/>
        <v>664.785</v>
      </c>
      <c r="AY612" s="43"/>
      <c r="AZ612" s="43"/>
      <c r="BA612" s="48">
        <f t="shared" si="463"/>
        <v>2347.785</v>
      </c>
      <c r="BB612" s="27"/>
      <c r="BC612" s="27"/>
      <c r="BD612" s="51"/>
      <c r="BE612" s="52"/>
      <c r="BF612" s="27" t="s">
        <v>2095</v>
      </c>
      <c r="BG612" s="53">
        <v>0.0</v>
      </c>
      <c r="BH612" s="53" t="str">
        <f>'[1]2023'!Q877</f>
        <v>#REF!</v>
      </c>
      <c r="BI612" s="27"/>
      <c r="BJ612" s="27"/>
      <c r="BK612" s="27" t="s">
        <v>76</v>
      </c>
      <c r="BL612" s="27"/>
    </row>
    <row r="613" ht="14.25" customHeight="1">
      <c r="A613" s="26" t="s">
        <v>111</v>
      </c>
      <c r="B613" s="26" t="s">
        <v>56</v>
      </c>
      <c r="C613" s="26" t="s">
        <v>57</v>
      </c>
      <c r="D613" s="26" t="s">
        <v>58</v>
      </c>
      <c r="E613" s="27" t="s">
        <v>2097</v>
      </c>
      <c r="F613" s="28" t="s">
        <v>2098</v>
      </c>
      <c r="G613" s="29">
        <v>45097.0</v>
      </c>
      <c r="H613" s="30">
        <v>45097.0</v>
      </c>
      <c r="I613" s="30">
        <v>45462.0</v>
      </c>
      <c r="J613" s="31" t="s">
        <v>746</v>
      </c>
      <c r="K613" s="26" t="s">
        <v>440</v>
      </c>
      <c r="L613" s="69">
        <v>45137.0</v>
      </c>
      <c r="M613" s="33">
        <v>18579.0</v>
      </c>
      <c r="N613" s="34">
        <v>19731.0</v>
      </c>
      <c r="O613" s="27" t="s">
        <v>76</v>
      </c>
      <c r="P613" s="35" t="s">
        <v>89</v>
      </c>
      <c r="Q613" s="35">
        <v>0.0</v>
      </c>
      <c r="R613" s="36">
        <v>45107.0</v>
      </c>
      <c r="S613" s="35" t="s">
        <v>78</v>
      </c>
      <c r="T613" s="54" t="s">
        <v>510</v>
      </c>
      <c r="U613" s="37" t="s">
        <v>115</v>
      </c>
      <c r="V613" s="38"/>
      <c r="W613" s="38"/>
      <c r="X613" s="27"/>
      <c r="Y613" s="39"/>
      <c r="Z613" s="39"/>
      <c r="AA613" s="39"/>
      <c r="AB613" s="40"/>
      <c r="AC613" s="27">
        <f t="shared" si="453"/>
        <v>0</v>
      </c>
      <c r="AD613" s="41"/>
      <c r="AE613" s="42"/>
      <c r="AF613" s="27"/>
      <c r="AG613" s="43">
        <f>IF(O613="Paid",IF(A613="Alwataniya",(M613*21%)-((M613*21%)*5%),IF((A613="GIG"),(M613*20%)-((M613*20%)*5%),IF((A613="Allianz"),(M613*27%)-((M613*27%)*20%),0))),0)</f>
        <v>3530.01</v>
      </c>
      <c r="AH613" s="29" t="s">
        <v>2099</v>
      </c>
      <c r="AI613" s="29">
        <v>45177.0</v>
      </c>
      <c r="AJ613" s="97">
        <v>0.2</v>
      </c>
      <c r="AK613" s="29">
        <v>45085.0</v>
      </c>
      <c r="AL613" s="27"/>
      <c r="AM613" s="44"/>
      <c r="AN613" s="104"/>
      <c r="AO613" s="95">
        <f>M613*AJ613-((M613*AJ613)*22.5%)</f>
        <v>2879.745</v>
      </c>
      <c r="AP613" s="63" t="s">
        <v>886</v>
      </c>
      <c r="AQ613" s="43">
        <f t="shared" ref="AQ613:AQ614" si="468">M613*AJ613</f>
        <v>3715.8</v>
      </c>
      <c r="AR613" s="43">
        <f t="shared" si="448"/>
        <v>185.79</v>
      </c>
      <c r="AS613" s="43">
        <f t="shared" si="449"/>
        <v>650.265</v>
      </c>
      <c r="AT613" s="48">
        <f t="shared" si="450"/>
        <v>2879.745</v>
      </c>
      <c r="AU613" s="49">
        <f t="shared" si="466"/>
        <v>2879.745</v>
      </c>
      <c r="AV613" s="48"/>
      <c r="AW613" s="34">
        <f t="shared" si="451"/>
        <v>19731</v>
      </c>
      <c r="AX613" s="50">
        <f t="shared" si="413"/>
        <v>0</v>
      </c>
      <c r="AY613" s="43"/>
      <c r="AZ613" s="43"/>
      <c r="BA613" s="48" t="str">
        <f t="shared" ref="BA613:BA614" si="469">IF(S613&lt;&gt;0,AU613-#REF!-AM613,(AG613-AD613-AE613-AS613))</f>
        <v>#REF!</v>
      </c>
      <c r="BB613" s="27"/>
      <c r="BC613" s="27"/>
      <c r="BD613" s="51"/>
      <c r="BE613" s="52"/>
      <c r="BF613" s="27" t="s">
        <v>2097</v>
      </c>
      <c r="BG613" s="58" t="s">
        <v>2100</v>
      </c>
      <c r="BH613" s="53" t="str">
        <f t="shared" ref="BH613:BH614" si="470">'[1]2023'!Q886</f>
        <v>#REF!</v>
      </c>
      <c r="BI613" s="27"/>
      <c r="BJ613" s="27"/>
      <c r="BK613" s="27" t="s">
        <v>76</v>
      </c>
      <c r="BL613" s="64" t="s">
        <v>2101</v>
      </c>
    </row>
    <row r="614" ht="14.25" customHeight="1">
      <c r="A614" s="26" t="s">
        <v>1634</v>
      </c>
      <c r="B614" s="26" t="s">
        <v>69</v>
      </c>
      <c r="C614" s="26" t="s">
        <v>70</v>
      </c>
      <c r="D614" s="26" t="s">
        <v>71</v>
      </c>
      <c r="E614" s="27" t="s">
        <v>2102</v>
      </c>
      <c r="F614" s="26" t="s">
        <v>2103</v>
      </c>
      <c r="G614" s="29" t="s">
        <v>1932</v>
      </c>
      <c r="H614" s="30">
        <v>45097.0</v>
      </c>
      <c r="I614" s="30">
        <v>45462.0</v>
      </c>
      <c r="J614" s="31">
        <v>0.0</v>
      </c>
      <c r="K614" s="26" t="s">
        <v>440</v>
      </c>
      <c r="L614" s="32" t="s">
        <v>1283</v>
      </c>
      <c r="M614" s="153">
        <v>85.0</v>
      </c>
      <c r="N614" s="154">
        <v>1000.0</v>
      </c>
      <c r="O614" s="27" t="s">
        <v>76</v>
      </c>
      <c r="P614" s="35" t="s">
        <v>77</v>
      </c>
      <c r="Q614" s="35">
        <v>0.0</v>
      </c>
      <c r="R614" s="36" t="e">
        <v>#VALUE!</v>
      </c>
      <c r="S614" s="35" t="s">
        <v>78</v>
      </c>
      <c r="T614" s="54" t="s">
        <v>79</v>
      </c>
      <c r="U614" s="37" t="s">
        <v>69</v>
      </c>
      <c r="V614" s="38">
        <v>700000.0</v>
      </c>
      <c r="W614" s="38"/>
      <c r="X614" s="27"/>
      <c r="Y614" s="39"/>
      <c r="Z614" s="39"/>
      <c r="AA614" s="39"/>
      <c r="AB614" s="40"/>
      <c r="AC614" s="27">
        <f t="shared" si="453"/>
        <v>0</v>
      </c>
      <c r="AD614" s="41"/>
      <c r="AE614" s="42"/>
      <c r="AF614" s="27"/>
      <c r="AG614" s="43">
        <f>IF(O614="Paid",IF(A614="Egyptian",(M614*22.5%)-((M614*22.5%)*5%)))</f>
        <v>18.16875</v>
      </c>
      <c r="AH614" s="29" t="s">
        <v>1107</v>
      </c>
      <c r="AI614" s="29"/>
      <c r="AJ614" s="40">
        <v>0.225</v>
      </c>
      <c r="AK614" s="29">
        <v>45085.0</v>
      </c>
      <c r="AL614" s="27"/>
      <c r="AM614" s="44"/>
      <c r="AN614" s="104"/>
      <c r="AO614" s="46">
        <f>((M614*AJ614)-((M614*AJ614)*22.5%))*80%</f>
        <v>11.8575</v>
      </c>
      <c r="AP614" s="57" t="s">
        <v>1980</v>
      </c>
      <c r="AQ614" s="43">
        <f t="shared" si="468"/>
        <v>19.125</v>
      </c>
      <c r="AR614" s="43">
        <f t="shared" si="448"/>
        <v>0.95625</v>
      </c>
      <c r="AS614" s="43">
        <f t="shared" si="449"/>
        <v>3.346875</v>
      </c>
      <c r="AT614" s="48">
        <f t="shared" si="450"/>
        <v>14.821875</v>
      </c>
      <c r="AU614" s="49">
        <f t="shared" si="466"/>
        <v>14.821875</v>
      </c>
      <c r="AV614" s="48"/>
      <c r="AW614" s="34">
        <f t="shared" si="451"/>
        <v>1000</v>
      </c>
      <c r="AX614" s="50">
        <f t="shared" si="413"/>
        <v>2.964375</v>
      </c>
      <c r="AY614" s="43"/>
      <c r="AZ614" s="43"/>
      <c r="BA614" s="48" t="str">
        <f t="shared" si="469"/>
        <v>#REF!</v>
      </c>
      <c r="BB614" s="27"/>
      <c r="BC614" s="27"/>
      <c r="BD614" s="51"/>
      <c r="BE614" s="52"/>
      <c r="BF614" s="27" t="s">
        <v>2102</v>
      </c>
      <c r="BG614" s="58" t="s">
        <v>2104</v>
      </c>
      <c r="BH614" s="53" t="str">
        <f t="shared" si="470"/>
        <v>#REF!</v>
      </c>
      <c r="BI614" s="27"/>
      <c r="BJ614" s="27"/>
      <c r="BK614" s="27" t="s">
        <v>76</v>
      </c>
      <c r="BL614" s="64" t="s">
        <v>2105</v>
      </c>
    </row>
    <row r="615" ht="14.25" customHeight="1">
      <c r="A615" s="26" t="s">
        <v>55</v>
      </c>
      <c r="B615" s="26" t="s">
        <v>1099</v>
      </c>
      <c r="C615" s="26" t="s">
        <v>57</v>
      </c>
      <c r="D615" s="26" t="s">
        <v>71</v>
      </c>
      <c r="E615" s="27" t="s">
        <v>2106</v>
      </c>
      <c r="F615" s="28" t="s">
        <v>2107</v>
      </c>
      <c r="G615" s="29" t="s">
        <v>1932</v>
      </c>
      <c r="H615" s="30">
        <v>45097.0</v>
      </c>
      <c r="I615" s="30">
        <v>45462.0</v>
      </c>
      <c r="J615" s="31">
        <v>0.0</v>
      </c>
      <c r="K615" s="26" t="s">
        <v>440</v>
      </c>
      <c r="L615" s="69">
        <v>45102.0</v>
      </c>
      <c r="M615" s="33">
        <v>8629.0</v>
      </c>
      <c r="N615" s="34">
        <v>8905.0</v>
      </c>
      <c r="O615" s="27" t="s">
        <v>76</v>
      </c>
      <c r="P615" s="35" t="s">
        <v>162</v>
      </c>
      <c r="Q615" s="35">
        <v>0.0</v>
      </c>
      <c r="R615" s="36" t="e">
        <v>#VALUE!</v>
      </c>
      <c r="S615" s="35" t="s">
        <v>848</v>
      </c>
      <c r="T615" s="35">
        <v>0.0</v>
      </c>
      <c r="U615" s="37" t="s">
        <v>1099</v>
      </c>
      <c r="V615" s="38"/>
      <c r="W615" s="38"/>
      <c r="X615" s="27"/>
      <c r="Y615" s="39"/>
      <c r="Z615" s="39"/>
      <c r="AA615" s="39"/>
      <c r="AB615" s="40"/>
      <c r="AC615" s="27">
        <f t="shared" si="453"/>
        <v>0</v>
      </c>
      <c r="AD615" s="41">
        <f t="shared" ref="AD615:AD622" si="471">IF(AND(S615="0",O615="Paid"),(M615*15%)-AC615,0)</f>
        <v>0</v>
      </c>
      <c r="AE615" s="42"/>
      <c r="AF615" s="27"/>
      <c r="AG615" s="43">
        <f t="shared" ref="AG615:AG620" si="472">IF(O615="Paid",IF(A615="Alwataniya",(M615*21%)-((M615*21%)*5%),IF((A615="GIG"),(M615*25%)-((M615*25%)*5%),IF((A615="Allianz"),(M615*27%)-((M615*27%)*5%),0))),0)</f>
        <v>2213.3385</v>
      </c>
      <c r="AH615" s="29"/>
      <c r="AI615" s="29"/>
      <c r="AJ615" s="29"/>
      <c r="AK615" s="29"/>
      <c r="AL615" s="27"/>
      <c r="AM615" s="68">
        <f>AU615*10%</f>
        <v>66.87475</v>
      </c>
      <c r="AN615" s="68" t="s">
        <v>75</v>
      </c>
      <c r="AO615" s="46"/>
      <c r="AP615" s="47"/>
      <c r="AQ615" s="43">
        <f>M615*10%</f>
        <v>862.9</v>
      </c>
      <c r="AR615" s="43">
        <f t="shared" si="448"/>
        <v>43.145</v>
      </c>
      <c r="AS615" s="43">
        <f t="shared" si="449"/>
        <v>151.0075</v>
      </c>
      <c r="AT615" s="48">
        <f t="shared" si="450"/>
        <v>668.7475</v>
      </c>
      <c r="AU615" s="48">
        <f>AQ615-AR615-AS615</f>
        <v>668.7475</v>
      </c>
      <c r="AV615" s="106">
        <f>BA615*10%</f>
        <v>60.187275</v>
      </c>
      <c r="AW615" s="34">
        <f t="shared" si="451"/>
        <v>8905</v>
      </c>
      <c r="AX615" s="50">
        <f t="shared" si="413"/>
        <v>1935.268975</v>
      </c>
      <c r="AY615" s="43"/>
      <c r="AZ615" s="43"/>
      <c r="BA615" s="48">
        <f t="shared" ref="BA615:BA622" si="473">IF(S615&lt;&gt;0,AU615-AO615-AM615,(AG615-AD615-AE615-AS615))</f>
        <v>601.87275</v>
      </c>
      <c r="BB615" s="27"/>
      <c r="BC615" s="27"/>
      <c r="BD615" s="51">
        <v>2.0</v>
      </c>
      <c r="BE615" s="52" t="s">
        <v>440</v>
      </c>
      <c r="BF615" s="27" t="s">
        <v>2106</v>
      </c>
      <c r="BG615" s="53">
        <v>0.0</v>
      </c>
      <c r="BH615" s="53" t="str">
        <f>'[1]2023'!Q892</f>
        <v>#REF!</v>
      </c>
      <c r="BI615" s="27"/>
      <c r="BJ615" s="27"/>
      <c r="BK615" s="27" t="s">
        <v>76</v>
      </c>
      <c r="BL615" s="27"/>
    </row>
    <row r="616" ht="14.25" customHeight="1">
      <c r="A616" s="26" t="s">
        <v>55</v>
      </c>
      <c r="B616" s="26" t="s">
        <v>56</v>
      </c>
      <c r="C616" s="26" t="s">
        <v>57</v>
      </c>
      <c r="D616" s="26" t="s">
        <v>58</v>
      </c>
      <c r="E616" s="27" t="s">
        <v>2108</v>
      </c>
      <c r="F616" s="28" t="s">
        <v>2109</v>
      </c>
      <c r="G616" s="29">
        <v>45097.0</v>
      </c>
      <c r="H616" s="30">
        <v>45097.0</v>
      </c>
      <c r="I616" s="30">
        <v>45462.0</v>
      </c>
      <c r="J616" s="31">
        <v>0.0</v>
      </c>
      <c r="K616" s="26" t="s">
        <v>440</v>
      </c>
      <c r="L616" s="73" t="s">
        <v>63</v>
      </c>
      <c r="M616" s="33">
        <v>0.0</v>
      </c>
      <c r="N616" s="34">
        <v>0.0</v>
      </c>
      <c r="O616" s="27" t="s">
        <v>64</v>
      </c>
      <c r="P616" s="35">
        <v>0.0</v>
      </c>
      <c r="Q616" s="35">
        <v>0.0</v>
      </c>
      <c r="R616" s="36">
        <v>45097.0</v>
      </c>
      <c r="S616" s="35" t="s">
        <v>86</v>
      </c>
      <c r="T616" s="35">
        <v>0.0</v>
      </c>
      <c r="U616" s="37">
        <v>0.0</v>
      </c>
      <c r="V616" s="38"/>
      <c r="W616" s="38"/>
      <c r="X616" s="27"/>
      <c r="Y616" s="39"/>
      <c r="Z616" s="39"/>
      <c r="AA616" s="39"/>
      <c r="AB616" s="27"/>
      <c r="AC616" s="27">
        <f t="shared" si="453"/>
        <v>0</v>
      </c>
      <c r="AD616" s="41">
        <f t="shared" si="471"/>
        <v>0</v>
      </c>
      <c r="AE616" s="42"/>
      <c r="AF616" s="27"/>
      <c r="AG616" s="43">
        <f t="shared" si="472"/>
        <v>0</v>
      </c>
      <c r="AH616" s="29"/>
      <c r="AI616" s="29"/>
      <c r="AJ616" s="29"/>
      <c r="AK616" s="75"/>
      <c r="AL616" s="27"/>
      <c r="AM616" s="44"/>
      <c r="AN616" s="47"/>
      <c r="AO616" s="46"/>
      <c r="AP616" s="47"/>
      <c r="AQ616" s="43" t="b">
        <f t="shared" ref="AQ616:AQ618" si="474">IF(O616="Paid",IF(U616="Motor Plus",(M616*27%),IF(U616="Motor One",(M616*22%),(IF(U616="Golden",(M616*25%),(IF(U616="Classic",(M616*15%),(IF(U616="Wethaq",(M616*28%),IF(U616="Alwataniya",(M616*21%))*0)))))))))</f>
        <v>0</v>
      </c>
      <c r="AR616" s="43">
        <f t="shared" si="448"/>
        <v>0</v>
      </c>
      <c r="AS616" s="43">
        <f t="shared" si="449"/>
        <v>0</v>
      </c>
      <c r="AT616" s="48">
        <f t="shared" si="450"/>
        <v>0</v>
      </c>
      <c r="AU616" s="103">
        <f t="shared" ref="AU616:AU618" si="475">AQ616-AR616-AS616-AC616-AO616</f>
        <v>0</v>
      </c>
      <c r="AV616" s="48"/>
      <c r="AW616" s="34">
        <f t="shared" si="451"/>
        <v>0</v>
      </c>
      <c r="AX616" s="50">
        <f t="shared" si="413"/>
        <v>0</v>
      </c>
      <c r="AY616" s="43"/>
      <c r="AZ616" s="47"/>
      <c r="BA616" s="48">
        <f t="shared" si="473"/>
        <v>0</v>
      </c>
      <c r="BB616" s="27"/>
      <c r="BC616" s="27"/>
      <c r="BD616" s="51"/>
      <c r="BE616" s="52"/>
      <c r="BF616" s="27" t="s">
        <v>2108</v>
      </c>
      <c r="BG616" s="53">
        <v>0.0</v>
      </c>
      <c r="BH616" s="53" t="str">
        <f>'[1]2023'!Q1120</f>
        <v>#REF!</v>
      </c>
      <c r="BI616" s="27"/>
      <c r="BJ616" s="27"/>
      <c r="BK616" s="27" t="s">
        <v>64</v>
      </c>
      <c r="BL616" s="27"/>
    </row>
    <row r="617" ht="14.25" customHeight="1">
      <c r="A617" s="26" t="s">
        <v>55</v>
      </c>
      <c r="B617" s="26" t="s">
        <v>56</v>
      </c>
      <c r="C617" s="26" t="s">
        <v>57</v>
      </c>
      <c r="D617" s="26" t="s">
        <v>58</v>
      </c>
      <c r="E617" s="27" t="s">
        <v>2110</v>
      </c>
      <c r="F617" s="28" t="s">
        <v>2111</v>
      </c>
      <c r="G617" s="29">
        <v>45097.0</v>
      </c>
      <c r="H617" s="30">
        <v>45097.0</v>
      </c>
      <c r="I617" s="30">
        <v>45462.0</v>
      </c>
      <c r="J617" s="31">
        <v>0.0</v>
      </c>
      <c r="K617" s="26" t="s">
        <v>440</v>
      </c>
      <c r="L617" s="73" t="s">
        <v>63</v>
      </c>
      <c r="M617" s="33">
        <v>0.0</v>
      </c>
      <c r="N617" s="34">
        <v>0.0</v>
      </c>
      <c r="O617" s="27" t="s">
        <v>64</v>
      </c>
      <c r="P617" s="35">
        <v>0.0</v>
      </c>
      <c r="Q617" s="35">
        <v>0.0</v>
      </c>
      <c r="R617" s="36">
        <v>45097.0</v>
      </c>
      <c r="S617" s="35" t="s">
        <v>86</v>
      </c>
      <c r="T617" s="35">
        <v>0.0</v>
      </c>
      <c r="U617" s="37">
        <v>0.0</v>
      </c>
      <c r="V617" s="38"/>
      <c r="W617" s="38"/>
      <c r="X617" s="27"/>
      <c r="Y617" s="39"/>
      <c r="Z617" s="39"/>
      <c r="AA617" s="39"/>
      <c r="AB617" s="27"/>
      <c r="AC617" s="27">
        <f t="shared" si="453"/>
        <v>0</v>
      </c>
      <c r="AD617" s="41">
        <f t="shared" si="471"/>
        <v>0</v>
      </c>
      <c r="AE617" s="42"/>
      <c r="AF617" s="27"/>
      <c r="AG617" s="43">
        <f t="shared" si="472"/>
        <v>0</v>
      </c>
      <c r="AH617" s="29"/>
      <c r="AI617" s="29"/>
      <c r="AJ617" s="29"/>
      <c r="AK617" s="29"/>
      <c r="AL617" s="27"/>
      <c r="AM617" s="44"/>
      <c r="AN617" s="68"/>
      <c r="AO617" s="46"/>
      <c r="AP617" s="47"/>
      <c r="AQ617" s="43" t="b">
        <f t="shared" si="474"/>
        <v>0</v>
      </c>
      <c r="AR617" s="43">
        <f t="shared" si="448"/>
        <v>0</v>
      </c>
      <c r="AS617" s="43">
        <f t="shared" si="449"/>
        <v>0</v>
      </c>
      <c r="AT617" s="48">
        <f t="shared" si="450"/>
        <v>0</v>
      </c>
      <c r="AU617" s="49">
        <f t="shared" si="475"/>
        <v>0</v>
      </c>
      <c r="AV617" s="48"/>
      <c r="AW617" s="34">
        <f t="shared" si="451"/>
        <v>0</v>
      </c>
      <c r="AX617" s="50">
        <f t="shared" si="413"/>
        <v>0</v>
      </c>
      <c r="AY617" s="43"/>
      <c r="AZ617" s="47"/>
      <c r="BA617" s="48">
        <f t="shared" si="473"/>
        <v>0</v>
      </c>
      <c r="BB617" s="27"/>
      <c r="BC617" s="27"/>
      <c r="BD617" s="51"/>
      <c r="BE617" s="52"/>
      <c r="BF617" s="27" t="s">
        <v>2110</v>
      </c>
      <c r="BG617" s="53">
        <v>0.0</v>
      </c>
      <c r="BH617" s="53" t="str">
        <f>'[1]2023'!Q1152</f>
        <v>#REF!</v>
      </c>
      <c r="BI617" s="27"/>
      <c r="BJ617" s="27"/>
      <c r="BK617" s="27" t="s">
        <v>64</v>
      </c>
      <c r="BL617" s="27"/>
    </row>
    <row r="618" ht="14.25" customHeight="1">
      <c r="A618" s="26" t="s">
        <v>55</v>
      </c>
      <c r="B618" s="26" t="s">
        <v>56</v>
      </c>
      <c r="C618" s="26" t="s">
        <v>57</v>
      </c>
      <c r="D618" s="26" t="s">
        <v>58</v>
      </c>
      <c r="E618" s="27" t="s">
        <v>2112</v>
      </c>
      <c r="F618" s="28" t="s">
        <v>2113</v>
      </c>
      <c r="G618" s="29">
        <v>45097.0</v>
      </c>
      <c r="H618" s="30">
        <v>45097.0</v>
      </c>
      <c r="I618" s="30">
        <v>45462.0</v>
      </c>
      <c r="J618" s="31">
        <v>0.0</v>
      </c>
      <c r="K618" s="26" t="s">
        <v>440</v>
      </c>
      <c r="L618" s="32" t="s">
        <v>63</v>
      </c>
      <c r="M618" s="33">
        <v>0.0</v>
      </c>
      <c r="N618" s="34">
        <v>0.0</v>
      </c>
      <c r="O618" s="27" t="s">
        <v>64</v>
      </c>
      <c r="P618" s="35">
        <v>0.0</v>
      </c>
      <c r="Q618" s="35">
        <v>0.0</v>
      </c>
      <c r="R618" s="36">
        <v>45097.0</v>
      </c>
      <c r="S618" s="35" t="s">
        <v>86</v>
      </c>
      <c r="T618" s="35">
        <v>0.0</v>
      </c>
      <c r="U618" s="37">
        <v>0.0</v>
      </c>
      <c r="V618" s="38"/>
      <c r="W618" s="38"/>
      <c r="X618" s="27"/>
      <c r="Y618" s="39"/>
      <c r="Z618" s="39"/>
      <c r="AA618" s="39"/>
      <c r="AB618" s="27"/>
      <c r="AC618" s="27">
        <f t="shared" si="453"/>
        <v>0</v>
      </c>
      <c r="AD618" s="41">
        <f t="shared" si="471"/>
        <v>0</v>
      </c>
      <c r="AE618" s="42"/>
      <c r="AF618" s="27"/>
      <c r="AG618" s="43">
        <f t="shared" si="472"/>
        <v>0</v>
      </c>
      <c r="AH618" s="29"/>
      <c r="AI618" s="29"/>
      <c r="AJ618" s="29"/>
      <c r="AK618" s="29"/>
      <c r="AL618" s="27"/>
      <c r="AM618" s="44"/>
      <c r="AN618" s="68"/>
      <c r="AO618" s="46"/>
      <c r="AP618" s="47"/>
      <c r="AQ618" s="43" t="b">
        <f t="shared" si="474"/>
        <v>0</v>
      </c>
      <c r="AR618" s="43">
        <f t="shared" si="448"/>
        <v>0</v>
      </c>
      <c r="AS618" s="43">
        <f t="shared" si="449"/>
        <v>0</v>
      </c>
      <c r="AT618" s="48">
        <f t="shared" si="450"/>
        <v>0</v>
      </c>
      <c r="AU618" s="49">
        <f t="shared" si="475"/>
        <v>0</v>
      </c>
      <c r="AV618" s="48"/>
      <c r="AW618" s="34">
        <f t="shared" si="451"/>
        <v>0</v>
      </c>
      <c r="AX618" s="50">
        <f t="shared" si="413"/>
        <v>0</v>
      </c>
      <c r="AY618" s="43"/>
      <c r="AZ618" s="47"/>
      <c r="BA618" s="48">
        <f t="shared" si="473"/>
        <v>0</v>
      </c>
      <c r="BB618" s="27"/>
      <c r="BC618" s="27"/>
      <c r="BD618" s="51"/>
      <c r="BE618" s="52"/>
      <c r="BF618" s="27" t="s">
        <v>2112</v>
      </c>
      <c r="BG618" s="53">
        <v>0.0</v>
      </c>
      <c r="BH618" s="53" t="str">
        <f>'[1]2023'!Q1169</f>
        <v>#REF!</v>
      </c>
      <c r="BI618" s="27"/>
      <c r="BJ618" s="27"/>
      <c r="BK618" s="27" t="s">
        <v>64</v>
      </c>
      <c r="BL618" s="27"/>
    </row>
    <row r="619" ht="14.25" customHeight="1">
      <c r="A619" s="26" t="s">
        <v>55</v>
      </c>
      <c r="B619" s="26" t="s">
        <v>56</v>
      </c>
      <c r="C619" s="26" t="s">
        <v>57</v>
      </c>
      <c r="D619" s="26" t="s">
        <v>81</v>
      </c>
      <c r="E619" s="27" t="s">
        <v>2114</v>
      </c>
      <c r="F619" s="28" t="s">
        <v>2115</v>
      </c>
      <c r="G619" s="29" t="s">
        <v>2116</v>
      </c>
      <c r="H619" s="30">
        <v>45098.0</v>
      </c>
      <c r="I619" s="30">
        <v>45463.0</v>
      </c>
      <c r="J619" s="31">
        <v>0.0</v>
      </c>
      <c r="K619" s="26" t="s">
        <v>440</v>
      </c>
      <c r="L619" s="32" t="s">
        <v>75</v>
      </c>
      <c r="M619" s="33">
        <v>26845.0</v>
      </c>
      <c r="N619" s="34">
        <v>28569.86</v>
      </c>
      <c r="O619" s="27" t="s">
        <v>76</v>
      </c>
      <c r="P619" s="35" t="s">
        <v>430</v>
      </c>
      <c r="Q619" s="35" t="s">
        <v>90</v>
      </c>
      <c r="R619" s="36" t="e">
        <v>#VALUE!</v>
      </c>
      <c r="S619" s="35" t="s">
        <v>86</v>
      </c>
      <c r="T619" s="35">
        <v>0.0</v>
      </c>
      <c r="U619" s="37" t="s">
        <v>67</v>
      </c>
      <c r="V619" s="38"/>
      <c r="W619" s="38"/>
      <c r="X619" s="27"/>
      <c r="Y619" s="39"/>
      <c r="Z619" s="39">
        <v>3008.0</v>
      </c>
      <c r="AA619" s="39"/>
      <c r="AB619" s="40"/>
      <c r="AC619" s="27">
        <f t="shared" si="453"/>
        <v>0</v>
      </c>
      <c r="AD619" s="41">
        <f t="shared" si="471"/>
        <v>4026.75</v>
      </c>
      <c r="AE619" s="42"/>
      <c r="AF619" s="27"/>
      <c r="AG619" s="43">
        <f t="shared" si="472"/>
        <v>6885.7425</v>
      </c>
      <c r="AH619" s="29"/>
      <c r="AI619" s="29"/>
      <c r="AJ619" s="29"/>
      <c r="AK619" s="29"/>
      <c r="AL619" s="27"/>
      <c r="AM619" s="44"/>
      <c r="AN619" s="45"/>
      <c r="AO619" s="46"/>
      <c r="AP619" s="47"/>
      <c r="AQ619" s="43">
        <f t="shared" ref="AQ619:AQ620" si="476">IF(U619="Motor Plus",(M619*27%),IF(U619="Motor One",(M619*22%),(IF(U619="Golden",(M619*25%),(IF(U619="Classic",(M619*15%),(IF(U619="Wethaq",(M619*28%),IF(U619="Alwataniya",(M619*21%))*0))))))))</f>
        <v>7248.15</v>
      </c>
      <c r="AR619" s="43">
        <f t="shared" si="448"/>
        <v>362.4075</v>
      </c>
      <c r="AS619" s="43">
        <f t="shared" si="449"/>
        <v>1268.42625</v>
      </c>
      <c r="AT619" s="48">
        <f t="shared" si="450"/>
        <v>5617.31625</v>
      </c>
      <c r="AU619" s="49">
        <f t="shared" ref="AU619:AU621" si="477">AQ619-AR619-AS619-AC619</f>
        <v>5617.31625</v>
      </c>
      <c r="AV619" s="48"/>
      <c r="AW619" s="34">
        <f t="shared" si="451"/>
        <v>24543.11</v>
      </c>
      <c r="AX619" s="50">
        <f t="shared" si="413"/>
        <v>1590.56625</v>
      </c>
      <c r="AY619" s="43"/>
      <c r="AZ619" s="43"/>
      <c r="BA619" s="48">
        <f t="shared" si="473"/>
        <v>5617.31625</v>
      </c>
      <c r="BB619" s="27"/>
      <c r="BC619" s="27"/>
      <c r="BD619" s="51"/>
      <c r="BE619" s="52"/>
      <c r="BF619" s="27" t="s">
        <v>2114</v>
      </c>
      <c r="BG619" s="53">
        <v>0.0</v>
      </c>
      <c r="BH619" s="53" t="str">
        <f>'[1]2023'!Q734</f>
        <v>#REF!</v>
      </c>
      <c r="BI619" s="27"/>
      <c r="BJ619" s="27"/>
      <c r="BK619" s="27" t="s">
        <v>76</v>
      </c>
      <c r="BL619" s="27"/>
    </row>
    <row r="620" ht="14.25" customHeight="1">
      <c r="A620" s="26" t="s">
        <v>55</v>
      </c>
      <c r="B620" s="26" t="s">
        <v>56</v>
      </c>
      <c r="C620" s="26" t="s">
        <v>57</v>
      </c>
      <c r="D620" s="26" t="s">
        <v>81</v>
      </c>
      <c r="E620" s="27" t="s">
        <v>2117</v>
      </c>
      <c r="F620" s="28" t="s">
        <v>2118</v>
      </c>
      <c r="G620" s="29" t="s">
        <v>2116</v>
      </c>
      <c r="H620" s="30">
        <v>45098.0</v>
      </c>
      <c r="I620" s="30">
        <v>45463.0</v>
      </c>
      <c r="J620" s="31">
        <v>0.0</v>
      </c>
      <c r="K620" s="26" t="s">
        <v>440</v>
      </c>
      <c r="L620" s="32" t="s">
        <v>75</v>
      </c>
      <c r="M620" s="33">
        <v>26845.0</v>
      </c>
      <c r="N620" s="34">
        <v>28569.86</v>
      </c>
      <c r="O620" s="27" t="s">
        <v>76</v>
      </c>
      <c r="P620" s="35" t="s">
        <v>122</v>
      </c>
      <c r="Q620" s="35" t="s">
        <v>90</v>
      </c>
      <c r="R620" s="36" t="e">
        <v>#VALUE!</v>
      </c>
      <c r="S620" s="35" t="s">
        <v>86</v>
      </c>
      <c r="T620" s="35">
        <v>0.0</v>
      </c>
      <c r="U620" s="37" t="s">
        <v>67</v>
      </c>
      <c r="V620" s="38"/>
      <c r="W620" s="38"/>
      <c r="X620" s="27"/>
      <c r="Y620" s="39"/>
      <c r="Z620" s="79" t="s">
        <v>208</v>
      </c>
      <c r="AA620" s="39"/>
      <c r="AB620" s="40"/>
      <c r="AC620" s="27">
        <f t="shared" si="453"/>
        <v>0</v>
      </c>
      <c r="AD620" s="41">
        <f t="shared" si="471"/>
        <v>4026.75</v>
      </c>
      <c r="AE620" s="42"/>
      <c r="AF620" s="27"/>
      <c r="AG620" s="43">
        <f t="shared" si="472"/>
        <v>6885.7425</v>
      </c>
      <c r="AH620" s="29"/>
      <c r="AI620" s="29"/>
      <c r="AJ620" s="29"/>
      <c r="AK620" s="29"/>
      <c r="AL620" s="27"/>
      <c r="AM620" s="27"/>
      <c r="AN620" s="63"/>
      <c r="AO620" s="46"/>
      <c r="AP620" s="68"/>
      <c r="AQ620" s="43">
        <f t="shared" si="476"/>
        <v>7248.15</v>
      </c>
      <c r="AR620" s="43">
        <f t="shared" si="448"/>
        <v>362.4075</v>
      </c>
      <c r="AS620" s="43">
        <f t="shared" si="449"/>
        <v>1268.42625</v>
      </c>
      <c r="AT620" s="48">
        <f t="shared" si="450"/>
        <v>5617.31625</v>
      </c>
      <c r="AU620" s="49">
        <f t="shared" si="477"/>
        <v>5617.31625</v>
      </c>
      <c r="AV620" s="48"/>
      <c r="AW620" s="34">
        <f t="shared" si="451"/>
        <v>24543.11</v>
      </c>
      <c r="AX620" s="50">
        <f t="shared" si="413"/>
        <v>1590.56625</v>
      </c>
      <c r="AY620" s="43"/>
      <c r="AZ620" s="43"/>
      <c r="BA620" s="48">
        <f t="shared" si="473"/>
        <v>5617.31625</v>
      </c>
      <c r="BB620" s="27"/>
      <c r="BC620" s="27"/>
      <c r="BD620" s="51"/>
      <c r="BE620" s="52"/>
      <c r="BF620" s="27" t="s">
        <v>2117</v>
      </c>
      <c r="BG620" s="53">
        <v>0.0</v>
      </c>
      <c r="BH620" s="53" t="str">
        <f>'[1]2023'!Q738</f>
        <v>#REF!</v>
      </c>
      <c r="BI620" s="27"/>
      <c r="BJ620" s="27"/>
      <c r="BK620" s="27" t="s">
        <v>76</v>
      </c>
      <c r="BL620" s="27"/>
    </row>
    <row r="621" ht="14.25" customHeight="1">
      <c r="A621" s="26" t="s">
        <v>55</v>
      </c>
      <c r="B621" s="26" t="s">
        <v>56</v>
      </c>
      <c r="C621" s="26" t="s">
        <v>57</v>
      </c>
      <c r="D621" s="26" t="s">
        <v>58</v>
      </c>
      <c r="E621" s="27" t="s">
        <v>2119</v>
      </c>
      <c r="F621" s="28" t="s">
        <v>2120</v>
      </c>
      <c r="G621" s="29" t="s">
        <v>2116</v>
      </c>
      <c r="H621" s="30">
        <v>45098.0</v>
      </c>
      <c r="I621" s="30">
        <v>45463.0</v>
      </c>
      <c r="J621" s="31" t="s">
        <v>2121</v>
      </c>
      <c r="K621" s="26" t="s">
        <v>440</v>
      </c>
      <c r="L621" s="32" t="s">
        <v>63</v>
      </c>
      <c r="M621" s="33">
        <v>3806.5</v>
      </c>
      <c r="N621" s="34">
        <v>4031.09</v>
      </c>
      <c r="O621" s="27" t="s">
        <v>64</v>
      </c>
      <c r="P621" s="35">
        <v>0.0</v>
      </c>
      <c r="Q621" s="35" t="s">
        <v>65</v>
      </c>
      <c r="R621" s="36" t="e">
        <v>#VALUE!</v>
      </c>
      <c r="S621" s="35" t="s">
        <v>86</v>
      </c>
      <c r="T621" s="35">
        <v>0.0</v>
      </c>
      <c r="U621" s="37" t="s">
        <v>58</v>
      </c>
      <c r="V621" s="38"/>
      <c r="W621" s="38"/>
      <c r="X621" s="27"/>
      <c r="Y621" s="39"/>
      <c r="Z621" s="39"/>
      <c r="AA621" s="39"/>
      <c r="AB621" s="40"/>
      <c r="AC621" s="27">
        <f t="shared" si="453"/>
        <v>0</v>
      </c>
      <c r="AD621" s="41">
        <f t="shared" si="471"/>
        <v>0</v>
      </c>
      <c r="AE621" s="42"/>
      <c r="AF621" s="27"/>
      <c r="AG621" s="43">
        <f t="shared" ref="AG621:AG622" si="478">IF(O621="Paid",IF(A621="Alwataniya",(M621*21%)-((M621*21%)*5%),IF((A621="GIG"),(M621*25%)-((M621*25%)*5%),IF((A621="Allianz"),(M621*27%)-((M621*27%)*20%),0))),0)</f>
        <v>0</v>
      </c>
      <c r="AH621" s="29"/>
      <c r="AI621" s="29"/>
      <c r="AJ621" s="29"/>
      <c r="AK621" s="29"/>
      <c r="AL621" s="27"/>
      <c r="AM621" s="44"/>
      <c r="AN621" s="45"/>
      <c r="AO621" s="46"/>
      <c r="AP621" s="47"/>
      <c r="AQ621" s="43" t="b">
        <f>IF(O621="Paid",IF(U621="Motor Plus",(M621*27%),IF(U621="Motor One",(M621*22%),(IF(U621="Golden",(M621*25%),(IF(U621="Classic",(M621*15%),(IF(U621="Wethaq",(M621*28%),IF(U621="Alwataniya",(M621*21%))*0)))))))))</f>
        <v>0</v>
      </c>
      <c r="AR621" s="43">
        <f t="shared" si="448"/>
        <v>0</v>
      </c>
      <c r="AS621" s="43">
        <f t="shared" si="449"/>
        <v>0</v>
      </c>
      <c r="AT621" s="48">
        <f t="shared" si="450"/>
        <v>0</v>
      </c>
      <c r="AU621" s="49">
        <f t="shared" si="477"/>
        <v>0</v>
      </c>
      <c r="AV621" s="48"/>
      <c r="AW621" s="34">
        <f t="shared" si="451"/>
        <v>4031.09</v>
      </c>
      <c r="AX621" s="50">
        <f t="shared" si="413"/>
        <v>0</v>
      </c>
      <c r="AY621" s="43"/>
      <c r="AZ621" s="43"/>
      <c r="BA621" s="48">
        <f t="shared" si="473"/>
        <v>0</v>
      </c>
      <c r="BB621" s="27"/>
      <c r="BC621" s="27"/>
      <c r="BD621" s="51"/>
      <c r="BE621" s="52"/>
      <c r="BF621" s="27" t="s">
        <v>2119</v>
      </c>
      <c r="BG621" s="58" t="s">
        <v>2122</v>
      </c>
      <c r="BH621" s="53" t="str">
        <f t="shared" ref="BH621:BH622" si="479">'[1]2023'!Q884</f>
        <v>#REF!</v>
      </c>
      <c r="BI621" s="27"/>
      <c r="BJ621" s="27"/>
      <c r="BK621" s="27" t="s">
        <v>64</v>
      </c>
      <c r="BL621" s="27"/>
    </row>
    <row r="622" ht="14.25" customHeight="1">
      <c r="A622" s="26" t="s">
        <v>111</v>
      </c>
      <c r="B622" s="26" t="s">
        <v>56</v>
      </c>
      <c r="C622" s="26" t="s">
        <v>57</v>
      </c>
      <c r="D622" s="26" t="s">
        <v>71</v>
      </c>
      <c r="E622" s="27" t="s">
        <v>2123</v>
      </c>
      <c r="F622" s="28" t="s">
        <v>2124</v>
      </c>
      <c r="G622" s="29" t="s">
        <v>2116</v>
      </c>
      <c r="H622" s="30">
        <v>45098.0</v>
      </c>
      <c r="I622" s="30">
        <v>45463.0</v>
      </c>
      <c r="J622" s="31" t="s">
        <v>2125</v>
      </c>
      <c r="K622" s="26" t="s">
        <v>440</v>
      </c>
      <c r="L622" s="32" t="s">
        <v>75</v>
      </c>
      <c r="M622" s="33">
        <v>39040.79</v>
      </c>
      <c r="N622" s="34">
        <v>41600.0</v>
      </c>
      <c r="O622" s="27" t="s">
        <v>76</v>
      </c>
      <c r="P622" s="35" t="s">
        <v>430</v>
      </c>
      <c r="Q622" s="35" t="s">
        <v>114</v>
      </c>
      <c r="R622" s="36" t="e">
        <v>#VALUE!</v>
      </c>
      <c r="S622" s="35" t="s">
        <v>66</v>
      </c>
      <c r="T622" s="35">
        <v>0.0</v>
      </c>
      <c r="U622" s="37" t="s">
        <v>115</v>
      </c>
      <c r="V622" s="38">
        <v>1600000.0</v>
      </c>
      <c r="W622" s="38"/>
      <c r="X622" s="27"/>
      <c r="Y622" s="39"/>
      <c r="Z622" s="79" t="s">
        <v>2126</v>
      </c>
      <c r="AA622" s="39"/>
      <c r="AB622" s="40"/>
      <c r="AC622" s="27">
        <f t="shared" si="453"/>
        <v>0</v>
      </c>
      <c r="AD622" s="41">
        <f t="shared" si="471"/>
        <v>0</v>
      </c>
      <c r="AE622" s="42"/>
      <c r="AF622" s="27"/>
      <c r="AG622" s="43">
        <f t="shared" si="478"/>
        <v>9272.187625</v>
      </c>
      <c r="AH622" s="29">
        <v>45237.0</v>
      </c>
      <c r="AI622" s="29" t="s">
        <v>1038</v>
      </c>
      <c r="AJ622" s="40"/>
      <c r="AK622" s="62" t="s">
        <v>63</v>
      </c>
      <c r="AL622" s="27"/>
      <c r="AM622" s="44">
        <f>((M622*25%)-((M622*25%)*22.5%))*30%</f>
        <v>2269.245919</v>
      </c>
      <c r="AN622" s="146" t="s">
        <v>1038</v>
      </c>
      <c r="AO622" s="46"/>
      <c r="AP622" s="47"/>
      <c r="AQ622" s="43">
        <f>M622*25%</f>
        <v>9760.1975</v>
      </c>
      <c r="AR622" s="43">
        <f t="shared" si="448"/>
        <v>488.009875</v>
      </c>
      <c r="AS622" s="43">
        <f t="shared" si="449"/>
        <v>1708.034563</v>
      </c>
      <c r="AT622" s="48">
        <f t="shared" si="450"/>
        <v>7564.153063</v>
      </c>
      <c r="AU622" s="48">
        <f>AQ622-AR622</f>
        <v>9272.187625</v>
      </c>
      <c r="AV622" s="48"/>
      <c r="AW622" s="34">
        <f t="shared" si="451"/>
        <v>41600</v>
      </c>
      <c r="AX622" s="50">
        <f t="shared" si="413"/>
        <v>5294.907144</v>
      </c>
      <c r="AY622" s="43">
        <f>AG622-(AG622*22.5%)</f>
        <v>7185.945409</v>
      </c>
      <c r="AZ622" s="43"/>
      <c r="BA622" s="48">
        <f t="shared" si="473"/>
        <v>7002.941706</v>
      </c>
      <c r="BB622" s="27"/>
      <c r="BC622" s="27"/>
      <c r="BD622" s="51"/>
      <c r="BE622" s="52" t="s">
        <v>440</v>
      </c>
      <c r="BF622" s="27" t="s">
        <v>2123</v>
      </c>
      <c r="BG622" s="53">
        <v>0.0</v>
      </c>
      <c r="BH622" s="53" t="str">
        <f t="shared" si="479"/>
        <v>#REF!</v>
      </c>
      <c r="BI622" s="27"/>
      <c r="BJ622" s="27"/>
      <c r="BK622" s="27" t="s">
        <v>76</v>
      </c>
      <c r="BL622" s="27"/>
    </row>
    <row r="623" ht="14.25" customHeight="1">
      <c r="A623" s="26" t="s">
        <v>1634</v>
      </c>
      <c r="B623" s="26" t="s">
        <v>69</v>
      </c>
      <c r="C623" s="26" t="s">
        <v>70</v>
      </c>
      <c r="D623" s="26" t="s">
        <v>71</v>
      </c>
      <c r="E623" s="27" t="s">
        <v>2127</v>
      </c>
      <c r="F623" s="28" t="s">
        <v>2128</v>
      </c>
      <c r="G623" s="29" t="s">
        <v>2116</v>
      </c>
      <c r="H623" s="30">
        <v>45098.0</v>
      </c>
      <c r="I623" s="30">
        <v>45463.0</v>
      </c>
      <c r="J623" s="31">
        <v>0.0</v>
      </c>
      <c r="K623" s="26" t="s">
        <v>440</v>
      </c>
      <c r="L623" s="32" t="s">
        <v>75</v>
      </c>
      <c r="M623" s="33">
        <v>22135.0</v>
      </c>
      <c r="N623" s="34">
        <v>23593.0</v>
      </c>
      <c r="O623" s="27" t="s">
        <v>76</v>
      </c>
      <c r="P623" s="35">
        <v>0.0</v>
      </c>
      <c r="Q623" s="35">
        <v>0.0</v>
      </c>
      <c r="R623" s="36" t="e">
        <v>#VALUE!</v>
      </c>
      <c r="S623" s="35" t="s">
        <v>78</v>
      </c>
      <c r="T623" s="54" t="s">
        <v>79</v>
      </c>
      <c r="U623" s="37" t="s">
        <v>1634</v>
      </c>
      <c r="V623" s="38">
        <v>2.6214E7</v>
      </c>
      <c r="W623" s="38"/>
      <c r="X623" s="27"/>
      <c r="Y623" s="39"/>
      <c r="Z623" s="39"/>
      <c r="AA623" s="39"/>
      <c r="AB623" s="40"/>
      <c r="AC623" s="27">
        <f t="shared" si="453"/>
        <v>0</v>
      </c>
      <c r="AD623" s="41"/>
      <c r="AE623" s="42"/>
      <c r="AF623" s="27"/>
      <c r="AG623" s="43">
        <f>IF(O623="Paid",IF(A623="Egyptian",(M623*25%)-((M623*25%)*5%)))</f>
        <v>5257.0625</v>
      </c>
      <c r="AH623" s="29">
        <v>45084.0</v>
      </c>
      <c r="AI623" s="29" t="s">
        <v>2099</v>
      </c>
      <c r="AJ623" s="55">
        <v>0.25</v>
      </c>
      <c r="AK623" s="29">
        <v>45176.0</v>
      </c>
      <c r="AL623" s="27"/>
      <c r="AM623" s="44"/>
      <c r="AN623" s="104"/>
      <c r="AO623" s="46">
        <f>((M623*AJ623)-((M623*AJ623)*22.5%))*80%</f>
        <v>3430.925</v>
      </c>
      <c r="AP623" s="57">
        <v>45177.0</v>
      </c>
      <c r="AQ623" s="43">
        <f>M623*AJ623</f>
        <v>5533.75</v>
      </c>
      <c r="AR623" s="43">
        <f t="shared" si="448"/>
        <v>276.6875</v>
      </c>
      <c r="AS623" s="43">
        <f t="shared" si="449"/>
        <v>968.40625</v>
      </c>
      <c r="AT623" s="48">
        <f t="shared" si="450"/>
        <v>4288.65625</v>
      </c>
      <c r="AU623" s="49">
        <f t="shared" ref="AU623:AU624" si="480">AQ623-AR623-AS623-AC623</f>
        <v>4288.65625</v>
      </c>
      <c r="AV623" s="48"/>
      <c r="AW623" s="34">
        <f t="shared" si="451"/>
        <v>23593</v>
      </c>
      <c r="AX623" s="50">
        <f t="shared" si="413"/>
        <v>857.73125</v>
      </c>
      <c r="AY623" s="43"/>
      <c r="AZ623" s="43"/>
      <c r="BA623" s="48" t="str">
        <f>IF(S623&lt;&gt;0,AU623-#REF!-AM623,(AG623-AD623-AE623-AS623))</f>
        <v>#REF!</v>
      </c>
      <c r="BB623" s="27"/>
      <c r="BC623" s="27"/>
      <c r="BD623" s="51"/>
      <c r="BE623" s="52"/>
      <c r="BF623" s="27" t="s">
        <v>2127</v>
      </c>
      <c r="BG623" s="53" t="s">
        <v>2103</v>
      </c>
      <c r="BH623" s="53" t="str">
        <f>'[1]2023'!Q888</f>
        <v>#REF!</v>
      </c>
      <c r="BI623" s="27"/>
      <c r="BJ623" s="27"/>
      <c r="BK623" s="27" t="s">
        <v>76</v>
      </c>
      <c r="BL623" s="27"/>
    </row>
    <row r="624" ht="14.25" customHeight="1">
      <c r="A624" s="26" t="s">
        <v>68</v>
      </c>
      <c r="B624" s="26" t="s">
        <v>56</v>
      </c>
      <c r="C624" s="26" t="s">
        <v>57</v>
      </c>
      <c r="D624" s="26" t="s">
        <v>71</v>
      </c>
      <c r="E624" s="27" t="s">
        <v>2129</v>
      </c>
      <c r="F624" s="28" t="s">
        <v>2130</v>
      </c>
      <c r="G624" s="29" t="s">
        <v>2116</v>
      </c>
      <c r="H624" s="30">
        <v>45098.0</v>
      </c>
      <c r="I624" s="30">
        <v>45463.0</v>
      </c>
      <c r="J624" s="31" t="s">
        <v>2131</v>
      </c>
      <c r="K624" s="26" t="s">
        <v>2069</v>
      </c>
      <c r="L624" s="32" t="s">
        <v>75</v>
      </c>
      <c r="M624" s="33">
        <v>22442.3</v>
      </c>
      <c r="N624" s="34">
        <v>24000.0</v>
      </c>
      <c r="O624" s="27" t="s">
        <v>76</v>
      </c>
      <c r="P624" s="35" t="s">
        <v>430</v>
      </c>
      <c r="Q624" s="35">
        <v>0.0</v>
      </c>
      <c r="R624" s="36" t="e">
        <v>#VALUE!</v>
      </c>
      <c r="S624" s="35" t="s">
        <v>676</v>
      </c>
      <c r="T624" s="35">
        <v>0.0</v>
      </c>
      <c r="U624" s="37" t="s">
        <v>68</v>
      </c>
      <c r="V624" s="38">
        <v>1200000.0</v>
      </c>
      <c r="W624" s="38"/>
      <c r="X624" s="27"/>
      <c r="Y624" s="39"/>
      <c r="Z624" s="39"/>
      <c r="AA624" s="39"/>
      <c r="AB624" s="40"/>
      <c r="AC624" s="27">
        <f t="shared" si="453"/>
        <v>0</v>
      </c>
      <c r="AD624" s="41">
        <f>IF(AND(S624="0",O624="Paid"),(M624*15%)-AC624,0)</f>
        <v>0</v>
      </c>
      <c r="AE624" s="42"/>
      <c r="AF624" s="27"/>
      <c r="AG624" s="43">
        <f t="shared" ref="AG624:AG625" si="481">IF(O624="Paid",IF(A624="Wethaq",(M624*28%)-((M624*28%)*5%)))</f>
        <v>5969.6518</v>
      </c>
      <c r="AH624" s="29">
        <v>45115.0</v>
      </c>
      <c r="AI624" s="29">
        <v>45115.0</v>
      </c>
      <c r="AJ624" s="55">
        <v>0.28</v>
      </c>
      <c r="AK624" s="29">
        <v>44993.0</v>
      </c>
      <c r="AL624" s="27"/>
      <c r="AM624" s="68">
        <f>((M624*28%)-((M624*28%)*22.5%))*10%</f>
        <v>486.99791</v>
      </c>
      <c r="AN624" s="68" t="s">
        <v>75</v>
      </c>
      <c r="AO624" s="46"/>
      <c r="AP624" s="47"/>
      <c r="AQ624" s="43">
        <f t="shared" ref="AQ624:AQ629" si="482">IF(U624="Motor Plus",(M624*27%),IF(U624="Motor One",(M624*22%),(IF(U624="Golden",(M624*25%),(IF(U624="Classic",(M624*15%),(IF(U624="Wethaq",(M624*28%),IF(U624="Alwataniya",(M624*21%))*0))))))))</f>
        <v>6283.844</v>
      </c>
      <c r="AR624" s="43">
        <f t="shared" si="448"/>
        <v>314.1922</v>
      </c>
      <c r="AS624" s="43">
        <f t="shared" si="449"/>
        <v>1099.6727</v>
      </c>
      <c r="AT624" s="48">
        <f t="shared" si="450"/>
        <v>4869.9791</v>
      </c>
      <c r="AU624" s="49">
        <f t="shared" si="480"/>
        <v>4869.9791</v>
      </c>
      <c r="AV624" s="106">
        <f>BA624*10%</f>
        <v>438.298119</v>
      </c>
      <c r="AW624" s="34">
        <f t="shared" si="451"/>
        <v>24000</v>
      </c>
      <c r="AX624" s="50">
        <f t="shared" si="413"/>
        <v>3944.683071</v>
      </c>
      <c r="AY624" s="43"/>
      <c r="AZ624" s="43">
        <f>IF(AJ624&lt;28%,M624*(28%-AJ624)-((M624*(28%-AJ624))*5%),0)</f>
        <v>0</v>
      </c>
      <c r="BA624" s="48">
        <f>IF(S624&lt;&gt;0,AU624-AO624-AM624,(AG624-AD624-AE624-AS624))</f>
        <v>4382.98119</v>
      </c>
      <c r="BB624" s="27"/>
      <c r="BC624" s="27"/>
      <c r="BD624" s="51">
        <v>1.0</v>
      </c>
      <c r="BE624" s="52" t="s">
        <v>440</v>
      </c>
      <c r="BF624" s="27" t="s">
        <v>2129</v>
      </c>
      <c r="BG624" s="53">
        <v>0.0</v>
      </c>
      <c r="BH624" s="53" t="str">
        <f>'[1]2023'!Q922</f>
        <v>#REF!</v>
      </c>
      <c r="BI624" s="27"/>
      <c r="BJ624" s="27"/>
      <c r="BK624" s="27" t="s">
        <v>76</v>
      </c>
      <c r="BL624" s="27"/>
    </row>
    <row r="625" ht="14.25" customHeight="1">
      <c r="A625" s="26" t="s">
        <v>68</v>
      </c>
      <c r="B625" s="26" t="s">
        <v>56</v>
      </c>
      <c r="C625" s="26" t="s">
        <v>57</v>
      </c>
      <c r="D625" s="26" t="s">
        <v>58</v>
      </c>
      <c r="E625" s="27" t="s">
        <v>2132</v>
      </c>
      <c r="F625" s="28" t="s">
        <v>2133</v>
      </c>
      <c r="G625" s="29">
        <v>45098.0</v>
      </c>
      <c r="H625" s="30">
        <v>45098.0</v>
      </c>
      <c r="I625" s="30">
        <v>45463.0</v>
      </c>
      <c r="J625" s="31" t="s">
        <v>1994</v>
      </c>
      <c r="K625" s="26" t="s">
        <v>440</v>
      </c>
      <c r="L625" s="73" t="s">
        <v>487</v>
      </c>
      <c r="M625" s="33">
        <v>103.56</v>
      </c>
      <c r="N625" s="34">
        <v>220.0</v>
      </c>
      <c r="O625" s="27" t="s">
        <v>76</v>
      </c>
      <c r="P625" s="35" t="s">
        <v>430</v>
      </c>
      <c r="Q625" s="35">
        <v>0.0</v>
      </c>
      <c r="R625" s="36">
        <v>45117.0</v>
      </c>
      <c r="S625" s="35" t="s">
        <v>78</v>
      </c>
      <c r="T625" s="54" t="s">
        <v>510</v>
      </c>
      <c r="U625" s="37" t="s">
        <v>68</v>
      </c>
      <c r="V625" s="38"/>
      <c r="W625" s="38"/>
      <c r="X625" s="27"/>
      <c r="Y625" s="39"/>
      <c r="Z625" s="39"/>
      <c r="AA625" s="39"/>
      <c r="AB625" s="27"/>
      <c r="AC625" s="27">
        <f t="shared" si="453"/>
        <v>0</v>
      </c>
      <c r="AD625" s="41"/>
      <c r="AE625" s="42"/>
      <c r="AF625" s="27"/>
      <c r="AG625" s="159">
        <f t="shared" si="481"/>
        <v>27.54696</v>
      </c>
      <c r="AH625" s="29"/>
      <c r="AI625" s="29" t="s">
        <v>1324</v>
      </c>
      <c r="AJ625" s="55">
        <v>0.28</v>
      </c>
      <c r="AK625" s="75" t="s">
        <v>1325</v>
      </c>
      <c r="AL625" s="27"/>
      <c r="AM625" s="44"/>
      <c r="AN625" s="104"/>
      <c r="AO625" s="95">
        <f>M625*AJ625-((M625*AJ625)*22.5%)</f>
        <v>22.47252</v>
      </c>
      <c r="AP625" s="47" t="s">
        <v>1325</v>
      </c>
      <c r="AQ625" s="43">
        <f t="shared" si="482"/>
        <v>28.9968</v>
      </c>
      <c r="AR625" s="43">
        <f t="shared" si="448"/>
        <v>1.44984</v>
      </c>
      <c r="AS625" s="43">
        <f t="shared" si="449"/>
        <v>5.07444</v>
      </c>
      <c r="AT625" s="48">
        <f t="shared" si="450"/>
        <v>22.47252</v>
      </c>
      <c r="AU625" s="49" t="str">
        <f>AQ625-AR625-AS625-AC625-#REF!</f>
        <v>#REF!</v>
      </c>
      <c r="AV625" s="48"/>
      <c r="AW625" s="34">
        <f t="shared" si="451"/>
        <v>220</v>
      </c>
      <c r="AX625" s="50">
        <f t="shared" si="413"/>
        <v>0</v>
      </c>
      <c r="AY625" s="43"/>
      <c r="AZ625" s="47"/>
      <c r="BA625" s="48" t="str">
        <f>IF(S625&lt;&gt;0,AU625-#REF!-AM625,(AG625-AD625-AE625-AS625))</f>
        <v>#REF!</v>
      </c>
      <c r="BB625" s="27"/>
      <c r="BC625" s="27"/>
      <c r="BD625" s="51"/>
      <c r="BE625" s="52"/>
      <c r="BF625" s="27"/>
      <c r="BG625" s="58" t="s">
        <v>1997</v>
      </c>
      <c r="BH625" s="53" t="str">
        <f>'[1]2023'!Q1300</f>
        <v>#REF!</v>
      </c>
      <c r="BI625" s="27"/>
      <c r="BJ625" s="27"/>
      <c r="BK625" s="27" t="s">
        <v>76</v>
      </c>
      <c r="BL625" s="27"/>
    </row>
    <row r="626" ht="14.25" customHeight="1">
      <c r="A626" s="26" t="s">
        <v>55</v>
      </c>
      <c r="B626" s="26" t="s">
        <v>56</v>
      </c>
      <c r="C626" s="26" t="s">
        <v>57</v>
      </c>
      <c r="D626" s="26" t="s">
        <v>81</v>
      </c>
      <c r="E626" s="27" t="s">
        <v>2134</v>
      </c>
      <c r="F626" s="28" t="s">
        <v>2135</v>
      </c>
      <c r="G626" s="29" t="s">
        <v>2136</v>
      </c>
      <c r="H626" s="30">
        <v>45099.0</v>
      </c>
      <c r="I626" s="30">
        <v>45464.0</v>
      </c>
      <c r="J626" s="31">
        <v>0.0</v>
      </c>
      <c r="K626" s="26" t="s">
        <v>440</v>
      </c>
      <c r="L626" s="73" t="s">
        <v>75</v>
      </c>
      <c r="M626" s="33">
        <v>26550.0</v>
      </c>
      <c r="N626" s="34">
        <v>28257.45</v>
      </c>
      <c r="O626" s="27" t="s">
        <v>76</v>
      </c>
      <c r="P626" s="35" t="s">
        <v>122</v>
      </c>
      <c r="Q626" s="35" t="s">
        <v>90</v>
      </c>
      <c r="R626" s="36" t="e">
        <v>#VALUE!</v>
      </c>
      <c r="S626" s="35" t="s">
        <v>86</v>
      </c>
      <c r="T626" s="35">
        <v>0.0</v>
      </c>
      <c r="U626" s="37" t="s">
        <v>67</v>
      </c>
      <c r="V626" s="38"/>
      <c r="W626" s="38"/>
      <c r="X626" s="27"/>
      <c r="Y626" s="39"/>
      <c r="Z626" s="79" t="s">
        <v>232</v>
      </c>
      <c r="AA626" s="39"/>
      <c r="AB626" s="40"/>
      <c r="AC626" s="27">
        <f t="shared" si="453"/>
        <v>0</v>
      </c>
      <c r="AD626" s="41">
        <f t="shared" ref="AD626:AD627" si="483">IF(AND(S626="0",O626="Paid"),(M626*15%)-AC626,0)</f>
        <v>3982.5</v>
      </c>
      <c r="AE626" s="42"/>
      <c r="AF626" s="27"/>
      <c r="AG626" s="43">
        <f t="shared" ref="AG626:AG629" si="484">IF(O626="Paid",IF(A626="Alwataniya",(M626*21%)-((M626*21%)*5%),IF((A626="GIG"),(M626*25%)-((M626*25%)*5%),IF((A626="Allianz"),(M626*27%)-((M626*27%)*5%),0))),0)</f>
        <v>6810.075</v>
      </c>
      <c r="AH626" s="29"/>
      <c r="AI626" s="29"/>
      <c r="AJ626" s="29"/>
      <c r="AK626" s="75"/>
      <c r="AL626" s="27"/>
      <c r="AM626" s="44"/>
      <c r="AN626" s="63"/>
      <c r="AO626" s="46"/>
      <c r="AP626" s="47"/>
      <c r="AQ626" s="43">
        <f t="shared" si="482"/>
        <v>7168.5</v>
      </c>
      <c r="AR626" s="43">
        <f t="shared" si="448"/>
        <v>358.425</v>
      </c>
      <c r="AS626" s="43">
        <f t="shared" si="449"/>
        <v>1254.4875</v>
      </c>
      <c r="AT626" s="48">
        <f t="shared" si="450"/>
        <v>5555.5875</v>
      </c>
      <c r="AU626" s="103">
        <f t="shared" ref="AU626:AU629" si="485">AQ626-AR626-AS626-AC626</f>
        <v>5555.5875</v>
      </c>
      <c r="AV626" s="48"/>
      <c r="AW626" s="34">
        <f t="shared" si="451"/>
        <v>24274.95</v>
      </c>
      <c r="AX626" s="50">
        <f t="shared" si="413"/>
        <v>1573.0875</v>
      </c>
      <c r="AY626" s="43"/>
      <c r="AZ626" s="43"/>
      <c r="BA626" s="48">
        <f t="shared" ref="BA626:BA640" si="486">IF(S626&lt;&gt;0,AU626-AO626-AM626,(AG626-AD626-AE626-AS626))</f>
        <v>5555.5875</v>
      </c>
      <c r="BB626" s="27"/>
      <c r="BC626" s="27"/>
      <c r="BD626" s="51"/>
      <c r="BE626" s="52"/>
      <c r="BF626" s="27" t="s">
        <v>2134</v>
      </c>
      <c r="BG626" s="53">
        <v>0.0</v>
      </c>
      <c r="BH626" s="53" t="str">
        <f>'[1]2023'!Q726</f>
        <v>#REF!</v>
      </c>
      <c r="BI626" s="27"/>
      <c r="BJ626" s="27"/>
      <c r="BK626" s="27" t="s">
        <v>76</v>
      </c>
      <c r="BL626" s="27"/>
    </row>
    <row r="627" ht="14.25" customHeight="1">
      <c r="A627" s="26" t="s">
        <v>55</v>
      </c>
      <c r="B627" s="26" t="s">
        <v>56</v>
      </c>
      <c r="C627" s="26" t="s">
        <v>57</v>
      </c>
      <c r="D627" s="26" t="s">
        <v>81</v>
      </c>
      <c r="E627" s="27" t="s">
        <v>2137</v>
      </c>
      <c r="F627" s="28" t="s">
        <v>2138</v>
      </c>
      <c r="G627" s="29" t="s">
        <v>2136</v>
      </c>
      <c r="H627" s="30">
        <v>45099.0</v>
      </c>
      <c r="I627" s="30">
        <v>45464.0</v>
      </c>
      <c r="J627" s="31">
        <v>0.0</v>
      </c>
      <c r="K627" s="26" t="s">
        <v>440</v>
      </c>
      <c r="L627" s="32" t="s">
        <v>483</v>
      </c>
      <c r="M627" s="33">
        <v>18585.0</v>
      </c>
      <c r="N627" s="34">
        <v>19824.52</v>
      </c>
      <c r="O627" s="27" t="s">
        <v>76</v>
      </c>
      <c r="P627" s="35" t="s">
        <v>142</v>
      </c>
      <c r="Q627" s="35" t="s">
        <v>90</v>
      </c>
      <c r="R627" s="36" t="e">
        <v>#VALUE!</v>
      </c>
      <c r="S627" s="35" t="s">
        <v>86</v>
      </c>
      <c r="T627" s="35">
        <v>0.0</v>
      </c>
      <c r="U627" s="37" t="s">
        <v>67</v>
      </c>
      <c r="V627" s="38"/>
      <c r="W627" s="38"/>
      <c r="X627" s="27"/>
      <c r="Y627" s="39"/>
      <c r="Z627" s="79" t="s">
        <v>232</v>
      </c>
      <c r="AA627" s="39"/>
      <c r="AB627" s="40"/>
      <c r="AC627" s="27">
        <f t="shared" si="453"/>
        <v>0</v>
      </c>
      <c r="AD627" s="41">
        <f t="shared" si="483"/>
        <v>2787.75</v>
      </c>
      <c r="AE627" s="42"/>
      <c r="AF627" s="29" t="s">
        <v>483</v>
      </c>
      <c r="AG627" s="43">
        <f t="shared" si="484"/>
        <v>4767.0525</v>
      </c>
      <c r="AH627" s="29"/>
      <c r="AI627" s="29"/>
      <c r="AJ627" s="29"/>
      <c r="AK627" s="29"/>
      <c r="AL627" s="27"/>
      <c r="AM627" s="44"/>
      <c r="AN627" s="45"/>
      <c r="AO627" s="46"/>
      <c r="AP627" s="47"/>
      <c r="AQ627" s="43">
        <f t="shared" si="482"/>
        <v>5017.95</v>
      </c>
      <c r="AR627" s="43">
        <f t="shared" si="448"/>
        <v>250.8975</v>
      </c>
      <c r="AS627" s="43">
        <f t="shared" si="449"/>
        <v>878.14125</v>
      </c>
      <c r="AT627" s="48">
        <f t="shared" si="450"/>
        <v>3888.91125</v>
      </c>
      <c r="AU627" s="49">
        <f t="shared" si="485"/>
        <v>3888.91125</v>
      </c>
      <c r="AV627" s="48"/>
      <c r="AW627" s="34">
        <f t="shared" si="451"/>
        <v>17036.77</v>
      </c>
      <c r="AX627" s="50">
        <f t="shared" si="413"/>
        <v>1101.16125</v>
      </c>
      <c r="AY627" s="43"/>
      <c r="AZ627" s="43"/>
      <c r="BA627" s="48">
        <f t="shared" si="486"/>
        <v>3888.91125</v>
      </c>
      <c r="BB627" s="27"/>
      <c r="BC627" s="27"/>
      <c r="BD627" s="51"/>
      <c r="BE627" s="52"/>
      <c r="BF627" s="27" t="s">
        <v>2137</v>
      </c>
      <c r="BG627" s="53">
        <v>0.0</v>
      </c>
      <c r="BH627" s="53" t="str">
        <f t="shared" ref="BH627:BH628" si="487">'[1]2023'!Q735</f>
        <v>#REF!</v>
      </c>
      <c r="BI627" s="27"/>
      <c r="BJ627" s="27"/>
      <c r="BK627" s="27" t="s">
        <v>76</v>
      </c>
      <c r="BL627" s="27"/>
    </row>
    <row r="628" ht="14.25" customHeight="1">
      <c r="A628" s="26" t="s">
        <v>55</v>
      </c>
      <c r="B628" s="26" t="s">
        <v>56</v>
      </c>
      <c r="C628" s="26" t="s">
        <v>57</v>
      </c>
      <c r="D628" s="26" t="s">
        <v>81</v>
      </c>
      <c r="E628" s="27" t="s">
        <v>2139</v>
      </c>
      <c r="F628" s="28" t="s">
        <v>2140</v>
      </c>
      <c r="G628" s="29" t="s">
        <v>2136</v>
      </c>
      <c r="H628" s="30">
        <v>45099.0</v>
      </c>
      <c r="I628" s="30">
        <v>45464.0</v>
      </c>
      <c r="J628" s="31">
        <v>0.0</v>
      </c>
      <c r="K628" s="26" t="s">
        <v>440</v>
      </c>
      <c r="L628" s="73" t="s">
        <v>75</v>
      </c>
      <c r="M628" s="33">
        <v>25502.75</v>
      </c>
      <c r="N628" s="34">
        <v>27149.42</v>
      </c>
      <c r="O628" s="27" t="s">
        <v>76</v>
      </c>
      <c r="P628" s="35" t="s">
        <v>89</v>
      </c>
      <c r="Q628" s="35" t="s">
        <v>108</v>
      </c>
      <c r="R628" s="36" t="e">
        <v>#VALUE!</v>
      </c>
      <c r="S628" s="35" t="s">
        <v>86</v>
      </c>
      <c r="T628" s="35">
        <v>0.0</v>
      </c>
      <c r="U628" s="37" t="s">
        <v>67</v>
      </c>
      <c r="V628" s="38"/>
      <c r="W628" s="38"/>
      <c r="X628" s="27"/>
      <c r="Y628" s="39"/>
      <c r="Z628" s="39"/>
      <c r="AA628" s="39"/>
      <c r="AB628" s="40"/>
      <c r="AC628" s="27">
        <f t="shared" si="453"/>
        <v>0</v>
      </c>
      <c r="AD628" s="41">
        <f t="shared" ref="AD628:AD629" si="488">IF(AND(S628="0",O628="Paid"),M628*15%,0)</f>
        <v>3825.4125</v>
      </c>
      <c r="AE628" s="42"/>
      <c r="AF628" s="27" t="s">
        <v>305</v>
      </c>
      <c r="AG628" s="43">
        <f t="shared" si="484"/>
        <v>6541.455375</v>
      </c>
      <c r="AH628" s="29"/>
      <c r="AI628" s="29"/>
      <c r="AJ628" s="29"/>
      <c r="AK628" s="29"/>
      <c r="AL628" s="27"/>
      <c r="AM628" s="27"/>
      <c r="AN628" s="63"/>
      <c r="AO628" s="76"/>
      <c r="AP628" s="47"/>
      <c r="AQ628" s="43">
        <f t="shared" si="482"/>
        <v>6885.7425</v>
      </c>
      <c r="AR628" s="43">
        <f t="shared" si="448"/>
        <v>344.287125</v>
      </c>
      <c r="AS628" s="43">
        <f t="shared" si="449"/>
        <v>1205.004938</v>
      </c>
      <c r="AT628" s="48">
        <f t="shared" si="450"/>
        <v>5336.450438</v>
      </c>
      <c r="AU628" s="49">
        <f t="shared" si="485"/>
        <v>5336.450438</v>
      </c>
      <c r="AV628" s="48"/>
      <c r="AW628" s="34">
        <f t="shared" si="451"/>
        <v>23324.0075</v>
      </c>
      <c r="AX628" s="50">
        <f t="shared" si="413"/>
        <v>1511.037938</v>
      </c>
      <c r="AY628" s="43"/>
      <c r="AZ628" s="43"/>
      <c r="BA628" s="48">
        <f t="shared" si="486"/>
        <v>5336.450438</v>
      </c>
      <c r="BB628" s="27"/>
      <c r="BC628" s="27"/>
      <c r="BD628" s="51"/>
      <c r="BE628" s="52"/>
      <c r="BF628" s="27" t="s">
        <v>2139</v>
      </c>
      <c r="BG628" s="53">
        <v>0.0</v>
      </c>
      <c r="BH628" s="53" t="str">
        <f t="shared" si="487"/>
        <v>#REF!</v>
      </c>
      <c r="BI628" s="27"/>
      <c r="BJ628" s="27"/>
      <c r="BK628" s="27" t="s">
        <v>76</v>
      </c>
      <c r="BL628" s="27"/>
    </row>
    <row r="629" ht="14.25" customHeight="1">
      <c r="A629" s="26" t="s">
        <v>55</v>
      </c>
      <c r="B629" s="26" t="s">
        <v>56</v>
      </c>
      <c r="C629" s="26" t="s">
        <v>57</v>
      </c>
      <c r="D629" s="26" t="s">
        <v>81</v>
      </c>
      <c r="E629" s="27" t="s">
        <v>2141</v>
      </c>
      <c r="F629" s="28" t="s">
        <v>2142</v>
      </c>
      <c r="G629" s="29" t="s">
        <v>2136</v>
      </c>
      <c r="H629" s="30">
        <v>45099.0</v>
      </c>
      <c r="I629" s="30">
        <v>45464.0</v>
      </c>
      <c r="J629" s="31">
        <v>0.0</v>
      </c>
      <c r="K629" s="26" t="s">
        <v>440</v>
      </c>
      <c r="L629" s="32" t="s">
        <v>75</v>
      </c>
      <c r="M629" s="33">
        <v>20650.0</v>
      </c>
      <c r="N629" s="34">
        <v>22009.35</v>
      </c>
      <c r="O629" s="27" t="s">
        <v>76</v>
      </c>
      <c r="P629" s="35" t="s">
        <v>95</v>
      </c>
      <c r="Q629" s="35" t="s">
        <v>85</v>
      </c>
      <c r="R629" s="36" t="e">
        <v>#VALUE!</v>
      </c>
      <c r="S629" s="35" t="s">
        <v>86</v>
      </c>
      <c r="T629" s="35">
        <v>0.0</v>
      </c>
      <c r="U629" s="37" t="s">
        <v>67</v>
      </c>
      <c r="V629" s="38"/>
      <c r="W629" s="38"/>
      <c r="X629" s="27"/>
      <c r="Y629" s="39"/>
      <c r="Z629" s="39"/>
      <c r="AA629" s="39"/>
      <c r="AB629" s="40"/>
      <c r="AC629" s="27">
        <f t="shared" si="453"/>
        <v>0</v>
      </c>
      <c r="AD629" s="41">
        <f t="shared" si="488"/>
        <v>3097.5</v>
      </c>
      <c r="AE629" s="42"/>
      <c r="AF629" s="29">
        <v>45206.0</v>
      </c>
      <c r="AG629" s="43">
        <f t="shared" si="484"/>
        <v>5296.725</v>
      </c>
      <c r="AH629" s="29"/>
      <c r="AI629" s="29"/>
      <c r="AJ629" s="29"/>
      <c r="AK629" s="29"/>
      <c r="AL629" s="27"/>
      <c r="AM629" s="27"/>
      <c r="AN629" s="63"/>
      <c r="AO629" s="76"/>
      <c r="AP629" s="47"/>
      <c r="AQ629" s="43">
        <f t="shared" si="482"/>
        <v>5575.5</v>
      </c>
      <c r="AR629" s="43">
        <f t="shared" si="448"/>
        <v>278.775</v>
      </c>
      <c r="AS629" s="43">
        <f t="shared" si="449"/>
        <v>975.7125</v>
      </c>
      <c r="AT629" s="48">
        <f t="shared" si="450"/>
        <v>4321.0125</v>
      </c>
      <c r="AU629" s="49">
        <f t="shared" si="485"/>
        <v>4321.0125</v>
      </c>
      <c r="AV629" s="48"/>
      <c r="AW629" s="34">
        <f t="shared" si="451"/>
        <v>18911.85</v>
      </c>
      <c r="AX629" s="50">
        <f t="shared" si="413"/>
        <v>1223.5125</v>
      </c>
      <c r="AY629" s="43"/>
      <c r="AZ629" s="43"/>
      <c r="BA629" s="48">
        <f t="shared" si="486"/>
        <v>4321.0125</v>
      </c>
      <c r="BB629" s="27"/>
      <c r="BC629" s="27"/>
      <c r="BD629" s="51"/>
      <c r="BE629" s="52"/>
      <c r="BF629" s="27" t="s">
        <v>2141</v>
      </c>
      <c r="BG629" s="53">
        <v>0.0</v>
      </c>
      <c r="BH629" s="53" t="str">
        <f>'[1]2023'!Q782</f>
        <v>#REF!</v>
      </c>
      <c r="BI629" s="27"/>
      <c r="BJ629" s="27"/>
      <c r="BK629" s="27" t="s">
        <v>76</v>
      </c>
      <c r="BL629" s="27"/>
    </row>
    <row r="630" ht="14.25" customHeight="1">
      <c r="A630" s="26" t="s">
        <v>111</v>
      </c>
      <c r="B630" s="26" t="s">
        <v>56</v>
      </c>
      <c r="C630" s="26" t="s">
        <v>57</v>
      </c>
      <c r="D630" s="26" t="s">
        <v>71</v>
      </c>
      <c r="E630" s="27" t="s">
        <v>2143</v>
      </c>
      <c r="F630" s="28" t="s">
        <v>2144</v>
      </c>
      <c r="G630" s="29" t="s">
        <v>2136</v>
      </c>
      <c r="H630" s="30">
        <v>45099.0</v>
      </c>
      <c r="I630" s="30">
        <v>45464.0</v>
      </c>
      <c r="J630" s="31" t="s">
        <v>2145</v>
      </c>
      <c r="K630" s="26" t="s">
        <v>2069</v>
      </c>
      <c r="L630" s="73" t="s">
        <v>75</v>
      </c>
      <c r="M630" s="33">
        <v>27992.63</v>
      </c>
      <c r="N630" s="34">
        <v>29900.0</v>
      </c>
      <c r="O630" s="27" t="s">
        <v>76</v>
      </c>
      <c r="P630" s="35" t="s">
        <v>430</v>
      </c>
      <c r="Q630" s="35" t="s">
        <v>114</v>
      </c>
      <c r="R630" s="36" t="e">
        <v>#VALUE!</v>
      </c>
      <c r="S630" s="35" t="s">
        <v>683</v>
      </c>
      <c r="T630" s="35" t="s">
        <v>78</v>
      </c>
      <c r="U630" s="37" t="s">
        <v>115</v>
      </c>
      <c r="V630" s="38">
        <v>1150000.0</v>
      </c>
      <c r="W630" s="38"/>
      <c r="X630" s="27"/>
      <c r="Y630" s="39"/>
      <c r="Z630" s="79" t="s">
        <v>2146</v>
      </c>
      <c r="AA630" s="39"/>
      <c r="AB630" s="40"/>
      <c r="AC630" s="27">
        <f t="shared" si="453"/>
        <v>0</v>
      </c>
      <c r="AD630" s="41"/>
      <c r="AE630" s="42"/>
      <c r="AF630" s="27"/>
      <c r="AG630" s="43">
        <f>IF(O630="Paid",IF(A630="Alwataniya",(M630*21%)-((M630*21%)*5%),IF((A630="GIG"),(M630*25%)-((M630*25%)*5%),IF((A630="Allianz"),(M630*27%)-((M630*27%)*20%),0))),0)</f>
        <v>6648.249625</v>
      </c>
      <c r="AH630" s="29">
        <v>45237.0</v>
      </c>
      <c r="AI630" s="29">
        <v>45267.0</v>
      </c>
      <c r="AJ630" s="40"/>
      <c r="AK630" s="62" t="s">
        <v>63</v>
      </c>
      <c r="AL630" s="27"/>
      <c r="AM630" s="43">
        <f>(AQ630-AR630-AS630-(M630*15%))*30%</f>
        <v>367.4032688</v>
      </c>
      <c r="AN630" s="47" t="s">
        <v>75</v>
      </c>
      <c r="AO630" s="46"/>
      <c r="AP630" s="47"/>
      <c r="AQ630" s="43">
        <f>M630*25%</f>
        <v>6998.1575</v>
      </c>
      <c r="AR630" s="43">
        <f t="shared" si="448"/>
        <v>349.907875</v>
      </c>
      <c r="AS630" s="43">
        <f t="shared" si="449"/>
        <v>1224.677563</v>
      </c>
      <c r="AT630" s="48">
        <f t="shared" si="450"/>
        <v>5423.572063</v>
      </c>
      <c r="AU630" s="48">
        <f>AQ630-AR630-AS630</f>
        <v>5423.572063</v>
      </c>
      <c r="AV630" s="133">
        <v>85.0</v>
      </c>
      <c r="AW630" s="34">
        <f t="shared" si="451"/>
        <v>29900</v>
      </c>
      <c r="AX630" s="50">
        <f t="shared" si="413"/>
        <v>4971.168794</v>
      </c>
      <c r="AY630" s="43">
        <f>AG630-(AG630*22.5%)</f>
        <v>5152.393459</v>
      </c>
      <c r="AZ630" s="43"/>
      <c r="BA630" s="48">
        <f t="shared" si="486"/>
        <v>5056.168794</v>
      </c>
      <c r="BB630" s="27"/>
      <c r="BC630" s="27"/>
      <c r="BD630" s="51"/>
      <c r="BE630" s="52" t="s">
        <v>440</v>
      </c>
      <c r="BF630" s="27" t="s">
        <v>2143</v>
      </c>
      <c r="BG630" s="53">
        <v>0.0</v>
      </c>
      <c r="BH630" s="53" t="str">
        <f>'[1]2023'!Q920</f>
        <v>#REF!</v>
      </c>
      <c r="BI630" s="27"/>
      <c r="BJ630" s="27"/>
      <c r="BK630" s="27" t="s">
        <v>76</v>
      </c>
      <c r="BL630" s="27"/>
    </row>
    <row r="631" ht="14.25" customHeight="1">
      <c r="A631" s="26" t="s">
        <v>55</v>
      </c>
      <c r="B631" s="26" t="s">
        <v>56</v>
      </c>
      <c r="C631" s="26" t="s">
        <v>57</v>
      </c>
      <c r="D631" s="26" t="s">
        <v>58</v>
      </c>
      <c r="E631" s="27" t="s">
        <v>2147</v>
      </c>
      <c r="F631" s="28" t="s">
        <v>2148</v>
      </c>
      <c r="G631" s="29" t="s">
        <v>2136</v>
      </c>
      <c r="H631" s="30">
        <v>45099.0</v>
      </c>
      <c r="I631" s="30">
        <v>45464.0</v>
      </c>
      <c r="J631" s="31">
        <v>0.0</v>
      </c>
      <c r="K631" s="26" t="s">
        <v>2069</v>
      </c>
      <c r="L631" s="32" t="s">
        <v>75</v>
      </c>
      <c r="M631" s="33">
        <v>3992.29</v>
      </c>
      <c r="N631" s="34">
        <v>4230.0</v>
      </c>
      <c r="O631" s="27" t="s">
        <v>76</v>
      </c>
      <c r="P631" s="35" t="s">
        <v>89</v>
      </c>
      <c r="Q631" s="35" t="s">
        <v>108</v>
      </c>
      <c r="R631" s="36" t="e">
        <v>#VALUE!</v>
      </c>
      <c r="S631" s="35" t="s">
        <v>86</v>
      </c>
      <c r="T631" s="35">
        <v>0.0</v>
      </c>
      <c r="U631" s="37" t="s">
        <v>67</v>
      </c>
      <c r="V631" s="38"/>
      <c r="W631" s="38"/>
      <c r="X631" s="27"/>
      <c r="Y631" s="39"/>
      <c r="Z631" s="39"/>
      <c r="AA631" s="39"/>
      <c r="AB631" s="40"/>
      <c r="AC631" s="27">
        <f t="shared" si="453"/>
        <v>0</v>
      </c>
      <c r="AD631" s="41">
        <f t="shared" ref="AD631:AD632" si="489">IF(AND(S631="0",O631="Paid"),(M631*15%)-AC631,0)</f>
        <v>598.8435</v>
      </c>
      <c r="AE631" s="42"/>
      <c r="AF631" s="77"/>
      <c r="AG631" s="43">
        <f t="shared" ref="AG631:AG640" si="490">IF(O631="Paid",IF(A631="Alwataniya",(M631*21%)-((M631*21%)*5%),IF((A631="GIG"),(M631*25%)-((M631*25%)*5%),IF((A631="Allianz"),(M631*27%)-((M631*27%)*5%),0))),0)</f>
        <v>1024.022385</v>
      </c>
      <c r="AH631" s="29"/>
      <c r="AI631" s="29"/>
      <c r="AJ631" s="29"/>
      <c r="AK631" s="29"/>
      <c r="AL631" s="27"/>
      <c r="AM631" s="44"/>
      <c r="AN631" s="68"/>
      <c r="AO631" s="46"/>
      <c r="AP631" s="47"/>
      <c r="AQ631" s="43">
        <f>IF(U631="Motor Plus",(M631*27%),IF(U631="Motor One",(M631*22%),(IF(U631="Golden",(M631*25%),(IF(U631="Classic",(M631*15%),(IF(U631="Wethaq",(M631*28%),IF(U631="Alwataniya",(M631*21%))*0))))))))</f>
        <v>1077.9183</v>
      </c>
      <c r="AR631" s="43">
        <f t="shared" si="448"/>
        <v>53.895915</v>
      </c>
      <c r="AS631" s="43">
        <f t="shared" si="449"/>
        <v>188.6357025</v>
      </c>
      <c r="AT631" s="48">
        <f t="shared" si="450"/>
        <v>835.3866825</v>
      </c>
      <c r="AU631" s="49">
        <f>AQ631-AR631-AS631-AC631</f>
        <v>835.3866825</v>
      </c>
      <c r="AV631" s="48"/>
      <c r="AW631" s="34">
        <f t="shared" si="451"/>
        <v>3631.1565</v>
      </c>
      <c r="AX631" s="50">
        <f t="shared" si="413"/>
        <v>236.5431825</v>
      </c>
      <c r="AY631" s="43"/>
      <c r="AZ631" s="43"/>
      <c r="BA631" s="48">
        <f t="shared" si="486"/>
        <v>835.3866825</v>
      </c>
      <c r="BB631" s="27"/>
      <c r="BC631" s="27"/>
      <c r="BD631" s="51"/>
      <c r="BE631" s="52"/>
      <c r="BF631" s="27" t="s">
        <v>2147</v>
      </c>
      <c r="BG631" s="53">
        <v>0.0</v>
      </c>
      <c r="BH631" s="53" t="str">
        <f>'[1]2023'!Q924</f>
        <v>#REF!</v>
      </c>
      <c r="BI631" s="27"/>
      <c r="BJ631" s="27"/>
      <c r="BK631" s="27" t="s">
        <v>76</v>
      </c>
      <c r="BL631" s="27"/>
    </row>
    <row r="632" ht="14.25" customHeight="1">
      <c r="A632" s="26" t="s">
        <v>55</v>
      </c>
      <c r="B632" s="26" t="s">
        <v>56</v>
      </c>
      <c r="C632" s="26" t="s">
        <v>57</v>
      </c>
      <c r="D632" s="26" t="s">
        <v>71</v>
      </c>
      <c r="E632" s="27" t="s">
        <v>2149</v>
      </c>
      <c r="F632" s="28" t="s">
        <v>2150</v>
      </c>
      <c r="G632" s="29" t="s">
        <v>2136</v>
      </c>
      <c r="H632" s="30">
        <v>45099.0</v>
      </c>
      <c r="I632" s="30">
        <v>45464.0</v>
      </c>
      <c r="J632" s="31" t="s">
        <v>1231</v>
      </c>
      <c r="K632" s="26" t="s">
        <v>440</v>
      </c>
      <c r="L632" s="32" t="s">
        <v>63</v>
      </c>
      <c r="M632" s="33">
        <v>99337.32</v>
      </c>
      <c r="N632" s="34">
        <v>105339.22</v>
      </c>
      <c r="O632" s="27" t="s">
        <v>64</v>
      </c>
      <c r="P632" s="35">
        <v>0.0</v>
      </c>
      <c r="Q632" s="35" t="s">
        <v>65</v>
      </c>
      <c r="R632" s="36" t="e">
        <v>#VALUE!</v>
      </c>
      <c r="S632" s="35" t="s">
        <v>86</v>
      </c>
      <c r="T632" s="35">
        <v>0.0</v>
      </c>
      <c r="U632" s="37" t="s">
        <v>157</v>
      </c>
      <c r="V632" s="38">
        <v>2781000.0</v>
      </c>
      <c r="W632" s="38"/>
      <c r="X632" s="27"/>
      <c r="Y632" s="39"/>
      <c r="Z632" s="39" t="s">
        <v>2151</v>
      </c>
      <c r="AA632" s="39"/>
      <c r="AB632" s="40">
        <v>0.05</v>
      </c>
      <c r="AC632" s="27">
        <f t="shared" si="453"/>
        <v>4966.866</v>
      </c>
      <c r="AD632" s="41">
        <f t="shared" si="489"/>
        <v>0</v>
      </c>
      <c r="AE632" s="42"/>
      <c r="AF632" s="27"/>
      <c r="AG632" s="43">
        <f t="shared" si="490"/>
        <v>0</v>
      </c>
      <c r="AH632" s="29"/>
      <c r="AI632" s="29"/>
      <c r="AJ632" s="29"/>
      <c r="AK632" s="29"/>
      <c r="AL632" s="27"/>
      <c r="AM632" s="44"/>
      <c r="AN632" s="68"/>
      <c r="AO632" s="46"/>
      <c r="AP632" s="47"/>
      <c r="AQ632" s="43" t="b">
        <f>IF(O632="Paid",IF(U632="Motor Plus",(M632*27%),IF(U632="Motor One",(M632*22%),(IF(U632="Golden",(M632*25%),(IF(U632="Classic",(M632*15%),(IF(U632="Wethaq",(M632*28%),IF(U632="Alwataniya",(M632*21%))*0)))))))))</f>
        <v>0</v>
      </c>
      <c r="AR632" s="43">
        <f t="shared" si="448"/>
        <v>0</v>
      </c>
      <c r="AS632" s="43">
        <f t="shared" si="449"/>
        <v>0</v>
      </c>
      <c r="AT632" s="48">
        <f t="shared" si="450"/>
        <v>0</v>
      </c>
      <c r="AU632" s="49">
        <f>AQ632-AR632-AS632-AC632-AO632</f>
        <v>-4966.866</v>
      </c>
      <c r="AV632" s="48"/>
      <c r="AW632" s="34">
        <f>N632-AC632</f>
        <v>100372.354</v>
      </c>
      <c r="AX632" s="50">
        <f t="shared" si="413"/>
        <v>0</v>
      </c>
      <c r="AY632" s="43"/>
      <c r="AZ632" s="43"/>
      <c r="BA632" s="48">
        <f t="shared" si="486"/>
        <v>-4966.866</v>
      </c>
      <c r="BB632" s="27"/>
      <c r="BC632" s="27"/>
      <c r="BD632" s="51"/>
      <c r="BE632" s="52"/>
      <c r="BF632" s="27" t="s">
        <v>2149</v>
      </c>
      <c r="BG632" s="53">
        <v>0.0</v>
      </c>
      <c r="BH632" s="53" t="str">
        <f>'[1]2023'!Q939</f>
        <v>#REF!</v>
      </c>
      <c r="BI632" s="27"/>
      <c r="BJ632" s="27"/>
      <c r="BK632" s="27" t="s">
        <v>64</v>
      </c>
      <c r="BL632" s="27"/>
    </row>
    <row r="633" ht="14.25" customHeight="1">
      <c r="A633" s="26" t="s">
        <v>55</v>
      </c>
      <c r="B633" s="26" t="s">
        <v>56</v>
      </c>
      <c r="C633" s="26" t="s">
        <v>57</v>
      </c>
      <c r="D633" s="26" t="s">
        <v>81</v>
      </c>
      <c r="E633" s="27" t="s">
        <v>2152</v>
      </c>
      <c r="F633" s="28" t="s">
        <v>2153</v>
      </c>
      <c r="G633" s="29" t="s">
        <v>2154</v>
      </c>
      <c r="H633" s="30">
        <v>45100.0</v>
      </c>
      <c r="I633" s="30">
        <v>45465.0</v>
      </c>
      <c r="J633" s="31">
        <v>0.0</v>
      </c>
      <c r="K633" s="26" t="s">
        <v>440</v>
      </c>
      <c r="L633" s="32" t="s">
        <v>75</v>
      </c>
      <c r="M633" s="33">
        <v>14535.0</v>
      </c>
      <c r="N633" s="34">
        <v>15534.57</v>
      </c>
      <c r="O633" s="27" t="s">
        <v>76</v>
      </c>
      <c r="P633" s="35" t="s">
        <v>122</v>
      </c>
      <c r="Q633" s="35" t="s">
        <v>65</v>
      </c>
      <c r="R633" s="36" t="e">
        <v>#VALUE!</v>
      </c>
      <c r="S633" s="35" t="s">
        <v>86</v>
      </c>
      <c r="T633" s="35">
        <v>0.0</v>
      </c>
      <c r="U633" s="37" t="s">
        <v>67</v>
      </c>
      <c r="V633" s="38"/>
      <c r="W633" s="38"/>
      <c r="X633" s="27"/>
      <c r="Y633" s="39"/>
      <c r="Z633" s="39"/>
      <c r="AA633" s="39"/>
      <c r="AB633" s="40"/>
      <c r="AC633" s="27">
        <f t="shared" si="453"/>
        <v>0</v>
      </c>
      <c r="AD633" s="41"/>
      <c r="AE633" s="42"/>
      <c r="AF633" s="27"/>
      <c r="AG633" s="43">
        <f t="shared" si="490"/>
        <v>3728.2275</v>
      </c>
      <c r="AH633" s="29"/>
      <c r="AI633" s="29"/>
      <c r="AJ633" s="29"/>
      <c r="AK633" s="29"/>
      <c r="AL633" s="27"/>
      <c r="AM633" s="44"/>
      <c r="AN633" s="45"/>
      <c r="AO633" s="46"/>
      <c r="AP633" s="47"/>
      <c r="AQ633" s="43">
        <f>IF(U633="Motor Plus",(M633*27%),IF(U633="Motor One",(M633*22%),(IF(U633="Golden",(M633*25%),(IF(U633="Classic",(M633*15%),(IF(U633="Wethaq",(M633*28%),IF(U633="Alwataniya",(M633*21%))*0))))))))</f>
        <v>3924.45</v>
      </c>
      <c r="AR633" s="43">
        <f t="shared" si="448"/>
        <v>196.2225</v>
      </c>
      <c r="AS633" s="43">
        <f t="shared" si="449"/>
        <v>686.77875</v>
      </c>
      <c r="AT633" s="48">
        <f t="shared" si="450"/>
        <v>3041.44875</v>
      </c>
      <c r="AU633" s="49">
        <f t="shared" ref="AU633:AU639" si="491">AQ633-AR633-AS633-AC633</f>
        <v>3041.44875</v>
      </c>
      <c r="AV633" s="48"/>
      <c r="AW633" s="34">
        <f t="shared" ref="AW633:AW688" si="492">N633-AD633-AE633-AC633</f>
        <v>15534.57</v>
      </c>
      <c r="AX633" s="50">
        <f t="shared" si="413"/>
        <v>3041.44875</v>
      </c>
      <c r="AY633" s="43"/>
      <c r="AZ633" s="43"/>
      <c r="BA633" s="48">
        <f t="shared" si="486"/>
        <v>3041.44875</v>
      </c>
      <c r="BB633" s="27"/>
      <c r="BC633" s="27"/>
      <c r="BD633" s="51"/>
      <c r="BE633" s="52"/>
      <c r="BF633" s="27" t="s">
        <v>2152</v>
      </c>
      <c r="BG633" s="53">
        <v>0.0</v>
      </c>
      <c r="BH633" s="53" t="str">
        <f>'[1]2023'!Q737</f>
        <v>#REF!</v>
      </c>
      <c r="BI633" s="27"/>
      <c r="BJ633" s="27"/>
      <c r="BK633" s="27" t="s">
        <v>76</v>
      </c>
      <c r="BL633" s="27"/>
    </row>
    <row r="634" ht="14.25" customHeight="1">
      <c r="A634" s="26" t="s">
        <v>55</v>
      </c>
      <c r="B634" s="26" t="s">
        <v>56</v>
      </c>
      <c r="C634" s="26" t="s">
        <v>57</v>
      </c>
      <c r="D634" s="26" t="s">
        <v>81</v>
      </c>
      <c r="E634" s="27" t="s">
        <v>2155</v>
      </c>
      <c r="F634" s="28" t="s">
        <v>2156</v>
      </c>
      <c r="G634" s="29" t="s">
        <v>2154</v>
      </c>
      <c r="H634" s="30">
        <v>45100.0</v>
      </c>
      <c r="I634" s="30">
        <v>45465.0</v>
      </c>
      <c r="J634" s="31">
        <v>0.0</v>
      </c>
      <c r="K634" s="26" t="s">
        <v>440</v>
      </c>
      <c r="L634" s="32" t="s">
        <v>63</v>
      </c>
      <c r="M634" s="33">
        <v>0.0</v>
      </c>
      <c r="N634" s="34">
        <v>0.0</v>
      </c>
      <c r="O634" s="27" t="s">
        <v>64</v>
      </c>
      <c r="P634" s="35">
        <v>0.0</v>
      </c>
      <c r="Q634" s="35" t="s">
        <v>90</v>
      </c>
      <c r="R634" s="36" t="e">
        <v>#VALUE!</v>
      </c>
      <c r="S634" s="35" t="s">
        <v>86</v>
      </c>
      <c r="T634" s="35">
        <v>0.0</v>
      </c>
      <c r="U634" s="37" t="s">
        <v>67</v>
      </c>
      <c r="V634" s="38"/>
      <c r="W634" s="38"/>
      <c r="X634" s="27"/>
      <c r="Y634" s="39"/>
      <c r="Z634" s="79" t="s">
        <v>764</v>
      </c>
      <c r="AA634" s="39"/>
      <c r="AB634" s="40"/>
      <c r="AC634" s="27">
        <f t="shared" si="453"/>
        <v>0</v>
      </c>
      <c r="AD634" s="41">
        <f>IF(AND(S634="0",O634="Paid"),(M634*15%)-AC634,0)</f>
        <v>0</v>
      </c>
      <c r="AE634" s="42"/>
      <c r="AF634" s="27"/>
      <c r="AG634" s="43">
        <f t="shared" si="490"/>
        <v>0</v>
      </c>
      <c r="AH634" s="29"/>
      <c r="AI634" s="29"/>
      <c r="AJ634" s="29"/>
      <c r="AK634" s="29"/>
      <c r="AL634" s="27"/>
      <c r="AM634" s="44"/>
      <c r="AN634" s="45"/>
      <c r="AO634" s="46"/>
      <c r="AP634" s="47"/>
      <c r="AQ634" s="43" t="b">
        <f>IF(O634="Paid",IF(U634="Motor Plus",(M634*27%),IF(U634="Motor One",(M634*22%),(IF(U634="Golden",(M634*25%),(IF(U634="Classic",(M634*15%),(IF(U634="Wethaq",(M634*28%),IF(U634="Alwataniya",(M634*21%))*0)))))))))</f>
        <v>0</v>
      </c>
      <c r="AR634" s="43">
        <f t="shared" si="448"/>
        <v>0</v>
      </c>
      <c r="AS634" s="43">
        <f t="shared" si="449"/>
        <v>0</v>
      </c>
      <c r="AT634" s="48">
        <f t="shared" si="450"/>
        <v>0</v>
      </c>
      <c r="AU634" s="49">
        <f t="shared" si="491"/>
        <v>0</v>
      </c>
      <c r="AV634" s="48"/>
      <c r="AW634" s="34">
        <f t="shared" si="492"/>
        <v>0</v>
      </c>
      <c r="AX634" s="50">
        <f t="shared" si="413"/>
        <v>0</v>
      </c>
      <c r="AY634" s="43"/>
      <c r="AZ634" s="43"/>
      <c r="BA634" s="48">
        <f t="shared" si="486"/>
        <v>0</v>
      </c>
      <c r="BB634" s="27"/>
      <c r="BC634" s="27"/>
      <c r="BD634" s="51"/>
      <c r="BE634" s="52"/>
      <c r="BF634" s="27" t="s">
        <v>2155</v>
      </c>
      <c r="BG634" s="58" t="s">
        <v>562</v>
      </c>
      <c r="BH634" s="53" t="str">
        <f>'[1]2023'!Q757</f>
        <v>#REF!</v>
      </c>
      <c r="BI634" s="27"/>
      <c r="BJ634" s="27"/>
      <c r="BK634" s="27" t="s">
        <v>64</v>
      </c>
      <c r="BL634" s="27"/>
    </row>
    <row r="635" ht="14.25" customHeight="1">
      <c r="A635" s="26" t="s">
        <v>55</v>
      </c>
      <c r="B635" s="26" t="s">
        <v>56</v>
      </c>
      <c r="C635" s="26" t="s">
        <v>57</v>
      </c>
      <c r="D635" s="26" t="s">
        <v>81</v>
      </c>
      <c r="E635" s="27" t="s">
        <v>2157</v>
      </c>
      <c r="F635" s="28" t="s">
        <v>2158</v>
      </c>
      <c r="G635" s="29" t="s">
        <v>2154</v>
      </c>
      <c r="H635" s="30">
        <v>45100.0</v>
      </c>
      <c r="I635" s="30">
        <v>45465.0</v>
      </c>
      <c r="J635" s="31">
        <v>0.0</v>
      </c>
      <c r="K635" s="26" t="s">
        <v>440</v>
      </c>
      <c r="L635" s="69">
        <v>45118.0</v>
      </c>
      <c r="M635" s="33">
        <v>18200.0</v>
      </c>
      <c r="N635" s="34">
        <v>19415.0</v>
      </c>
      <c r="O635" s="27" t="s">
        <v>76</v>
      </c>
      <c r="P635" s="35" t="s">
        <v>162</v>
      </c>
      <c r="Q635" s="35" t="s">
        <v>65</v>
      </c>
      <c r="R635" s="36" t="e">
        <v>#VALUE!</v>
      </c>
      <c r="S635" s="35" t="s">
        <v>86</v>
      </c>
      <c r="T635" s="54" t="s">
        <v>163</v>
      </c>
      <c r="U635" s="37" t="s">
        <v>67</v>
      </c>
      <c r="V635" s="38"/>
      <c r="W635" s="38"/>
      <c r="X635" s="27"/>
      <c r="Y635" s="39"/>
      <c r="Z635" s="39"/>
      <c r="AA635" s="39"/>
      <c r="AB635" s="40">
        <v>0.05</v>
      </c>
      <c r="AC635" s="27">
        <f t="shared" si="453"/>
        <v>910</v>
      </c>
      <c r="AD635" s="41"/>
      <c r="AE635" s="42"/>
      <c r="AF635" s="27"/>
      <c r="AG635" s="43">
        <f t="shared" si="490"/>
        <v>4668.3</v>
      </c>
      <c r="AH635" s="29"/>
      <c r="AI635" s="29"/>
      <c r="AJ635" s="29"/>
      <c r="AK635" s="29"/>
      <c r="AL635" s="27"/>
      <c r="AM635" s="44"/>
      <c r="AN635" s="45"/>
      <c r="AO635" s="70">
        <f>M635*15%-AC635</f>
        <v>1820</v>
      </c>
      <c r="AP635" s="71">
        <v>45267.0</v>
      </c>
      <c r="AQ635" s="43">
        <f t="shared" ref="AQ635:AQ639" si="493">IF(U635="Motor Plus",(M635*27%),IF(U635="Motor One",(M635*22%),(IF(U635="Golden",(M635*25%),(IF(U635="Classic",(M635*15%),(IF(U635="Wethaq",(M635*28%),IF(U635="Alwataniya",(M635*21%))*0))))))))</f>
        <v>4914</v>
      </c>
      <c r="AR635" s="43">
        <f t="shared" si="448"/>
        <v>245.7</v>
      </c>
      <c r="AS635" s="43">
        <f t="shared" si="449"/>
        <v>859.95</v>
      </c>
      <c r="AT635" s="48">
        <f t="shared" si="450"/>
        <v>3808.35</v>
      </c>
      <c r="AU635" s="49">
        <f t="shared" si="491"/>
        <v>2898.35</v>
      </c>
      <c r="AV635" s="48"/>
      <c r="AW635" s="34">
        <f t="shared" si="492"/>
        <v>18505</v>
      </c>
      <c r="AX635" s="50">
        <f t="shared" si="413"/>
        <v>1988.35</v>
      </c>
      <c r="AY635" s="43"/>
      <c r="AZ635" s="43"/>
      <c r="BA635" s="48">
        <f t="shared" si="486"/>
        <v>1078.35</v>
      </c>
      <c r="BB635" s="27"/>
      <c r="BC635" s="27"/>
      <c r="BD635" s="51"/>
      <c r="BE635" s="52"/>
      <c r="BF635" s="27" t="s">
        <v>2157</v>
      </c>
      <c r="BG635" s="53">
        <v>0.0</v>
      </c>
      <c r="BH635" s="53" t="str">
        <f>'[1]2023'!Q838</f>
        <v>#REF!</v>
      </c>
      <c r="BI635" s="27"/>
      <c r="BJ635" s="27"/>
      <c r="BK635" s="27" t="s">
        <v>76</v>
      </c>
      <c r="BL635" s="27"/>
    </row>
    <row r="636" ht="14.25" customHeight="1">
      <c r="A636" s="26" t="s">
        <v>55</v>
      </c>
      <c r="B636" s="26" t="s">
        <v>56</v>
      </c>
      <c r="C636" s="26" t="s">
        <v>57</v>
      </c>
      <c r="D636" s="26" t="s">
        <v>81</v>
      </c>
      <c r="E636" s="27" t="s">
        <v>2159</v>
      </c>
      <c r="F636" s="28" t="s">
        <v>2160</v>
      </c>
      <c r="G636" s="29" t="s">
        <v>2161</v>
      </c>
      <c r="H636" s="30">
        <v>45101.0</v>
      </c>
      <c r="I636" s="30">
        <v>45466.0</v>
      </c>
      <c r="J636" s="31">
        <v>0.0</v>
      </c>
      <c r="K636" s="26" t="s">
        <v>440</v>
      </c>
      <c r="L636" s="32" t="s">
        <v>75</v>
      </c>
      <c r="M636" s="33">
        <v>21450.0</v>
      </c>
      <c r="N636" s="34">
        <v>22856.55</v>
      </c>
      <c r="O636" s="27" t="s">
        <v>76</v>
      </c>
      <c r="P636" s="35" t="s">
        <v>89</v>
      </c>
      <c r="Q636" s="35" t="s">
        <v>85</v>
      </c>
      <c r="R636" s="36" t="e">
        <v>#VALUE!</v>
      </c>
      <c r="S636" s="35" t="s">
        <v>86</v>
      </c>
      <c r="T636" s="35">
        <v>0.0</v>
      </c>
      <c r="U636" s="37" t="s">
        <v>67</v>
      </c>
      <c r="V636" s="38"/>
      <c r="W636" s="38"/>
      <c r="X636" s="27"/>
      <c r="Y636" s="39"/>
      <c r="Z636" s="39"/>
      <c r="AA636" s="39"/>
      <c r="AB636" s="40"/>
      <c r="AC636" s="27">
        <f t="shared" si="453"/>
        <v>0</v>
      </c>
      <c r="AD636" s="41">
        <f t="shared" ref="AD636:AD640" si="494">IF(AND(S636="0",O636="Paid"),(M636*15%)-AC636,0)</f>
        <v>3217.5</v>
      </c>
      <c r="AE636" s="42"/>
      <c r="AF636" s="27"/>
      <c r="AG636" s="43">
        <f t="shared" si="490"/>
        <v>5501.925</v>
      </c>
      <c r="AH636" s="29"/>
      <c r="AI636" s="29"/>
      <c r="AJ636" s="29"/>
      <c r="AK636" s="29"/>
      <c r="AL636" s="27"/>
      <c r="AM636" s="44"/>
      <c r="AN636" s="45"/>
      <c r="AO636" s="46"/>
      <c r="AP636" s="47"/>
      <c r="AQ636" s="43">
        <f t="shared" si="493"/>
        <v>5791.5</v>
      </c>
      <c r="AR636" s="43">
        <f t="shared" si="448"/>
        <v>289.575</v>
      </c>
      <c r="AS636" s="43">
        <f t="shared" si="449"/>
        <v>1013.5125</v>
      </c>
      <c r="AT636" s="48">
        <f t="shared" si="450"/>
        <v>4488.4125</v>
      </c>
      <c r="AU636" s="49">
        <f t="shared" si="491"/>
        <v>4488.4125</v>
      </c>
      <c r="AV636" s="48"/>
      <c r="AW636" s="34">
        <f t="shared" si="492"/>
        <v>19639.05</v>
      </c>
      <c r="AX636" s="50">
        <f t="shared" si="413"/>
        <v>1270.9125</v>
      </c>
      <c r="AY636" s="43"/>
      <c r="AZ636" s="43"/>
      <c r="BA636" s="48">
        <f t="shared" si="486"/>
        <v>4488.4125</v>
      </c>
      <c r="BB636" s="27"/>
      <c r="BC636" s="27"/>
      <c r="BD636" s="51"/>
      <c r="BE636" s="52"/>
      <c r="BF636" s="27" t="s">
        <v>2159</v>
      </c>
      <c r="BG636" s="53">
        <v>0.0</v>
      </c>
      <c r="BH636" s="53" t="str">
        <f>'[1]2023'!Q739</f>
        <v>#REF!</v>
      </c>
      <c r="BI636" s="27"/>
      <c r="BJ636" s="27"/>
      <c r="BK636" s="27" t="s">
        <v>76</v>
      </c>
      <c r="BL636" s="27"/>
    </row>
    <row r="637" ht="14.25" customHeight="1">
      <c r="A637" s="26" t="s">
        <v>55</v>
      </c>
      <c r="B637" s="26" t="s">
        <v>56</v>
      </c>
      <c r="C637" s="26" t="s">
        <v>57</v>
      </c>
      <c r="D637" s="26" t="s">
        <v>81</v>
      </c>
      <c r="E637" s="27" t="s">
        <v>2162</v>
      </c>
      <c r="F637" s="28" t="s">
        <v>2163</v>
      </c>
      <c r="G637" s="29" t="s">
        <v>2161</v>
      </c>
      <c r="H637" s="30">
        <v>45101.0</v>
      </c>
      <c r="I637" s="30">
        <v>45466.0</v>
      </c>
      <c r="J637" s="31">
        <v>0.0</v>
      </c>
      <c r="K637" s="26" t="s">
        <v>440</v>
      </c>
      <c r="L637" s="32" t="s">
        <v>2164</v>
      </c>
      <c r="M637" s="33">
        <v>35400.0</v>
      </c>
      <c r="N637" s="34">
        <v>37629.6</v>
      </c>
      <c r="O637" s="27" t="s">
        <v>76</v>
      </c>
      <c r="P637" s="35" t="s">
        <v>89</v>
      </c>
      <c r="Q637" s="35" t="s">
        <v>90</v>
      </c>
      <c r="R637" s="36" t="e">
        <v>#VALUE!</v>
      </c>
      <c r="S637" s="35" t="s">
        <v>86</v>
      </c>
      <c r="T637" s="35">
        <v>0.0</v>
      </c>
      <c r="U637" s="37" t="s">
        <v>67</v>
      </c>
      <c r="V637" s="38"/>
      <c r="W637" s="38"/>
      <c r="X637" s="27"/>
      <c r="Y637" s="39"/>
      <c r="Z637" s="39"/>
      <c r="AA637" s="39"/>
      <c r="AB637" s="40"/>
      <c r="AC637" s="27">
        <f t="shared" si="453"/>
        <v>0</v>
      </c>
      <c r="AD637" s="41">
        <f t="shared" si="494"/>
        <v>5310</v>
      </c>
      <c r="AE637" s="42"/>
      <c r="AF637" s="27"/>
      <c r="AG637" s="43">
        <f t="shared" si="490"/>
        <v>9080.1</v>
      </c>
      <c r="AH637" s="29"/>
      <c r="AI637" s="29"/>
      <c r="AJ637" s="29"/>
      <c r="AK637" s="29"/>
      <c r="AL637" s="27"/>
      <c r="AM637" s="44"/>
      <c r="AN637" s="45"/>
      <c r="AO637" s="46"/>
      <c r="AP637" s="47"/>
      <c r="AQ637" s="43">
        <f t="shared" si="493"/>
        <v>9558</v>
      </c>
      <c r="AR637" s="43">
        <f t="shared" si="448"/>
        <v>477.9</v>
      </c>
      <c r="AS637" s="43">
        <f t="shared" si="449"/>
        <v>1672.65</v>
      </c>
      <c r="AT637" s="48">
        <f t="shared" si="450"/>
        <v>7407.45</v>
      </c>
      <c r="AU637" s="49">
        <f t="shared" si="491"/>
        <v>7407.45</v>
      </c>
      <c r="AV637" s="48"/>
      <c r="AW637" s="34">
        <f t="shared" si="492"/>
        <v>32319.6</v>
      </c>
      <c r="AX637" s="50">
        <f t="shared" si="413"/>
        <v>2097.45</v>
      </c>
      <c r="AY637" s="43"/>
      <c r="AZ637" s="43"/>
      <c r="BA637" s="48">
        <f t="shared" si="486"/>
        <v>7407.45</v>
      </c>
      <c r="BB637" s="27"/>
      <c r="BC637" s="27"/>
      <c r="BD637" s="51"/>
      <c r="BE637" s="52"/>
      <c r="BF637" s="27" t="s">
        <v>2162</v>
      </c>
      <c r="BG637" s="53">
        <v>0.0</v>
      </c>
      <c r="BH637" s="53" t="str">
        <f>'[1]2023'!Q754</f>
        <v>#REF!</v>
      </c>
      <c r="BI637" s="27"/>
      <c r="BJ637" s="27"/>
      <c r="BK637" s="27" t="s">
        <v>76</v>
      </c>
      <c r="BL637" s="27"/>
    </row>
    <row r="638" ht="14.25" customHeight="1">
      <c r="A638" s="26" t="s">
        <v>55</v>
      </c>
      <c r="B638" s="26" t="s">
        <v>56</v>
      </c>
      <c r="C638" s="26" t="s">
        <v>57</v>
      </c>
      <c r="D638" s="26" t="s">
        <v>81</v>
      </c>
      <c r="E638" s="27" t="s">
        <v>2165</v>
      </c>
      <c r="F638" s="28" t="s">
        <v>2166</v>
      </c>
      <c r="G638" s="29" t="s">
        <v>2161</v>
      </c>
      <c r="H638" s="30">
        <v>45101.0</v>
      </c>
      <c r="I638" s="30">
        <v>45466.0</v>
      </c>
      <c r="J638" s="31">
        <v>0.0</v>
      </c>
      <c r="K638" s="26" t="s">
        <v>440</v>
      </c>
      <c r="L638" s="89">
        <v>45113.0</v>
      </c>
      <c r="M638" s="33">
        <v>13275.0</v>
      </c>
      <c r="N638" s="34">
        <v>14199.23</v>
      </c>
      <c r="O638" s="27" t="s">
        <v>76</v>
      </c>
      <c r="P638" s="35" t="s">
        <v>122</v>
      </c>
      <c r="Q638" s="35">
        <v>0.0</v>
      </c>
      <c r="R638" s="36" t="e">
        <v>#VALUE!</v>
      </c>
      <c r="S638" s="35" t="s">
        <v>86</v>
      </c>
      <c r="T638" s="35">
        <v>0.0</v>
      </c>
      <c r="U638" s="37" t="s">
        <v>67</v>
      </c>
      <c r="V638" s="38"/>
      <c r="W638" s="38"/>
      <c r="X638" s="27"/>
      <c r="Y638" s="39"/>
      <c r="Z638" s="39"/>
      <c r="AA638" s="39"/>
      <c r="AB638" s="40"/>
      <c r="AC638" s="27">
        <f t="shared" si="453"/>
        <v>0</v>
      </c>
      <c r="AD638" s="41">
        <f t="shared" si="494"/>
        <v>1991.25</v>
      </c>
      <c r="AE638" s="42"/>
      <c r="AF638" s="27"/>
      <c r="AG638" s="43">
        <f t="shared" si="490"/>
        <v>3405.0375</v>
      </c>
      <c r="AH638" s="29"/>
      <c r="AI638" s="29"/>
      <c r="AJ638" s="29"/>
      <c r="AK638" s="29"/>
      <c r="AL638" s="27"/>
      <c r="AM638" s="44"/>
      <c r="AN638" s="45"/>
      <c r="AO638" s="46"/>
      <c r="AP638" s="47"/>
      <c r="AQ638" s="43">
        <f t="shared" si="493"/>
        <v>3584.25</v>
      </c>
      <c r="AR638" s="43">
        <f t="shared" si="448"/>
        <v>179.2125</v>
      </c>
      <c r="AS638" s="43">
        <f t="shared" si="449"/>
        <v>627.24375</v>
      </c>
      <c r="AT638" s="48">
        <f t="shared" si="450"/>
        <v>2777.79375</v>
      </c>
      <c r="AU638" s="49">
        <f t="shared" si="491"/>
        <v>2777.79375</v>
      </c>
      <c r="AV638" s="48"/>
      <c r="AW638" s="34">
        <f t="shared" si="492"/>
        <v>12207.98</v>
      </c>
      <c r="AX638" s="50">
        <f t="shared" si="413"/>
        <v>786.54375</v>
      </c>
      <c r="AY638" s="43"/>
      <c r="AZ638" s="43"/>
      <c r="BA638" s="48">
        <f t="shared" si="486"/>
        <v>2777.79375</v>
      </c>
      <c r="BB638" s="27"/>
      <c r="BC638" s="27"/>
      <c r="BD638" s="51"/>
      <c r="BE638" s="52"/>
      <c r="BF638" s="27" t="s">
        <v>2165</v>
      </c>
      <c r="BG638" s="53">
        <v>0.0</v>
      </c>
      <c r="BH638" s="53" t="str">
        <f>'[1]2023'!Q778</f>
        <v>#REF!</v>
      </c>
      <c r="BI638" s="27"/>
      <c r="BJ638" s="27"/>
      <c r="BK638" s="27" t="s">
        <v>76</v>
      </c>
      <c r="BL638" s="27"/>
    </row>
    <row r="639" ht="14.25" customHeight="1">
      <c r="A639" s="26" t="s">
        <v>55</v>
      </c>
      <c r="B639" s="26" t="s">
        <v>56</v>
      </c>
      <c r="C639" s="26" t="s">
        <v>57</v>
      </c>
      <c r="D639" s="26" t="s">
        <v>81</v>
      </c>
      <c r="E639" s="27" t="s">
        <v>2167</v>
      </c>
      <c r="F639" s="28" t="s">
        <v>2168</v>
      </c>
      <c r="G639" s="29" t="s">
        <v>2161</v>
      </c>
      <c r="H639" s="30">
        <v>45101.0</v>
      </c>
      <c r="I639" s="30">
        <v>45466.0</v>
      </c>
      <c r="J639" s="31">
        <v>0.0</v>
      </c>
      <c r="K639" s="26" t="s">
        <v>440</v>
      </c>
      <c r="L639" s="73" t="s">
        <v>483</v>
      </c>
      <c r="M639" s="33">
        <v>25075.0</v>
      </c>
      <c r="N639" s="34">
        <v>26695.42</v>
      </c>
      <c r="O639" s="27" t="s">
        <v>76</v>
      </c>
      <c r="P639" s="35" t="s">
        <v>142</v>
      </c>
      <c r="Q639" s="35" t="s">
        <v>90</v>
      </c>
      <c r="R639" s="36" t="e">
        <v>#VALUE!</v>
      </c>
      <c r="S639" s="35" t="s">
        <v>86</v>
      </c>
      <c r="T639" s="35">
        <v>0.0</v>
      </c>
      <c r="U639" s="37" t="s">
        <v>67</v>
      </c>
      <c r="V639" s="38"/>
      <c r="W639" s="38"/>
      <c r="X639" s="27"/>
      <c r="Y639" s="39"/>
      <c r="Z639" s="79" t="s">
        <v>232</v>
      </c>
      <c r="AA639" s="39"/>
      <c r="AB639" s="40"/>
      <c r="AC639" s="27">
        <f t="shared" si="453"/>
        <v>0</v>
      </c>
      <c r="AD639" s="41">
        <f t="shared" si="494"/>
        <v>3761.25</v>
      </c>
      <c r="AE639" s="42"/>
      <c r="AF639" s="29" t="s">
        <v>483</v>
      </c>
      <c r="AG639" s="43">
        <f t="shared" si="490"/>
        <v>6431.7375</v>
      </c>
      <c r="AH639" s="29"/>
      <c r="AI639" s="29"/>
      <c r="AJ639" s="29"/>
      <c r="AK639" s="29"/>
      <c r="AL639" s="27"/>
      <c r="AM639" s="27"/>
      <c r="AN639" s="63"/>
      <c r="AO639" s="46"/>
      <c r="AP639" s="47"/>
      <c r="AQ639" s="43">
        <f t="shared" si="493"/>
        <v>6770.25</v>
      </c>
      <c r="AR639" s="43">
        <f t="shared" si="448"/>
        <v>338.5125</v>
      </c>
      <c r="AS639" s="43">
        <f t="shared" si="449"/>
        <v>1184.79375</v>
      </c>
      <c r="AT639" s="48">
        <f t="shared" si="450"/>
        <v>5246.94375</v>
      </c>
      <c r="AU639" s="49">
        <f t="shared" si="491"/>
        <v>5246.94375</v>
      </c>
      <c r="AV639" s="48"/>
      <c r="AW639" s="34">
        <f t="shared" si="492"/>
        <v>22934.17</v>
      </c>
      <c r="AX639" s="50">
        <f t="shared" si="413"/>
        <v>1485.69375</v>
      </c>
      <c r="AY639" s="43"/>
      <c r="AZ639" s="43"/>
      <c r="BA639" s="48">
        <f t="shared" si="486"/>
        <v>5246.94375</v>
      </c>
      <c r="BB639" s="27"/>
      <c r="BC639" s="27"/>
      <c r="BD639" s="51"/>
      <c r="BE639" s="52"/>
      <c r="BF639" s="27" t="s">
        <v>2167</v>
      </c>
      <c r="BG639" s="53">
        <v>0.0</v>
      </c>
      <c r="BH639" s="53" t="str">
        <f>'[1]2023'!Q835</f>
        <v>#REF!</v>
      </c>
      <c r="BI639" s="27"/>
      <c r="BJ639" s="27"/>
      <c r="BK639" s="27" t="s">
        <v>76</v>
      </c>
      <c r="BL639" s="27"/>
    </row>
    <row r="640" ht="14.25" customHeight="1">
      <c r="A640" s="26" t="s">
        <v>55</v>
      </c>
      <c r="B640" s="26" t="s">
        <v>56</v>
      </c>
      <c r="C640" s="26" t="s">
        <v>57</v>
      </c>
      <c r="D640" s="26" t="s">
        <v>81</v>
      </c>
      <c r="E640" s="27" t="s">
        <v>2169</v>
      </c>
      <c r="F640" s="28" t="s">
        <v>2170</v>
      </c>
      <c r="G640" s="29">
        <v>45101.0</v>
      </c>
      <c r="H640" s="30">
        <v>45101.0</v>
      </c>
      <c r="I640" s="30">
        <v>45466.0</v>
      </c>
      <c r="J640" s="31">
        <v>0.0</v>
      </c>
      <c r="K640" s="26" t="s">
        <v>440</v>
      </c>
      <c r="L640" s="32" t="s">
        <v>63</v>
      </c>
      <c r="M640" s="33">
        <v>0.0</v>
      </c>
      <c r="N640" s="34">
        <v>0.0</v>
      </c>
      <c r="O640" s="27" t="s">
        <v>64</v>
      </c>
      <c r="P640" s="35">
        <v>0.0</v>
      </c>
      <c r="Q640" s="35">
        <v>0.0</v>
      </c>
      <c r="R640" s="36">
        <v>45101.0</v>
      </c>
      <c r="S640" s="35" t="s">
        <v>86</v>
      </c>
      <c r="T640" s="35">
        <v>0.0</v>
      </c>
      <c r="U640" s="37" t="s">
        <v>67</v>
      </c>
      <c r="V640" s="38"/>
      <c r="W640" s="38"/>
      <c r="X640" s="27"/>
      <c r="Y640" s="39"/>
      <c r="Z640" s="39"/>
      <c r="AA640" s="39"/>
      <c r="AB640" s="40"/>
      <c r="AC640" s="27">
        <f t="shared" si="453"/>
        <v>0</v>
      </c>
      <c r="AD640" s="41">
        <f t="shared" si="494"/>
        <v>0</v>
      </c>
      <c r="AE640" s="42"/>
      <c r="AF640" s="27"/>
      <c r="AG640" s="43">
        <f t="shared" si="490"/>
        <v>0</v>
      </c>
      <c r="AH640" s="29"/>
      <c r="AI640" s="29"/>
      <c r="AJ640" s="29"/>
      <c r="AK640" s="29"/>
      <c r="AL640" s="27"/>
      <c r="AM640" s="27"/>
      <c r="AN640" s="47"/>
      <c r="AO640" s="46"/>
      <c r="AP640" s="47"/>
      <c r="AQ640" s="43" t="b">
        <f>IF(O640="Paid",IF(U640="Motor Plus",(M640*27%),IF(U640="Motor One",(M640*22%),(IF(U640="Golden",(M640*25%),(IF(U640="Classic",(M640*15%),(IF(U640="Wethaq",(M640*28%),IF(U640="Alwataniya",(M640*21%))*0)))))))))</f>
        <v>0</v>
      </c>
      <c r="AR640" s="43">
        <f t="shared" si="448"/>
        <v>0</v>
      </c>
      <c r="AS640" s="43">
        <f t="shared" si="449"/>
        <v>0</v>
      </c>
      <c r="AT640" s="48">
        <f t="shared" si="450"/>
        <v>0</v>
      </c>
      <c r="AU640" s="49">
        <f>AQ640-AR640-AS640-AC640-AO640</f>
        <v>0</v>
      </c>
      <c r="AV640" s="48"/>
      <c r="AW640" s="34">
        <f t="shared" si="492"/>
        <v>0</v>
      </c>
      <c r="AX640" s="50">
        <f t="shared" si="413"/>
        <v>0</v>
      </c>
      <c r="AY640" s="43"/>
      <c r="AZ640" s="43"/>
      <c r="BA640" s="48">
        <f t="shared" si="486"/>
        <v>0</v>
      </c>
      <c r="BB640" s="27"/>
      <c r="BC640" s="27"/>
      <c r="BD640" s="51"/>
      <c r="BE640" s="52"/>
      <c r="BF640" s="27" t="s">
        <v>2169</v>
      </c>
      <c r="BG640" s="53">
        <v>0.0</v>
      </c>
      <c r="BH640" s="53" t="str">
        <f>'[1]2023'!Q911</f>
        <v>#REF!</v>
      </c>
      <c r="BI640" s="27"/>
      <c r="BJ640" s="27"/>
      <c r="BK640" s="27" t="s">
        <v>64</v>
      </c>
      <c r="BL640" s="27"/>
    </row>
    <row r="641" ht="14.25" customHeight="1">
      <c r="A641" s="26" t="s">
        <v>2171</v>
      </c>
      <c r="B641" s="26" t="s">
        <v>1099</v>
      </c>
      <c r="C641" s="26" t="s">
        <v>70</v>
      </c>
      <c r="D641" s="26" t="s">
        <v>71</v>
      </c>
      <c r="E641" s="27" t="s">
        <v>2172</v>
      </c>
      <c r="F641" s="28" t="s">
        <v>2173</v>
      </c>
      <c r="G641" s="29" t="s">
        <v>2174</v>
      </c>
      <c r="H641" s="30">
        <v>45102.0</v>
      </c>
      <c r="I641" s="30">
        <v>45467.0</v>
      </c>
      <c r="J641" s="31">
        <v>0.0</v>
      </c>
      <c r="K641" s="26" t="s">
        <v>440</v>
      </c>
      <c r="L641" s="32" t="s">
        <v>75</v>
      </c>
      <c r="M641" s="33">
        <v>0.0</v>
      </c>
      <c r="N641" s="34">
        <v>224791.0</v>
      </c>
      <c r="O641" s="27" t="s">
        <v>76</v>
      </c>
      <c r="P641" s="35" t="s">
        <v>77</v>
      </c>
      <c r="Q641" s="35">
        <v>0.0</v>
      </c>
      <c r="R641" s="36" t="e">
        <v>#VALUE!</v>
      </c>
      <c r="S641" s="35" t="s">
        <v>78</v>
      </c>
      <c r="T641" s="54" t="s">
        <v>79</v>
      </c>
      <c r="U641" s="37" t="s">
        <v>1099</v>
      </c>
      <c r="V641" s="38"/>
      <c r="W641" s="38"/>
      <c r="X641" s="27"/>
      <c r="Y641" s="39"/>
      <c r="Z641" s="39"/>
      <c r="AA641" s="39"/>
      <c r="AB641" s="40"/>
      <c r="AC641" s="27">
        <f t="shared" si="453"/>
        <v>0</v>
      </c>
      <c r="AD641" s="41"/>
      <c r="AE641" s="42"/>
      <c r="AF641" s="27"/>
      <c r="AG641" s="43">
        <f>(N641*10%)-((N641*10%)*5%)</f>
        <v>21355.145</v>
      </c>
      <c r="AH641" s="29" t="s">
        <v>2175</v>
      </c>
      <c r="AI641" s="29" t="s">
        <v>2099</v>
      </c>
      <c r="AJ641" s="55">
        <v>0.1</v>
      </c>
      <c r="AK641" s="29" t="s">
        <v>2175</v>
      </c>
      <c r="AL641" s="27"/>
      <c r="AM641" s="27"/>
      <c r="AN641" s="56"/>
      <c r="AO641" s="46">
        <f>((N641*AJ641)-((N641*AJ641)*22.5%))*70%</f>
        <v>12194.91175</v>
      </c>
      <c r="AP641" s="57">
        <v>45177.0</v>
      </c>
      <c r="AQ641" s="43">
        <f>N641*AJ641</f>
        <v>22479.1</v>
      </c>
      <c r="AR641" s="43">
        <f t="shared" si="448"/>
        <v>1123.955</v>
      </c>
      <c r="AS641" s="43">
        <f t="shared" si="449"/>
        <v>3933.8425</v>
      </c>
      <c r="AT641" s="48">
        <f t="shared" si="450"/>
        <v>17421.3025</v>
      </c>
      <c r="AU641" s="49">
        <f t="shared" ref="AU641:AU642" si="495">AQ641-AR641-AS641-AC641</f>
        <v>17421.3025</v>
      </c>
      <c r="AV641" s="48"/>
      <c r="AW641" s="34">
        <f t="shared" si="492"/>
        <v>224791</v>
      </c>
      <c r="AX641" s="50">
        <f t="shared" si="413"/>
        <v>5226.39075</v>
      </c>
      <c r="AY641" s="43"/>
      <c r="AZ641" s="43"/>
      <c r="BA641" s="48" t="str">
        <f>IF(S641&lt;&gt;0,AU641-#REF!-AM641,(AG641-AD641-AE641-AS641))</f>
        <v>#REF!</v>
      </c>
      <c r="BB641" s="27"/>
      <c r="BC641" s="27"/>
      <c r="BD641" s="51"/>
      <c r="BE641" s="52"/>
      <c r="BF641" s="27" t="s">
        <v>2172</v>
      </c>
      <c r="BG641" s="53">
        <v>0.0</v>
      </c>
      <c r="BH641" s="53" t="str">
        <f>'[1]2023'!Q879</f>
        <v>#REF!</v>
      </c>
      <c r="BI641" s="27"/>
      <c r="BJ641" s="27"/>
      <c r="BK641" s="27" t="s">
        <v>76</v>
      </c>
      <c r="BL641" s="27"/>
    </row>
    <row r="642" ht="14.25" customHeight="1">
      <c r="A642" s="26" t="s">
        <v>68</v>
      </c>
      <c r="B642" s="26" t="s">
        <v>56</v>
      </c>
      <c r="C642" s="26" t="s">
        <v>57</v>
      </c>
      <c r="D642" s="26" t="s">
        <v>71</v>
      </c>
      <c r="E642" s="27" t="s">
        <v>2176</v>
      </c>
      <c r="F642" s="28" t="s">
        <v>2177</v>
      </c>
      <c r="G642" s="29" t="s">
        <v>2174</v>
      </c>
      <c r="H642" s="30">
        <v>45102.0</v>
      </c>
      <c r="I642" s="30">
        <v>45467.0</v>
      </c>
      <c r="J642" s="31" t="s">
        <v>2178</v>
      </c>
      <c r="K642" s="26" t="s">
        <v>2069</v>
      </c>
      <c r="L642" s="69">
        <v>45120.0</v>
      </c>
      <c r="M642" s="33">
        <v>12548.38</v>
      </c>
      <c r="N642" s="34">
        <v>13500.0</v>
      </c>
      <c r="O642" s="27" t="s">
        <v>76</v>
      </c>
      <c r="P642" s="35" t="s">
        <v>142</v>
      </c>
      <c r="Q642" s="35" t="s">
        <v>90</v>
      </c>
      <c r="R642" s="36" t="e">
        <v>#VALUE!</v>
      </c>
      <c r="S642" s="35" t="s">
        <v>86</v>
      </c>
      <c r="T642" s="35">
        <v>0.0</v>
      </c>
      <c r="U642" s="37" t="s">
        <v>68</v>
      </c>
      <c r="V642" s="38">
        <v>600000.0</v>
      </c>
      <c r="W642" s="38"/>
      <c r="X642" s="27"/>
      <c r="Y642" s="39"/>
      <c r="Z642" s="39" t="s">
        <v>2179</v>
      </c>
      <c r="AA642" s="39"/>
      <c r="AB642" s="40"/>
      <c r="AC642" s="27">
        <f t="shared" si="453"/>
        <v>0</v>
      </c>
      <c r="AD642" s="41">
        <f t="shared" ref="AD642:AD644" si="496">IF(AND(S642="0",O642="Paid"),(M642*15%)-AC642,0)</f>
        <v>1882.257</v>
      </c>
      <c r="AE642" s="42">
        <v>400.0</v>
      </c>
      <c r="AF642" s="27" t="s">
        <v>75</v>
      </c>
      <c r="AG642" s="43">
        <f>IF(O642="Paid",IF(A642="Wethaq",(M642*24%)-((M642*24%)*5%)))</f>
        <v>2861.03064</v>
      </c>
      <c r="AH642" s="29">
        <v>45115.0</v>
      </c>
      <c r="AI642" s="29">
        <v>45177.0</v>
      </c>
      <c r="AJ642" s="97">
        <v>0.24</v>
      </c>
      <c r="AK642" s="29">
        <v>45115.0</v>
      </c>
      <c r="AL642" s="27"/>
      <c r="AM642" s="44"/>
      <c r="AN642" s="68"/>
      <c r="AO642" s="46"/>
      <c r="AP642" s="47"/>
      <c r="AQ642" s="43">
        <f>M642*AJ642</f>
        <v>3011.6112</v>
      </c>
      <c r="AR642" s="43">
        <f t="shared" si="448"/>
        <v>150.58056</v>
      </c>
      <c r="AS642" s="43">
        <f t="shared" si="449"/>
        <v>527.03196</v>
      </c>
      <c r="AT642" s="48">
        <f t="shared" si="450"/>
        <v>2333.99868</v>
      </c>
      <c r="AU642" s="49">
        <f t="shared" si="495"/>
        <v>2333.99868</v>
      </c>
      <c r="AV642" s="48"/>
      <c r="AW642" s="34">
        <f t="shared" si="492"/>
        <v>11217.743</v>
      </c>
      <c r="AX642" s="113">
        <f t="shared" si="413"/>
        <v>51.74168</v>
      </c>
      <c r="AY642" s="43"/>
      <c r="AZ642" s="43">
        <f>IF(AJ642&lt;28%,M642*(28%-AJ642)-((M642*(28%-AJ642))*5%),0)</f>
        <v>476.83844</v>
      </c>
      <c r="BA642" s="48">
        <f t="shared" ref="BA642:BA647" si="497">IF(S642&lt;&gt;0,AU642-AO642-AM642,(AG642-AD642-AE642-AS642))</f>
        <v>2333.99868</v>
      </c>
      <c r="BB642" s="27"/>
      <c r="BC642" s="27"/>
      <c r="BD642" s="51"/>
      <c r="BE642" s="52"/>
      <c r="BF642" s="27" t="s">
        <v>2176</v>
      </c>
      <c r="BG642" s="58" t="s">
        <v>562</v>
      </c>
      <c r="BH642" s="53" t="str">
        <f>'[1]2023'!Q931</f>
        <v>#REF!</v>
      </c>
      <c r="BI642" s="27"/>
      <c r="BJ642" s="27"/>
      <c r="BK642" s="27" t="s">
        <v>76</v>
      </c>
      <c r="BL642" s="27"/>
    </row>
    <row r="643" ht="14.25" customHeight="1">
      <c r="A643" s="26" t="s">
        <v>55</v>
      </c>
      <c r="B643" s="26" t="s">
        <v>56</v>
      </c>
      <c r="C643" s="26" t="s">
        <v>57</v>
      </c>
      <c r="D643" s="26" t="s">
        <v>58</v>
      </c>
      <c r="E643" s="27" t="s">
        <v>2180</v>
      </c>
      <c r="F643" s="28" t="s">
        <v>2181</v>
      </c>
      <c r="G643" s="29">
        <v>45102.0</v>
      </c>
      <c r="H643" s="30">
        <v>45102.0</v>
      </c>
      <c r="I643" s="30">
        <v>45467.0</v>
      </c>
      <c r="J643" s="31">
        <v>0.0</v>
      </c>
      <c r="K643" s="26" t="s">
        <v>440</v>
      </c>
      <c r="L643" s="32" t="s">
        <v>63</v>
      </c>
      <c r="M643" s="33">
        <v>0.0</v>
      </c>
      <c r="N643" s="34">
        <v>0.0</v>
      </c>
      <c r="O643" s="27" t="s">
        <v>64</v>
      </c>
      <c r="P643" s="35">
        <v>0.0</v>
      </c>
      <c r="Q643" s="35">
        <v>0.0</v>
      </c>
      <c r="R643" s="36">
        <v>45102.0</v>
      </c>
      <c r="S643" s="35" t="s">
        <v>86</v>
      </c>
      <c r="T643" s="35">
        <v>0.0</v>
      </c>
      <c r="U643" s="37">
        <v>0.0</v>
      </c>
      <c r="V643" s="38"/>
      <c r="W643" s="38"/>
      <c r="X643" s="27"/>
      <c r="Y643" s="39"/>
      <c r="Z643" s="39"/>
      <c r="AA643" s="39"/>
      <c r="AB643" s="27"/>
      <c r="AC643" s="27">
        <f t="shared" si="453"/>
        <v>0</v>
      </c>
      <c r="AD643" s="41">
        <f t="shared" si="496"/>
        <v>0</v>
      </c>
      <c r="AE643" s="42"/>
      <c r="AF643" s="27"/>
      <c r="AG643" s="43">
        <f t="shared" ref="AG643:AG647" si="498">IF(O643="Paid",IF(A643="Alwataniya",(M643*21%)-((M643*21%)*5%),IF((A643="GIG"),(M643*25%)-((M643*25%)*5%),IF((A643="Allianz"),(M643*27%)-((M643*27%)*5%),0))),0)</f>
        <v>0</v>
      </c>
      <c r="AH643" s="29"/>
      <c r="AI643" s="29"/>
      <c r="AJ643" s="29"/>
      <c r="AK643" s="29"/>
      <c r="AL643" s="27"/>
      <c r="AM643" s="27"/>
      <c r="AN643" s="47"/>
      <c r="AO643" s="46"/>
      <c r="AP643" s="47"/>
      <c r="AQ643" s="43" t="b">
        <f t="shared" ref="AQ643:AQ644" si="499">IF(O643="Paid",IF(U643="Motor Plus",(M643*27%),IF(U643="Motor One",(M643*22%),(IF(U643="Golden",(M643*25%),(IF(U643="Classic",(M643*15%),(IF(U643="Wethaq",(M643*28%),IF(U643="Alwataniya",(M643*21%))*0)))))))))</f>
        <v>0</v>
      </c>
      <c r="AR643" s="43">
        <f t="shared" si="448"/>
        <v>0</v>
      </c>
      <c r="AS643" s="43">
        <f t="shared" si="449"/>
        <v>0</v>
      </c>
      <c r="AT643" s="48">
        <f t="shared" si="450"/>
        <v>0</v>
      </c>
      <c r="AU643" s="49">
        <f>AQ643-AR643-AS643-AC643-AO643</f>
        <v>0</v>
      </c>
      <c r="AV643" s="48"/>
      <c r="AW643" s="34">
        <f t="shared" si="492"/>
        <v>0</v>
      </c>
      <c r="AX643" s="50">
        <f t="shared" si="413"/>
        <v>0</v>
      </c>
      <c r="AY643" s="43"/>
      <c r="AZ643" s="47"/>
      <c r="BA643" s="48">
        <f t="shared" si="497"/>
        <v>0</v>
      </c>
      <c r="BB643" s="27"/>
      <c r="BC643" s="27"/>
      <c r="BD643" s="51"/>
      <c r="BE643" s="52"/>
      <c r="BF643" s="27" t="s">
        <v>2180</v>
      </c>
      <c r="BG643" s="53">
        <v>0.0</v>
      </c>
      <c r="BH643" s="53" t="str">
        <f>'[1]2023'!Q1119</f>
        <v>#REF!</v>
      </c>
      <c r="BI643" s="27"/>
      <c r="BJ643" s="27"/>
      <c r="BK643" s="27" t="s">
        <v>64</v>
      </c>
      <c r="BL643" s="27"/>
    </row>
    <row r="644" ht="14.25" customHeight="1">
      <c r="A644" s="26" t="s">
        <v>55</v>
      </c>
      <c r="B644" s="26" t="s">
        <v>56</v>
      </c>
      <c r="C644" s="26" t="s">
        <v>57</v>
      </c>
      <c r="D644" s="26" t="s">
        <v>81</v>
      </c>
      <c r="E644" s="27" t="s">
        <v>2182</v>
      </c>
      <c r="F644" s="28" t="s">
        <v>2183</v>
      </c>
      <c r="G644" s="29" t="s">
        <v>1706</v>
      </c>
      <c r="H644" s="30">
        <v>45103.0</v>
      </c>
      <c r="I644" s="30">
        <v>45468.0</v>
      </c>
      <c r="J644" s="31">
        <v>0.0</v>
      </c>
      <c r="K644" s="26" t="s">
        <v>440</v>
      </c>
      <c r="L644" s="32" t="s">
        <v>63</v>
      </c>
      <c r="M644" s="33">
        <v>0.0</v>
      </c>
      <c r="N644" s="34">
        <v>0.0</v>
      </c>
      <c r="O644" s="27" t="s">
        <v>64</v>
      </c>
      <c r="P644" s="35">
        <v>0.0</v>
      </c>
      <c r="Q644" s="35">
        <v>0.0</v>
      </c>
      <c r="R644" s="36" t="e">
        <v>#VALUE!</v>
      </c>
      <c r="S644" s="35" t="s">
        <v>86</v>
      </c>
      <c r="T644" s="35">
        <v>0.0</v>
      </c>
      <c r="U644" s="37" t="s">
        <v>67</v>
      </c>
      <c r="V644" s="38"/>
      <c r="W644" s="38"/>
      <c r="X644" s="27"/>
      <c r="Y644" s="39"/>
      <c r="Z644" s="39"/>
      <c r="AA644" s="39"/>
      <c r="AB644" s="40"/>
      <c r="AC644" s="27">
        <f t="shared" si="453"/>
        <v>0</v>
      </c>
      <c r="AD644" s="41">
        <f t="shared" si="496"/>
        <v>0</v>
      </c>
      <c r="AE644" s="42"/>
      <c r="AF644" s="27"/>
      <c r="AG644" s="43">
        <f t="shared" si="498"/>
        <v>0</v>
      </c>
      <c r="AH644" s="29"/>
      <c r="AI644" s="29"/>
      <c r="AJ644" s="29"/>
      <c r="AK644" s="29"/>
      <c r="AL644" s="27"/>
      <c r="AM644" s="44"/>
      <c r="AN644" s="45"/>
      <c r="AO644" s="46"/>
      <c r="AP644" s="47"/>
      <c r="AQ644" s="43" t="b">
        <f t="shared" si="499"/>
        <v>0</v>
      </c>
      <c r="AR644" s="43">
        <f t="shared" si="448"/>
        <v>0</v>
      </c>
      <c r="AS644" s="43">
        <f t="shared" si="449"/>
        <v>0</v>
      </c>
      <c r="AT644" s="48">
        <f t="shared" si="450"/>
        <v>0</v>
      </c>
      <c r="AU644" s="49">
        <f t="shared" ref="AU644:AU649" si="500">AQ644-AR644-AS644-AC644</f>
        <v>0</v>
      </c>
      <c r="AV644" s="48"/>
      <c r="AW644" s="34">
        <f t="shared" si="492"/>
        <v>0</v>
      </c>
      <c r="AX644" s="50">
        <f t="shared" si="413"/>
        <v>0</v>
      </c>
      <c r="AY644" s="43"/>
      <c r="AZ644" s="43"/>
      <c r="BA644" s="48">
        <f t="shared" si="497"/>
        <v>0</v>
      </c>
      <c r="BB644" s="27"/>
      <c r="BC644" s="27"/>
      <c r="BD644" s="51"/>
      <c r="BE644" s="52"/>
      <c r="BF644" s="27" t="s">
        <v>2182</v>
      </c>
      <c r="BG644" s="53">
        <v>0.0</v>
      </c>
      <c r="BH644" s="53" t="str">
        <f t="shared" ref="BH644:BH645" si="501">'[1]2023'!Q755</f>
        <v>#REF!</v>
      </c>
      <c r="BI644" s="27"/>
      <c r="BJ644" s="27"/>
      <c r="BK644" s="27" t="s">
        <v>64</v>
      </c>
      <c r="BL644" s="27"/>
    </row>
    <row r="645" ht="14.25" customHeight="1">
      <c r="A645" s="26" t="s">
        <v>55</v>
      </c>
      <c r="B645" s="26" t="s">
        <v>56</v>
      </c>
      <c r="C645" s="26" t="s">
        <v>57</v>
      </c>
      <c r="D645" s="26" t="s">
        <v>81</v>
      </c>
      <c r="E645" s="27" t="s">
        <v>2184</v>
      </c>
      <c r="F645" s="28" t="s">
        <v>2185</v>
      </c>
      <c r="G645" s="29" t="s">
        <v>1706</v>
      </c>
      <c r="H645" s="30">
        <v>45103.0</v>
      </c>
      <c r="I645" s="30">
        <v>45468.0</v>
      </c>
      <c r="J645" s="31">
        <v>0.0</v>
      </c>
      <c r="K645" s="26" t="s">
        <v>440</v>
      </c>
      <c r="L645" s="73" t="s">
        <v>75</v>
      </c>
      <c r="M645" s="33">
        <v>11407.5</v>
      </c>
      <c r="N645" s="34">
        <v>12221.56</v>
      </c>
      <c r="O645" s="27" t="s">
        <v>76</v>
      </c>
      <c r="P645" s="35" t="s">
        <v>122</v>
      </c>
      <c r="Q645" s="35">
        <v>0.0</v>
      </c>
      <c r="R645" s="36" t="e">
        <v>#VALUE!</v>
      </c>
      <c r="S645" s="35" t="s">
        <v>86</v>
      </c>
      <c r="T645" s="35">
        <v>0.0</v>
      </c>
      <c r="U645" s="37" t="s">
        <v>67</v>
      </c>
      <c r="V645" s="38"/>
      <c r="W645" s="38"/>
      <c r="X645" s="27"/>
      <c r="Y645" s="39"/>
      <c r="Z645" s="39"/>
      <c r="AA645" s="39"/>
      <c r="AB645" s="40"/>
      <c r="AC645" s="27">
        <f t="shared" si="453"/>
        <v>0</v>
      </c>
      <c r="AD645" s="41">
        <f t="shared" ref="AD645:AD646" si="502">IF(AND(S645="0",O645="Paid"),M645*15%,0)</f>
        <v>1711.125</v>
      </c>
      <c r="AE645" s="42"/>
      <c r="AF645" s="27"/>
      <c r="AG645" s="43">
        <f t="shared" si="498"/>
        <v>2926.02375</v>
      </c>
      <c r="AH645" s="29"/>
      <c r="AI645" s="29"/>
      <c r="AJ645" s="29"/>
      <c r="AK645" s="75"/>
      <c r="AL645" s="27"/>
      <c r="AM645" s="44"/>
      <c r="AN645" s="45"/>
      <c r="AO645" s="46"/>
      <c r="AP645" s="47"/>
      <c r="AQ645" s="43">
        <f t="shared" ref="AQ645:AQ647" si="503">IF(U645="Motor Plus",(M645*27%),IF(U645="Motor One",(M645*22%),(IF(U645="Golden",(M645*25%),(IF(U645="Classic",(M645*15%),(IF(U645="Wethaq",(M645*28%),IF(U645="Alwataniya",(M645*21%))*0))))))))</f>
        <v>3080.025</v>
      </c>
      <c r="AR645" s="43">
        <f t="shared" si="448"/>
        <v>154.00125</v>
      </c>
      <c r="AS645" s="43">
        <f t="shared" si="449"/>
        <v>539.004375</v>
      </c>
      <c r="AT645" s="48">
        <f t="shared" si="450"/>
        <v>2387.019375</v>
      </c>
      <c r="AU645" s="103">
        <f t="shared" si="500"/>
        <v>2387.019375</v>
      </c>
      <c r="AV645" s="43"/>
      <c r="AW645" s="34">
        <f t="shared" si="492"/>
        <v>10510.435</v>
      </c>
      <c r="AX645" s="50">
        <f t="shared" si="413"/>
        <v>675.894375</v>
      </c>
      <c r="AY645" s="43"/>
      <c r="AZ645" s="43"/>
      <c r="BA645" s="48">
        <f t="shared" si="497"/>
        <v>2387.019375</v>
      </c>
      <c r="BB645" s="27"/>
      <c r="BC645" s="27"/>
      <c r="BD645" s="51"/>
      <c r="BE645" s="52"/>
      <c r="BF645" s="27" t="s">
        <v>2184</v>
      </c>
      <c r="BG645" s="53">
        <v>0.0</v>
      </c>
      <c r="BH645" s="53" t="str">
        <f t="shared" si="501"/>
        <v>#REF!</v>
      </c>
      <c r="BI645" s="27"/>
      <c r="BJ645" s="27"/>
      <c r="BK645" s="27" t="s">
        <v>76</v>
      </c>
      <c r="BL645" s="27"/>
    </row>
    <row r="646" ht="14.25" customHeight="1">
      <c r="A646" s="26" t="s">
        <v>55</v>
      </c>
      <c r="B646" s="26" t="s">
        <v>56</v>
      </c>
      <c r="C646" s="26" t="s">
        <v>57</v>
      </c>
      <c r="D646" s="26" t="s">
        <v>81</v>
      </c>
      <c r="E646" s="27" t="s">
        <v>2186</v>
      </c>
      <c r="F646" s="28" t="s">
        <v>2187</v>
      </c>
      <c r="G646" s="29" t="s">
        <v>1706</v>
      </c>
      <c r="H646" s="30">
        <v>45103.0</v>
      </c>
      <c r="I646" s="30">
        <v>45468.0</v>
      </c>
      <c r="J646" s="31">
        <v>0.0</v>
      </c>
      <c r="K646" s="26" t="s">
        <v>440</v>
      </c>
      <c r="L646" s="32" t="s">
        <v>75</v>
      </c>
      <c r="M646" s="33">
        <v>12342.0</v>
      </c>
      <c r="N646" s="34">
        <v>13211.17</v>
      </c>
      <c r="O646" s="27" t="s">
        <v>76</v>
      </c>
      <c r="P646" s="35" t="s">
        <v>122</v>
      </c>
      <c r="Q646" s="35">
        <v>0.0</v>
      </c>
      <c r="R646" s="36" t="e">
        <v>#VALUE!</v>
      </c>
      <c r="S646" s="35" t="s">
        <v>86</v>
      </c>
      <c r="T646" s="35">
        <v>0.0</v>
      </c>
      <c r="U646" s="37" t="s">
        <v>67</v>
      </c>
      <c r="V646" s="38"/>
      <c r="W646" s="38"/>
      <c r="X646" s="27"/>
      <c r="Y646" s="39"/>
      <c r="Z646" s="39"/>
      <c r="AA646" s="39"/>
      <c r="AB646" s="40"/>
      <c r="AC646" s="27">
        <f t="shared" si="453"/>
        <v>0</v>
      </c>
      <c r="AD646" s="41">
        <f t="shared" si="502"/>
        <v>1851.3</v>
      </c>
      <c r="AE646" s="42"/>
      <c r="AF646" s="27"/>
      <c r="AG646" s="43">
        <f t="shared" si="498"/>
        <v>3165.723</v>
      </c>
      <c r="AH646" s="29"/>
      <c r="AI646" s="29"/>
      <c r="AJ646" s="29"/>
      <c r="AK646" s="29"/>
      <c r="AL646" s="27"/>
      <c r="AM646" s="27"/>
      <c r="AN646" s="63"/>
      <c r="AO646" s="76"/>
      <c r="AP646" s="68"/>
      <c r="AQ646" s="43">
        <f t="shared" si="503"/>
        <v>3332.34</v>
      </c>
      <c r="AR646" s="43">
        <f t="shared" si="448"/>
        <v>166.617</v>
      </c>
      <c r="AS646" s="43">
        <f t="shared" si="449"/>
        <v>583.1595</v>
      </c>
      <c r="AT646" s="48">
        <f t="shared" si="450"/>
        <v>2582.5635</v>
      </c>
      <c r="AU646" s="49">
        <f t="shared" si="500"/>
        <v>2582.5635</v>
      </c>
      <c r="AV646" s="48"/>
      <c r="AW646" s="34">
        <f t="shared" si="492"/>
        <v>11359.87</v>
      </c>
      <c r="AX646" s="50">
        <f t="shared" si="413"/>
        <v>731.2635</v>
      </c>
      <c r="AY646" s="43"/>
      <c r="AZ646" s="43"/>
      <c r="BA646" s="48">
        <f t="shared" si="497"/>
        <v>2582.5635</v>
      </c>
      <c r="BB646" s="27"/>
      <c r="BC646" s="27"/>
      <c r="BD646" s="51"/>
      <c r="BE646" s="52"/>
      <c r="BF646" s="27" t="s">
        <v>2186</v>
      </c>
      <c r="BG646" s="53">
        <v>0.0</v>
      </c>
      <c r="BH646" s="53" t="str">
        <f>'[1]2023'!Q828</f>
        <v>#REF!</v>
      </c>
      <c r="BI646" s="27"/>
      <c r="BJ646" s="27"/>
      <c r="BK646" s="27" t="s">
        <v>76</v>
      </c>
      <c r="BL646" s="27"/>
    </row>
    <row r="647" ht="14.25" customHeight="1">
      <c r="A647" s="26" t="s">
        <v>55</v>
      </c>
      <c r="B647" s="26" t="s">
        <v>56</v>
      </c>
      <c r="C647" s="26" t="s">
        <v>57</v>
      </c>
      <c r="D647" s="26" t="s">
        <v>71</v>
      </c>
      <c r="E647" s="27" t="s">
        <v>2188</v>
      </c>
      <c r="F647" s="28" t="s">
        <v>2189</v>
      </c>
      <c r="G647" s="29" t="s">
        <v>1706</v>
      </c>
      <c r="H647" s="30">
        <v>45103.0</v>
      </c>
      <c r="I647" s="30">
        <v>45468.0</v>
      </c>
      <c r="J647" s="31" t="s">
        <v>2190</v>
      </c>
      <c r="K647" s="26" t="s">
        <v>887</v>
      </c>
      <c r="L647" s="32" t="s">
        <v>2154</v>
      </c>
      <c r="M647" s="33">
        <v>35750.0</v>
      </c>
      <c r="N647" s="34">
        <v>37999.25</v>
      </c>
      <c r="O647" s="27" t="s">
        <v>76</v>
      </c>
      <c r="P647" s="35" t="s">
        <v>122</v>
      </c>
      <c r="Q647" s="35" t="s">
        <v>65</v>
      </c>
      <c r="R647" s="36" t="e">
        <v>#VALUE!</v>
      </c>
      <c r="S647" s="35" t="s">
        <v>1103</v>
      </c>
      <c r="T647" s="35" t="s">
        <v>78</v>
      </c>
      <c r="U647" s="37" t="s">
        <v>67</v>
      </c>
      <c r="V647" s="38">
        <v>1100000.0</v>
      </c>
      <c r="W647" s="78">
        <v>5.6677854E7</v>
      </c>
      <c r="X647" s="27">
        <v>2017.0</v>
      </c>
      <c r="Y647" s="39"/>
      <c r="Z647" s="79" t="s">
        <v>919</v>
      </c>
      <c r="AA647" s="39"/>
      <c r="AB647" s="40">
        <v>0.0532</v>
      </c>
      <c r="AC647" s="27">
        <v>1900.0</v>
      </c>
      <c r="AD647" s="41"/>
      <c r="AE647" s="42"/>
      <c r="AF647" s="27"/>
      <c r="AG647" s="43">
        <f t="shared" si="498"/>
        <v>9169.875</v>
      </c>
      <c r="AH647" s="29"/>
      <c r="AI647" s="29"/>
      <c r="AJ647" s="29"/>
      <c r="AK647" s="29"/>
      <c r="AL647" s="27"/>
      <c r="AM647" s="27">
        <f>(AQ647-AR647-AS647-(M647*15%))*30%</f>
        <v>635.45625</v>
      </c>
      <c r="AN647" s="63" t="s">
        <v>886</v>
      </c>
      <c r="AO647" s="46">
        <f>IF(T647&lt;&gt;0,M647*15%,0)-AC647</f>
        <v>3462.5</v>
      </c>
      <c r="AP647" s="47" t="s">
        <v>75</v>
      </c>
      <c r="AQ647" s="43">
        <f t="shared" si="503"/>
        <v>9652.5</v>
      </c>
      <c r="AR647" s="43">
        <f t="shared" si="448"/>
        <v>482.625</v>
      </c>
      <c r="AS647" s="43">
        <f t="shared" si="449"/>
        <v>1689.1875</v>
      </c>
      <c r="AT647" s="48">
        <f t="shared" si="450"/>
        <v>7480.6875</v>
      </c>
      <c r="AU647" s="49">
        <f t="shared" si="500"/>
        <v>5580.6875</v>
      </c>
      <c r="AV647" s="106">
        <f>(AU647-AM647-AO647)*10%</f>
        <v>148.273125</v>
      </c>
      <c r="AW647" s="34">
        <f t="shared" si="492"/>
        <v>36099.25</v>
      </c>
      <c r="AX647" s="50">
        <f t="shared" si="413"/>
        <v>3234.458125</v>
      </c>
      <c r="AY647" s="84">
        <f>IF(T647&lt;&gt;0,(AU647-AO647),0)*30%</f>
        <v>635.45625</v>
      </c>
      <c r="AZ647" s="43"/>
      <c r="BA647" s="48">
        <f t="shared" si="497"/>
        <v>1482.73125</v>
      </c>
      <c r="BB647" s="27"/>
      <c r="BC647" s="27"/>
      <c r="BD647" s="51"/>
      <c r="BE647" s="52" t="s">
        <v>887</v>
      </c>
      <c r="BF647" s="27" t="s">
        <v>2188</v>
      </c>
      <c r="BG647" s="53">
        <v>0.0</v>
      </c>
      <c r="BH647" s="53" t="str">
        <f>'[1]2023'!Q932</f>
        <v>#REF!</v>
      </c>
      <c r="BI647" s="27"/>
      <c r="BJ647" s="27"/>
      <c r="BK647" s="27" t="s">
        <v>76</v>
      </c>
      <c r="BL647" s="27"/>
    </row>
    <row r="648" ht="14.25" customHeight="1">
      <c r="A648" s="26" t="s">
        <v>68</v>
      </c>
      <c r="B648" s="26" t="s">
        <v>56</v>
      </c>
      <c r="C648" s="26" t="s">
        <v>57</v>
      </c>
      <c r="D648" s="26" t="s">
        <v>71</v>
      </c>
      <c r="E648" s="27" t="s">
        <v>2191</v>
      </c>
      <c r="F648" s="28" t="s">
        <v>2192</v>
      </c>
      <c r="G648" s="29" t="s">
        <v>1706</v>
      </c>
      <c r="H648" s="30">
        <v>45103.0</v>
      </c>
      <c r="I648" s="30">
        <v>45468.0</v>
      </c>
      <c r="J648" s="88" t="s">
        <v>510</v>
      </c>
      <c r="K648" s="26" t="s">
        <v>2069</v>
      </c>
      <c r="L648" s="73" t="s">
        <v>2193</v>
      </c>
      <c r="M648" s="33">
        <v>79780.62</v>
      </c>
      <c r="N648" s="34">
        <v>85000.0</v>
      </c>
      <c r="O648" s="27" t="s">
        <v>76</v>
      </c>
      <c r="P648" s="35" t="s">
        <v>430</v>
      </c>
      <c r="Q648" s="35">
        <v>0.0</v>
      </c>
      <c r="R648" s="36" t="e">
        <v>#VALUE!</v>
      </c>
      <c r="S648" s="35" t="s">
        <v>78</v>
      </c>
      <c r="T648" s="54" t="s">
        <v>510</v>
      </c>
      <c r="U648" s="37" t="s">
        <v>68</v>
      </c>
      <c r="V648" s="38">
        <v>5000000.0</v>
      </c>
      <c r="W648" s="38"/>
      <c r="X648" s="27"/>
      <c r="Y648" s="39"/>
      <c r="Z648" s="79" t="s">
        <v>2194</v>
      </c>
      <c r="AA648" s="39"/>
      <c r="AB648" s="40"/>
      <c r="AC648" s="27">
        <f t="shared" ref="AC648:AC688" si="504">M648*AB648</f>
        <v>0</v>
      </c>
      <c r="AD648" s="41"/>
      <c r="AE648" s="42"/>
      <c r="AF648" s="27"/>
      <c r="AG648" s="43">
        <f>IF(O648="Paid",IF(A648="Wethaq",(M648*20%)-((M648*20%)*5%)))</f>
        <v>15158.3178</v>
      </c>
      <c r="AH648" s="29">
        <v>45115.0</v>
      </c>
      <c r="AI648" s="29">
        <v>45177.0</v>
      </c>
      <c r="AJ648" s="97">
        <v>0.2</v>
      </c>
      <c r="AK648" s="29">
        <v>45115.0</v>
      </c>
      <c r="AL648" s="27"/>
      <c r="AM648" s="27"/>
      <c r="AN648" s="56"/>
      <c r="AO648" s="95">
        <f>M648*AJ648-((M648*AJ648)*22.5%)</f>
        <v>12365.9961</v>
      </c>
      <c r="AP648" s="47" t="s">
        <v>1996</v>
      </c>
      <c r="AQ648" s="43">
        <f>M648*AJ648</f>
        <v>15956.124</v>
      </c>
      <c r="AR648" s="43">
        <f t="shared" si="448"/>
        <v>797.8062</v>
      </c>
      <c r="AS648" s="43">
        <f t="shared" si="449"/>
        <v>2792.3217</v>
      </c>
      <c r="AT648" s="48">
        <f t="shared" si="450"/>
        <v>12365.9961</v>
      </c>
      <c r="AU648" s="49">
        <f t="shared" si="500"/>
        <v>12365.9961</v>
      </c>
      <c r="AV648" s="48"/>
      <c r="AW648" s="34">
        <f t="shared" si="492"/>
        <v>85000</v>
      </c>
      <c r="AX648" s="50">
        <f t="shared" si="413"/>
        <v>0</v>
      </c>
      <c r="AY648" s="43"/>
      <c r="AZ648" s="43">
        <f>IF(AJ648&lt;28%,M648*(28%-AJ648)-((M648*(28%-AJ648))*5%),0)</f>
        <v>6063.32712</v>
      </c>
      <c r="BA648" s="48" t="str">
        <f>IF(S648&lt;&gt;0,AU648-#REF!-AM648,(AG648-AD648-AE648-AS648))</f>
        <v>#REF!</v>
      </c>
      <c r="BB648" s="27"/>
      <c r="BC648" s="27"/>
      <c r="BD648" s="51"/>
      <c r="BE648" s="52"/>
      <c r="BF648" s="27" t="s">
        <v>2191</v>
      </c>
      <c r="BG648" s="58" t="s">
        <v>562</v>
      </c>
      <c r="BH648" s="53" t="str">
        <f>'[1]2023'!Q934</f>
        <v>#REF!</v>
      </c>
      <c r="BI648" s="27"/>
      <c r="BJ648" s="27"/>
      <c r="BK648" s="27" t="s">
        <v>76</v>
      </c>
      <c r="BL648" s="27"/>
    </row>
    <row r="649" ht="14.25" customHeight="1">
      <c r="A649" s="26" t="s">
        <v>55</v>
      </c>
      <c r="B649" s="26" t="s">
        <v>56</v>
      </c>
      <c r="C649" s="26" t="s">
        <v>57</v>
      </c>
      <c r="D649" s="26" t="s">
        <v>58</v>
      </c>
      <c r="E649" s="27" t="s">
        <v>2195</v>
      </c>
      <c r="F649" s="28" t="s">
        <v>2196</v>
      </c>
      <c r="G649" s="29" t="s">
        <v>1706</v>
      </c>
      <c r="H649" s="30">
        <v>45103.0</v>
      </c>
      <c r="I649" s="30">
        <v>45468.0</v>
      </c>
      <c r="J649" s="31">
        <v>0.0</v>
      </c>
      <c r="K649" s="26" t="s">
        <v>440</v>
      </c>
      <c r="L649" s="73" t="s">
        <v>75</v>
      </c>
      <c r="M649" s="33">
        <v>1986.96</v>
      </c>
      <c r="N649" s="34">
        <v>2104.19</v>
      </c>
      <c r="O649" s="27" t="s">
        <v>76</v>
      </c>
      <c r="P649" s="35" t="s">
        <v>122</v>
      </c>
      <c r="Q649" s="35">
        <v>0.0</v>
      </c>
      <c r="R649" s="36" t="e">
        <v>#VALUE!</v>
      </c>
      <c r="S649" s="35" t="s">
        <v>86</v>
      </c>
      <c r="T649" s="35">
        <v>0.0</v>
      </c>
      <c r="U649" s="37" t="s">
        <v>58</v>
      </c>
      <c r="V649" s="38"/>
      <c r="W649" s="38"/>
      <c r="X649" s="27"/>
      <c r="Y649" s="39"/>
      <c r="Z649" s="39"/>
      <c r="AA649" s="39"/>
      <c r="AB649" s="40"/>
      <c r="AC649" s="27">
        <f t="shared" si="504"/>
        <v>0</v>
      </c>
      <c r="AD649" s="41">
        <f t="shared" ref="AD649:AD651" si="505">IF(AND(S649="0",O649="Paid"),(M649*15%)-AC649,0)</f>
        <v>298.044</v>
      </c>
      <c r="AE649" s="42"/>
      <c r="AF649" s="27"/>
      <c r="AG649" s="43">
        <f>IF(O649="Paid",IF(A649="Alwataniya",(M649*21%)-((M649*21%)*5%),IF((A649="GIG"),(M649*25%)-((M649*25%)*5%),IF((A649="Allianz"),(M649*27%)-((M649*27%)*5%),0))),0)</f>
        <v>509.65524</v>
      </c>
      <c r="AH649" s="29"/>
      <c r="AI649" s="29"/>
      <c r="AJ649" s="29"/>
      <c r="AK649" s="29"/>
      <c r="AL649" s="27"/>
      <c r="AM649" s="44"/>
      <c r="AN649" s="68"/>
      <c r="AO649" s="46"/>
      <c r="AP649" s="47"/>
      <c r="AQ649" s="43">
        <f>IF(U649="Motor Plus",(M649*27%),IF(U649="Motor One",(M649*22%),(IF(U649="Golden",(M649*25%),(IF(U649="Classic",(M649*15%),(IF(U649="Wethaq",(M649*28%),IF(U649="Alwataniya",(M649*21%))*0))))))))</f>
        <v>0</v>
      </c>
      <c r="AR649" s="43">
        <f t="shared" si="448"/>
        <v>0</v>
      </c>
      <c r="AS649" s="43">
        <f t="shared" si="449"/>
        <v>0</v>
      </c>
      <c r="AT649" s="48">
        <f t="shared" si="450"/>
        <v>0</v>
      </c>
      <c r="AU649" s="49">
        <f t="shared" si="500"/>
        <v>0</v>
      </c>
      <c r="AV649" s="48"/>
      <c r="AW649" s="34">
        <f t="shared" si="492"/>
        <v>1806.146</v>
      </c>
      <c r="AX649" s="50">
        <f t="shared" si="413"/>
        <v>211.61124</v>
      </c>
      <c r="AY649" s="43"/>
      <c r="AZ649" s="43"/>
      <c r="BA649" s="48">
        <f t="shared" ref="BA649:BA658" si="506">IF(S649&lt;&gt;0,AU649-AO649-AM649,(AG649-AD649-AE649-AS649))</f>
        <v>0</v>
      </c>
      <c r="BB649" s="27"/>
      <c r="BC649" s="27"/>
      <c r="BD649" s="51"/>
      <c r="BE649" s="52"/>
      <c r="BF649" s="27" t="s">
        <v>2195</v>
      </c>
      <c r="BG649" s="53">
        <v>0.0</v>
      </c>
      <c r="BH649" s="53" t="str">
        <f>'[1]2023'!Q941</f>
        <v>#REF!</v>
      </c>
      <c r="BI649" s="27"/>
      <c r="BJ649" s="27"/>
      <c r="BK649" s="27" t="s">
        <v>76</v>
      </c>
      <c r="BL649" s="27"/>
    </row>
    <row r="650" ht="14.25" customHeight="1">
      <c r="A650" s="26" t="s">
        <v>68</v>
      </c>
      <c r="B650" s="26" t="s">
        <v>56</v>
      </c>
      <c r="C650" s="26" t="s">
        <v>57</v>
      </c>
      <c r="D650" s="26" t="s">
        <v>71</v>
      </c>
      <c r="E650" s="27" t="s">
        <v>2197</v>
      </c>
      <c r="F650" s="28" t="s">
        <v>2198</v>
      </c>
      <c r="G650" s="29" t="s">
        <v>1706</v>
      </c>
      <c r="H650" s="30">
        <v>45103.0</v>
      </c>
      <c r="I650" s="30">
        <v>45468.0</v>
      </c>
      <c r="J650" s="31" t="s">
        <v>2199</v>
      </c>
      <c r="K650" s="26" t="s">
        <v>887</v>
      </c>
      <c r="L650" s="69">
        <v>45113.0</v>
      </c>
      <c r="M650" s="33">
        <v>16811.62</v>
      </c>
      <c r="N650" s="34">
        <v>18000.0</v>
      </c>
      <c r="O650" s="27" t="s">
        <v>76</v>
      </c>
      <c r="P650" s="35" t="s">
        <v>89</v>
      </c>
      <c r="Q650" s="35">
        <v>0.0</v>
      </c>
      <c r="R650" s="36" t="e">
        <v>#VALUE!</v>
      </c>
      <c r="S650" s="35" t="s">
        <v>676</v>
      </c>
      <c r="T650" s="35">
        <v>0.0</v>
      </c>
      <c r="U650" s="37" t="s">
        <v>68</v>
      </c>
      <c r="V650" s="38">
        <v>800000.0</v>
      </c>
      <c r="W650" s="38"/>
      <c r="X650" s="27"/>
      <c r="Y650" s="39"/>
      <c r="Z650" s="79" t="s">
        <v>1746</v>
      </c>
      <c r="AA650" s="39"/>
      <c r="AB650" s="40"/>
      <c r="AC650" s="27">
        <f t="shared" si="504"/>
        <v>0</v>
      </c>
      <c r="AD650" s="41">
        <f t="shared" si="505"/>
        <v>0</v>
      </c>
      <c r="AE650" s="42"/>
      <c r="AF650" s="27"/>
      <c r="AG650" s="43">
        <f>IF(O650="Paid",IF(A650="Wethaq",(M650*18%)-((M650*18%)*5%)))</f>
        <v>2874.78702</v>
      </c>
      <c r="AH650" s="29">
        <v>45115.0</v>
      </c>
      <c r="AI650" s="29">
        <v>45177.0</v>
      </c>
      <c r="AJ650" s="97">
        <v>0.18</v>
      </c>
      <c r="AK650" s="29">
        <v>45115.0</v>
      </c>
      <c r="AL650" s="27"/>
      <c r="AM650" s="44">
        <f>IF((BD650&lt;=2),AU650*10%,(IF((BD650&lt;=3),AU650*20%,IF((BD650&lt;=4),AU650*20%,IF((BD650&gt;=5),AU650*30%,0)))))</f>
        <v>234.522099</v>
      </c>
      <c r="AN650" s="63" t="s">
        <v>886</v>
      </c>
      <c r="AO650" s="46">
        <f>IF(T650&lt;&gt;0,M650*15%,0)</f>
        <v>0</v>
      </c>
      <c r="AP650" s="47"/>
      <c r="AQ650" s="43">
        <f>M650*AJ650</f>
        <v>3026.0916</v>
      </c>
      <c r="AR650" s="43">
        <f t="shared" si="448"/>
        <v>151.30458</v>
      </c>
      <c r="AS650" s="43">
        <f t="shared" si="449"/>
        <v>529.56603</v>
      </c>
      <c r="AT650" s="48">
        <f t="shared" si="450"/>
        <v>2345.22099</v>
      </c>
      <c r="AU650" s="49">
        <f t="shared" ref="AU650:AU651" si="507">AQ650-AR650-AS650-AC650-AO650</f>
        <v>2345.22099</v>
      </c>
      <c r="AV650" s="134">
        <v>328.0</v>
      </c>
      <c r="AW650" s="34">
        <f t="shared" si="492"/>
        <v>18000</v>
      </c>
      <c r="AX650" s="50">
        <f t="shared" si="413"/>
        <v>1782.698891</v>
      </c>
      <c r="AY650" s="43"/>
      <c r="AZ650" s="43">
        <f>IF(AJ650&lt;28%,M650*(28%-AJ650)-((M650*(28%-AJ650))*5%),0)</f>
        <v>1597.1039</v>
      </c>
      <c r="BA650" s="48">
        <f t="shared" si="506"/>
        <v>2110.698891</v>
      </c>
      <c r="BB650" s="27"/>
      <c r="BC650" s="27"/>
      <c r="BD650" s="51"/>
      <c r="BE650" s="52" t="s">
        <v>887</v>
      </c>
      <c r="BF650" s="27" t="s">
        <v>2197</v>
      </c>
      <c r="BG650" s="58" t="s">
        <v>2200</v>
      </c>
      <c r="BH650" s="53" t="str">
        <f>'[1]2023'!Q950</f>
        <v>#REF!</v>
      </c>
      <c r="BI650" s="27"/>
      <c r="BJ650" s="27"/>
      <c r="BK650" s="27" t="s">
        <v>76</v>
      </c>
      <c r="BL650" s="64" t="s">
        <v>2201</v>
      </c>
    </row>
    <row r="651" ht="14.25" customHeight="1">
      <c r="A651" s="26" t="s">
        <v>55</v>
      </c>
      <c r="B651" s="26" t="s">
        <v>56</v>
      </c>
      <c r="C651" s="26" t="s">
        <v>57</v>
      </c>
      <c r="D651" s="26" t="s">
        <v>58</v>
      </c>
      <c r="E651" s="27" t="s">
        <v>2202</v>
      </c>
      <c r="F651" s="28" t="s">
        <v>2203</v>
      </c>
      <c r="G651" s="29">
        <v>45103.0</v>
      </c>
      <c r="H651" s="30">
        <v>45103.0</v>
      </c>
      <c r="I651" s="30">
        <v>45468.0</v>
      </c>
      <c r="J651" s="31">
        <v>0.0</v>
      </c>
      <c r="K651" s="26" t="s">
        <v>440</v>
      </c>
      <c r="L651" s="89">
        <v>45103.0</v>
      </c>
      <c r="M651" s="33">
        <v>1196.5</v>
      </c>
      <c r="N651" s="34">
        <v>1267.1</v>
      </c>
      <c r="O651" s="27" t="s">
        <v>76</v>
      </c>
      <c r="P651" s="35">
        <v>0.0</v>
      </c>
      <c r="Q651" s="35">
        <v>0.0</v>
      </c>
      <c r="R651" s="36">
        <v>45103.0</v>
      </c>
      <c r="S651" s="35" t="s">
        <v>86</v>
      </c>
      <c r="T651" s="35">
        <v>0.0</v>
      </c>
      <c r="U651" s="37">
        <v>0.0</v>
      </c>
      <c r="V651" s="38"/>
      <c r="W651" s="38"/>
      <c r="X651" s="27"/>
      <c r="Y651" s="39"/>
      <c r="Z651" s="39"/>
      <c r="AA651" s="39"/>
      <c r="AB651" s="27"/>
      <c r="AC651" s="27">
        <f t="shared" si="504"/>
        <v>0</v>
      </c>
      <c r="AD651" s="41">
        <f t="shared" si="505"/>
        <v>179.475</v>
      </c>
      <c r="AE651" s="42"/>
      <c r="AF651" s="27"/>
      <c r="AG651" s="43">
        <f t="shared" ref="AG651:AG658" si="508">IF(O651="Paid",IF(A651="Alwataniya",(M651*21%)-((M651*21%)*5%),IF((A651="GIG"),(M651*25%)-((M651*25%)*5%),IF((A651="Allianz"),(M651*27%)-((M651*27%)*5%),0))),0)</f>
        <v>306.90225</v>
      </c>
      <c r="AH651" s="29"/>
      <c r="AI651" s="29"/>
      <c r="AJ651" s="29"/>
      <c r="AK651" s="29"/>
      <c r="AL651" s="27"/>
      <c r="AM651" s="44"/>
      <c r="AN651" s="47"/>
      <c r="AO651" s="46"/>
      <c r="AP651" s="47"/>
      <c r="AQ651" s="43">
        <f>IF(O651="Paid",IF(U651="Motor Plus",(M651*27%),IF(U651="Motor One",(M651*22%),(IF(U651="Golden",(M651*25%),(IF(U651="Classic",(M651*15%),(IF(U651="Wethaq",(M651*28%),IF(U651="Alwataniya",(M651*21%))*0)))))))))</f>
        <v>0</v>
      </c>
      <c r="AR651" s="43">
        <f t="shared" si="448"/>
        <v>0</v>
      </c>
      <c r="AS651" s="43">
        <f t="shared" si="449"/>
        <v>0</v>
      </c>
      <c r="AT651" s="48">
        <f t="shared" si="450"/>
        <v>0</v>
      </c>
      <c r="AU651" s="49">
        <f t="shared" si="507"/>
        <v>0</v>
      </c>
      <c r="AV651" s="48"/>
      <c r="AW651" s="34">
        <f t="shared" si="492"/>
        <v>1087.625</v>
      </c>
      <c r="AX651" s="50">
        <f t="shared" si="413"/>
        <v>127.42725</v>
      </c>
      <c r="AY651" s="43"/>
      <c r="AZ651" s="47"/>
      <c r="BA651" s="48">
        <f t="shared" si="506"/>
        <v>0</v>
      </c>
      <c r="BB651" s="27"/>
      <c r="BC651" s="27"/>
      <c r="BD651" s="51"/>
      <c r="BE651" s="52"/>
      <c r="BF651" s="27" t="s">
        <v>2202</v>
      </c>
      <c r="BG651" s="53">
        <v>0.0</v>
      </c>
      <c r="BH651" s="53" t="str">
        <f>'[1]2023'!Q1147</f>
        <v>#REF!</v>
      </c>
      <c r="BI651" s="27"/>
      <c r="BJ651" s="27"/>
      <c r="BK651" s="27" t="s">
        <v>76</v>
      </c>
      <c r="BL651" s="27"/>
    </row>
    <row r="652" ht="14.25" customHeight="1">
      <c r="A652" s="26" t="s">
        <v>55</v>
      </c>
      <c r="B652" s="26" t="s">
        <v>56</v>
      </c>
      <c r="C652" s="26" t="s">
        <v>57</v>
      </c>
      <c r="D652" s="26" t="s">
        <v>81</v>
      </c>
      <c r="E652" s="27" t="s">
        <v>2204</v>
      </c>
      <c r="F652" s="28" t="s">
        <v>2205</v>
      </c>
      <c r="G652" s="29" t="s">
        <v>2206</v>
      </c>
      <c r="H652" s="30">
        <v>45104.0</v>
      </c>
      <c r="I652" s="30">
        <v>45469.0</v>
      </c>
      <c r="J652" s="31">
        <v>0.0</v>
      </c>
      <c r="K652" s="26" t="s">
        <v>440</v>
      </c>
      <c r="L652" s="32" t="s">
        <v>75</v>
      </c>
      <c r="M652" s="33">
        <v>26550.0</v>
      </c>
      <c r="N652" s="34">
        <v>28257.45</v>
      </c>
      <c r="O652" s="27" t="s">
        <v>76</v>
      </c>
      <c r="P652" s="35" t="s">
        <v>122</v>
      </c>
      <c r="Q652" s="35" t="s">
        <v>65</v>
      </c>
      <c r="R652" s="36" t="e">
        <v>#VALUE!</v>
      </c>
      <c r="S652" s="35" t="s">
        <v>86</v>
      </c>
      <c r="T652" s="54" t="s">
        <v>163</v>
      </c>
      <c r="U652" s="37" t="s">
        <v>67</v>
      </c>
      <c r="V652" s="38"/>
      <c r="W652" s="38"/>
      <c r="X652" s="27"/>
      <c r="Y652" s="39"/>
      <c r="Z652" s="39"/>
      <c r="AA652" s="39"/>
      <c r="AB652" s="40"/>
      <c r="AC652" s="27">
        <f t="shared" si="504"/>
        <v>0</v>
      </c>
      <c r="AD652" s="41"/>
      <c r="AE652" s="42"/>
      <c r="AF652" s="27"/>
      <c r="AG652" s="43">
        <f t="shared" si="508"/>
        <v>6810.075</v>
      </c>
      <c r="AH652" s="29"/>
      <c r="AI652" s="29"/>
      <c r="AJ652" s="29"/>
      <c r="AK652" s="29"/>
      <c r="AL652" s="27"/>
      <c r="AM652" s="27"/>
      <c r="AN652" s="63"/>
      <c r="AO652" s="70">
        <f>M652*15%</f>
        <v>3982.5</v>
      </c>
      <c r="AP652" s="71">
        <v>45267.0</v>
      </c>
      <c r="AQ652" s="43">
        <f t="shared" ref="AQ652:AQ655" si="509">IF(U652="Motor Plus",(M652*27%),IF(U652="Motor One",(M652*22%),(IF(U652="Golden",(M652*25%),(IF(U652="Classic",(M652*15%),(IF(U652="Wethaq",(M652*28%),IF(U652="Alwataniya",(M652*21%))*0))))))))</f>
        <v>7168.5</v>
      </c>
      <c r="AR652" s="43">
        <f t="shared" si="448"/>
        <v>358.425</v>
      </c>
      <c r="AS652" s="43">
        <f t="shared" si="449"/>
        <v>1254.4875</v>
      </c>
      <c r="AT652" s="48">
        <f t="shared" si="450"/>
        <v>5555.5875</v>
      </c>
      <c r="AU652" s="103">
        <f t="shared" ref="AU652:AU675" si="510">AQ652-AR652-AS652-AC652</f>
        <v>5555.5875</v>
      </c>
      <c r="AV652" s="48"/>
      <c r="AW652" s="34">
        <f t="shared" si="492"/>
        <v>28257.45</v>
      </c>
      <c r="AX652" s="50">
        <f t="shared" si="413"/>
        <v>1573.0875</v>
      </c>
      <c r="AY652" s="43"/>
      <c r="AZ652" s="43"/>
      <c r="BA652" s="48">
        <f t="shared" si="506"/>
        <v>1573.0875</v>
      </c>
      <c r="BB652" s="27"/>
      <c r="BC652" s="27"/>
      <c r="BD652" s="51"/>
      <c r="BE652" s="52"/>
      <c r="BF652" s="27" t="s">
        <v>2204</v>
      </c>
      <c r="BG652" s="58" t="s">
        <v>1775</v>
      </c>
      <c r="BH652" s="53" t="str">
        <f>'[1]2023'!Q812</f>
        <v>#REF!</v>
      </c>
      <c r="BI652" s="27"/>
      <c r="BJ652" s="27"/>
      <c r="BK652" s="27" t="s">
        <v>76</v>
      </c>
      <c r="BL652" s="27"/>
    </row>
    <row r="653" ht="14.25" customHeight="1">
      <c r="A653" s="26" t="s">
        <v>55</v>
      </c>
      <c r="B653" s="26" t="s">
        <v>56</v>
      </c>
      <c r="C653" s="26" t="s">
        <v>57</v>
      </c>
      <c r="D653" s="26" t="s">
        <v>81</v>
      </c>
      <c r="E653" s="27" t="s">
        <v>2207</v>
      </c>
      <c r="F653" s="28" t="s">
        <v>2208</v>
      </c>
      <c r="G653" s="29" t="s">
        <v>2206</v>
      </c>
      <c r="H653" s="30">
        <v>45104.0</v>
      </c>
      <c r="I653" s="30">
        <v>45469.0</v>
      </c>
      <c r="J653" s="31">
        <v>0.0</v>
      </c>
      <c r="K653" s="26" t="s">
        <v>440</v>
      </c>
      <c r="L653" s="32" t="s">
        <v>75</v>
      </c>
      <c r="M653" s="33">
        <v>27431.25</v>
      </c>
      <c r="N653" s="34">
        <v>29189.69</v>
      </c>
      <c r="O653" s="27" t="s">
        <v>76</v>
      </c>
      <c r="P653" s="35" t="s">
        <v>95</v>
      </c>
      <c r="Q653" s="35">
        <v>0.0</v>
      </c>
      <c r="R653" s="36" t="e">
        <v>#VALUE!</v>
      </c>
      <c r="S653" s="35" t="s">
        <v>86</v>
      </c>
      <c r="T653" s="35">
        <v>0.0</v>
      </c>
      <c r="U653" s="37" t="s">
        <v>67</v>
      </c>
      <c r="V653" s="38"/>
      <c r="W653" s="38"/>
      <c r="X653" s="27"/>
      <c r="Y653" s="39"/>
      <c r="Z653" s="39"/>
      <c r="AA653" s="39"/>
      <c r="AB653" s="40"/>
      <c r="AC653" s="27">
        <f t="shared" si="504"/>
        <v>0</v>
      </c>
      <c r="AD653" s="41">
        <f>IF(AND(S653="0",O653="Paid"),(M653*15%)-AC653,0)</f>
        <v>4114.6875</v>
      </c>
      <c r="AE653" s="42"/>
      <c r="AF653" s="27"/>
      <c r="AG653" s="43">
        <f t="shared" si="508"/>
        <v>7036.115625</v>
      </c>
      <c r="AH653" s="29"/>
      <c r="AI653" s="29"/>
      <c r="AJ653" s="29"/>
      <c r="AK653" s="29"/>
      <c r="AL653" s="27"/>
      <c r="AM653" s="44"/>
      <c r="AN653" s="63"/>
      <c r="AO653" s="46"/>
      <c r="AP653" s="47"/>
      <c r="AQ653" s="43">
        <f t="shared" si="509"/>
        <v>7406.4375</v>
      </c>
      <c r="AR653" s="43">
        <f t="shared" si="448"/>
        <v>370.321875</v>
      </c>
      <c r="AS653" s="43">
        <f t="shared" si="449"/>
        <v>1296.126563</v>
      </c>
      <c r="AT653" s="48">
        <f t="shared" si="450"/>
        <v>5739.989063</v>
      </c>
      <c r="AU653" s="49">
        <f t="shared" si="510"/>
        <v>5739.989063</v>
      </c>
      <c r="AV653" s="48"/>
      <c r="AW653" s="34">
        <f t="shared" si="492"/>
        <v>25075.0025</v>
      </c>
      <c r="AX653" s="50">
        <f t="shared" si="413"/>
        <v>1625.301563</v>
      </c>
      <c r="AY653" s="43"/>
      <c r="AZ653" s="43"/>
      <c r="BA653" s="48">
        <f t="shared" si="506"/>
        <v>5739.989063</v>
      </c>
      <c r="BB653" s="27"/>
      <c r="BC653" s="27"/>
      <c r="BD653" s="51"/>
      <c r="BE653" s="52"/>
      <c r="BF653" s="27" t="s">
        <v>2207</v>
      </c>
      <c r="BG653" s="53">
        <v>0.0</v>
      </c>
      <c r="BH653" s="53" t="str">
        <f>'[1]2023'!Q824</f>
        <v>#REF!</v>
      </c>
      <c r="BI653" s="27"/>
      <c r="BJ653" s="27"/>
      <c r="BK653" s="27" t="s">
        <v>76</v>
      </c>
      <c r="BL653" s="27"/>
    </row>
    <row r="654" ht="14.25" customHeight="1">
      <c r="A654" s="26" t="s">
        <v>55</v>
      </c>
      <c r="B654" s="26" t="s">
        <v>56</v>
      </c>
      <c r="C654" s="26" t="s">
        <v>57</v>
      </c>
      <c r="D654" s="26" t="s">
        <v>81</v>
      </c>
      <c r="E654" s="27" t="s">
        <v>2209</v>
      </c>
      <c r="F654" s="28" t="s">
        <v>2210</v>
      </c>
      <c r="G654" s="29" t="s">
        <v>2211</v>
      </c>
      <c r="H654" s="30">
        <v>45105.0</v>
      </c>
      <c r="I654" s="30">
        <v>45470.0</v>
      </c>
      <c r="J654" s="31">
        <v>0.0</v>
      </c>
      <c r="K654" s="26" t="s">
        <v>440</v>
      </c>
      <c r="L654" s="32" t="s">
        <v>75</v>
      </c>
      <c r="M654" s="33">
        <v>26125.0</v>
      </c>
      <c r="N654" s="34">
        <v>27809.38</v>
      </c>
      <c r="O654" s="27" t="s">
        <v>76</v>
      </c>
      <c r="P654" s="35" t="s">
        <v>95</v>
      </c>
      <c r="Q654" s="35" t="s">
        <v>65</v>
      </c>
      <c r="R654" s="36" t="e">
        <v>#VALUE!</v>
      </c>
      <c r="S654" s="35" t="s">
        <v>86</v>
      </c>
      <c r="T654" s="35">
        <v>0.0</v>
      </c>
      <c r="U654" s="37" t="s">
        <v>67</v>
      </c>
      <c r="V654" s="38"/>
      <c r="W654" s="38"/>
      <c r="X654" s="27"/>
      <c r="Y654" s="39"/>
      <c r="Z654" s="39"/>
      <c r="AA654" s="39"/>
      <c r="AB654" s="40"/>
      <c r="AC654" s="27">
        <f t="shared" si="504"/>
        <v>0</v>
      </c>
      <c r="AD654" s="41"/>
      <c r="AE654" s="42"/>
      <c r="AF654" s="27"/>
      <c r="AG654" s="43">
        <f t="shared" si="508"/>
        <v>6701.0625</v>
      </c>
      <c r="AH654" s="29"/>
      <c r="AI654" s="29"/>
      <c r="AJ654" s="29"/>
      <c r="AK654" s="29"/>
      <c r="AL654" s="27"/>
      <c r="AM654" s="44"/>
      <c r="AN654" s="63"/>
      <c r="AO654" s="46"/>
      <c r="AP654" s="47"/>
      <c r="AQ654" s="43">
        <f t="shared" si="509"/>
        <v>7053.75</v>
      </c>
      <c r="AR654" s="43">
        <f t="shared" si="448"/>
        <v>352.6875</v>
      </c>
      <c r="AS654" s="43">
        <f t="shared" si="449"/>
        <v>1234.40625</v>
      </c>
      <c r="AT654" s="48">
        <f t="shared" si="450"/>
        <v>5466.65625</v>
      </c>
      <c r="AU654" s="49">
        <f t="shared" si="510"/>
        <v>5466.65625</v>
      </c>
      <c r="AV654" s="48"/>
      <c r="AW654" s="34">
        <f t="shared" si="492"/>
        <v>27809.38</v>
      </c>
      <c r="AX654" s="50">
        <f t="shared" si="413"/>
        <v>5466.65625</v>
      </c>
      <c r="AY654" s="43"/>
      <c r="AZ654" s="43"/>
      <c r="BA654" s="48">
        <f t="shared" si="506"/>
        <v>5466.65625</v>
      </c>
      <c r="BB654" s="27"/>
      <c r="BC654" s="27"/>
      <c r="BD654" s="51"/>
      <c r="BE654" s="52"/>
      <c r="BF654" s="27" t="s">
        <v>2209</v>
      </c>
      <c r="BG654" s="53">
        <v>0.0</v>
      </c>
      <c r="BH654" s="53" t="str">
        <f>'[1]2023'!Q802</f>
        <v>#REF!</v>
      </c>
      <c r="BI654" s="27"/>
      <c r="BJ654" s="27"/>
      <c r="BK654" s="27" t="s">
        <v>76</v>
      </c>
      <c r="BL654" s="27"/>
    </row>
    <row r="655" ht="14.25" customHeight="1">
      <c r="A655" s="26" t="s">
        <v>55</v>
      </c>
      <c r="B655" s="26" t="s">
        <v>56</v>
      </c>
      <c r="C655" s="26" t="s">
        <v>57</v>
      </c>
      <c r="D655" s="26" t="s">
        <v>81</v>
      </c>
      <c r="E655" s="27" t="s">
        <v>2212</v>
      </c>
      <c r="F655" s="28" t="s">
        <v>2213</v>
      </c>
      <c r="G655" s="29" t="s">
        <v>2211</v>
      </c>
      <c r="H655" s="30">
        <v>45105.0</v>
      </c>
      <c r="I655" s="30">
        <v>45470.0</v>
      </c>
      <c r="J655" s="31">
        <v>0.0</v>
      </c>
      <c r="K655" s="26" t="s">
        <v>440</v>
      </c>
      <c r="L655" s="32" t="s">
        <v>75</v>
      </c>
      <c r="M655" s="33">
        <v>18216.25</v>
      </c>
      <c r="N655" s="34">
        <v>19432.01</v>
      </c>
      <c r="O655" s="27" t="s">
        <v>76</v>
      </c>
      <c r="P655" s="35" t="s">
        <v>430</v>
      </c>
      <c r="Q655" s="35" t="s">
        <v>65</v>
      </c>
      <c r="R655" s="36" t="e">
        <v>#VALUE!</v>
      </c>
      <c r="S655" s="35" t="s">
        <v>231</v>
      </c>
      <c r="T655" s="35">
        <v>0.0</v>
      </c>
      <c r="U655" s="37" t="s">
        <v>67</v>
      </c>
      <c r="V655" s="38"/>
      <c r="W655" s="38"/>
      <c r="X655" s="27"/>
      <c r="Y655" s="39"/>
      <c r="Z655" s="39"/>
      <c r="AA655" s="39"/>
      <c r="AB655" s="40"/>
      <c r="AC655" s="27">
        <f t="shared" si="504"/>
        <v>0</v>
      </c>
      <c r="AD655" s="41"/>
      <c r="AE655" s="42"/>
      <c r="AF655" s="27"/>
      <c r="AG655" s="43">
        <f t="shared" si="508"/>
        <v>4672.468125</v>
      </c>
      <c r="AH655" s="29"/>
      <c r="AI655" s="29"/>
      <c r="AJ655" s="29"/>
      <c r="AK655" s="29"/>
      <c r="AL655" s="27"/>
      <c r="AM655" s="34"/>
      <c r="AN655" s="63"/>
      <c r="AO655" s="46">
        <v>2750.0</v>
      </c>
      <c r="AP655" s="47" t="s">
        <v>1283</v>
      </c>
      <c r="AQ655" s="43">
        <f t="shared" si="509"/>
        <v>4918.3875</v>
      </c>
      <c r="AR655" s="43">
        <f t="shared" si="448"/>
        <v>245.919375</v>
      </c>
      <c r="AS655" s="43">
        <f t="shared" si="449"/>
        <v>860.7178125</v>
      </c>
      <c r="AT655" s="48">
        <f t="shared" si="450"/>
        <v>3811.750313</v>
      </c>
      <c r="AU655" s="49">
        <f t="shared" si="510"/>
        <v>3811.750313</v>
      </c>
      <c r="AV655" s="48"/>
      <c r="AW655" s="34">
        <f t="shared" si="492"/>
        <v>19432.01</v>
      </c>
      <c r="AX655" s="113">
        <f t="shared" si="413"/>
        <v>1061.750313</v>
      </c>
      <c r="AY655" s="43"/>
      <c r="AZ655" s="43"/>
      <c r="BA655" s="48">
        <f t="shared" si="506"/>
        <v>1061.750313</v>
      </c>
      <c r="BB655" s="27"/>
      <c r="BC655" s="27"/>
      <c r="BD655" s="51"/>
      <c r="BE655" s="52"/>
      <c r="BF655" s="27" t="s">
        <v>2212</v>
      </c>
      <c r="BG655" s="53">
        <v>0.0</v>
      </c>
      <c r="BH655" s="53" t="str">
        <f>'[1]2023'!Q813</f>
        <v>#REF!</v>
      </c>
      <c r="BI655" s="27"/>
      <c r="BJ655" s="27"/>
      <c r="BK655" s="27" t="s">
        <v>76</v>
      </c>
      <c r="BL655" s="64" t="s">
        <v>952</v>
      </c>
    </row>
    <row r="656" ht="14.25" customHeight="1">
      <c r="A656" s="26" t="s">
        <v>55</v>
      </c>
      <c r="B656" s="26" t="s">
        <v>56</v>
      </c>
      <c r="C656" s="26" t="s">
        <v>57</v>
      </c>
      <c r="D656" s="26" t="s">
        <v>81</v>
      </c>
      <c r="E656" s="27" t="s">
        <v>2214</v>
      </c>
      <c r="F656" s="28" t="s">
        <v>2215</v>
      </c>
      <c r="G656" s="29" t="s">
        <v>2211</v>
      </c>
      <c r="H656" s="30">
        <v>45105.0</v>
      </c>
      <c r="I656" s="30">
        <v>45470.0</v>
      </c>
      <c r="J656" s="31">
        <v>0.0</v>
      </c>
      <c r="K656" s="26" t="s">
        <v>440</v>
      </c>
      <c r="L656" s="32" t="s">
        <v>63</v>
      </c>
      <c r="M656" s="33">
        <v>0.0</v>
      </c>
      <c r="N656" s="34">
        <v>0.0</v>
      </c>
      <c r="O656" s="27" t="s">
        <v>64</v>
      </c>
      <c r="P656" s="35">
        <v>0.0</v>
      </c>
      <c r="Q656" s="35" t="s">
        <v>85</v>
      </c>
      <c r="R656" s="36" t="e">
        <v>#VALUE!</v>
      </c>
      <c r="S656" s="35" t="s">
        <v>86</v>
      </c>
      <c r="T656" s="35">
        <v>0.0</v>
      </c>
      <c r="U656" s="37" t="s">
        <v>67</v>
      </c>
      <c r="V656" s="38"/>
      <c r="W656" s="38"/>
      <c r="X656" s="27"/>
      <c r="Y656" s="39"/>
      <c r="Z656" s="39"/>
      <c r="AA656" s="39"/>
      <c r="AB656" s="40"/>
      <c r="AC656" s="27">
        <f t="shared" si="504"/>
        <v>0</v>
      </c>
      <c r="AD656" s="41">
        <f t="shared" ref="AD656:AD657" si="511">IF(AND(S656="0",O656="Paid"),(M656*15%)-AC656,0)</f>
        <v>0</v>
      </c>
      <c r="AE656" s="42"/>
      <c r="AF656" s="27"/>
      <c r="AG656" s="43">
        <f t="shared" si="508"/>
        <v>0</v>
      </c>
      <c r="AH656" s="29"/>
      <c r="AI656" s="29"/>
      <c r="AJ656" s="29"/>
      <c r="AK656" s="29"/>
      <c r="AL656" s="27"/>
      <c r="AM656" s="44"/>
      <c r="AN656" s="45"/>
      <c r="AO656" s="46"/>
      <c r="AP656" s="47"/>
      <c r="AQ656" s="43" t="b">
        <f>IF(O656="Paid",IF(U656="Motor Plus",(M656*27%),IF(U656="Motor One",(M656*22%),(IF(U656="Golden",(M656*25%),(IF(U656="Classic",(M656*15%),(IF(U656="Wethaq",(M656*28%),IF(U656="Alwataniya",(M656*21%))*0)))))))))</f>
        <v>0</v>
      </c>
      <c r="AR656" s="43">
        <f t="shared" si="448"/>
        <v>0</v>
      </c>
      <c r="AS656" s="43">
        <f t="shared" si="449"/>
        <v>0</v>
      </c>
      <c r="AT656" s="48">
        <f t="shared" si="450"/>
        <v>0</v>
      </c>
      <c r="AU656" s="49">
        <f t="shared" si="510"/>
        <v>0</v>
      </c>
      <c r="AV656" s="48"/>
      <c r="AW656" s="34">
        <f t="shared" si="492"/>
        <v>0</v>
      </c>
      <c r="AX656" s="50">
        <f t="shared" si="413"/>
        <v>0</v>
      </c>
      <c r="AY656" s="43"/>
      <c r="AZ656" s="43"/>
      <c r="BA656" s="48">
        <f t="shared" si="506"/>
        <v>0</v>
      </c>
      <c r="BB656" s="27"/>
      <c r="BC656" s="27"/>
      <c r="BD656" s="51"/>
      <c r="BE656" s="52"/>
      <c r="BF656" s="27" t="s">
        <v>2214</v>
      </c>
      <c r="BG656" s="53">
        <v>0.0</v>
      </c>
      <c r="BH656" s="53" t="str">
        <f>'[1]2023'!Q832</f>
        <v>#REF!</v>
      </c>
      <c r="BI656" s="27"/>
      <c r="BJ656" s="27"/>
      <c r="BK656" s="27" t="s">
        <v>64</v>
      </c>
      <c r="BL656" s="27"/>
    </row>
    <row r="657" ht="14.25" customHeight="1">
      <c r="A657" s="26" t="s">
        <v>55</v>
      </c>
      <c r="B657" s="26" t="s">
        <v>56</v>
      </c>
      <c r="C657" s="26" t="s">
        <v>57</v>
      </c>
      <c r="D657" s="26" t="s">
        <v>81</v>
      </c>
      <c r="E657" s="27" t="s">
        <v>2216</v>
      </c>
      <c r="F657" s="28" t="s">
        <v>2217</v>
      </c>
      <c r="G657" s="29" t="s">
        <v>2211</v>
      </c>
      <c r="H657" s="30">
        <v>45105.0</v>
      </c>
      <c r="I657" s="30">
        <v>45470.0</v>
      </c>
      <c r="J657" s="31">
        <v>0.0</v>
      </c>
      <c r="K657" s="26" t="s">
        <v>440</v>
      </c>
      <c r="L657" s="32" t="s">
        <v>75</v>
      </c>
      <c r="M657" s="33">
        <v>18585.0</v>
      </c>
      <c r="N657" s="34">
        <v>19822.52</v>
      </c>
      <c r="O657" s="27" t="s">
        <v>76</v>
      </c>
      <c r="P657" s="35" t="s">
        <v>95</v>
      </c>
      <c r="Q657" s="35" t="s">
        <v>108</v>
      </c>
      <c r="R657" s="36" t="e">
        <v>#VALUE!</v>
      </c>
      <c r="S657" s="35" t="s">
        <v>86</v>
      </c>
      <c r="T657" s="35">
        <v>0.0</v>
      </c>
      <c r="U657" s="37" t="s">
        <v>67</v>
      </c>
      <c r="V657" s="38"/>
      <c r="W657" s="38"/>
      <c r="X657" s="27"/>
      <c r="Y657" s="39"/>
      <c r="Z657" s="39"/>
      <c r="AA657" s="39"/>
      <c r="AB657" s="40"/>
      <c r="AC657" s="27">
        <f t="shared" si="504"/>
        <v>0</v>
      </c>
      <c r="AD657" s="41">
        <f t="shared" si="511"/>
        <v>2787.75</v>
      </c>
      <c r="AE657" s="42"/>
      <c r="AF657" s="27" t="s">
        <v>2099</v>
      </c>
      <c r="AG657" s="43">
        <f t="shared" si="508"/>
        <v>4767.0525</v>
      </c>
      <c r="AH657" s="29"/>
      <c r="AI657" s="29"/>
      <c r="AJ657" s="29"/>
      <c r="AK657" s="29"/>
      <c r="AL657" s="27"/>
      <c r="AM657" s="44"/>
      <c r="AN657" s="47"/>
      <c r="AO657" s="46"/>
      <c r="AP657" s="47"/>
      <c r="AQ657" s="43">
        <f t="shared" ref="AQ657:AQ658" si="512">IF(U657="Motor Plus",(M657*27%),IF(U657="Motor One",(M657*22%),(IF(U657="Golden",(M657*25%),(IF(U657="Classic",(M657*15%),(IF(U657="Wethaq",(M657*28%),IF(U657="Alwataniya",(M657*21%))*0))))))))</f>
        <v>5017.95</v>
      </c>
      <c r="AR657" s="43">
        <f t="shared" si="448"/>
        <v>250.8975</v>
      </c>
      <c r="AS657" s="43">
        <f t="shared" si="449"/>
        <v>878.14125</v>
      </c>
      <c r="AT657" s="48">
        <f t="shared" si="450"/>
        <v>3888.91125</v>
      </c>
      <c r="AU657" s="49">
        <f t="shared" si="510"/>
        <v>3888.91125</v>
      </c>
      <c r="AV657" s="48"/>
      <c r="AW657" s="34">
        <f t="shared" si="492"/>
        <v>17034.77</v>
      </c>
      <c r="AX657" s="50">
        <f t="shared" si="413"/>
        <v>1101.16125</v>
      </c>
      <c r="AY657" s="43"/>
      <c r="AZ657" s="43"/>
      <c r="BA657" s="48">
        <f t="shared" si="506"/>
        <v>3888.91125</v>
      </c>
      <c r="BB657" s="27"/>
      <c r="BC657" s="27"/>
      <c r="BD657" s="51"/>
      <c r="BE657" s="52"/>
      <c r="BF657" s="27" t="s">
        <v>2216</v>
      </c>
      <c r="BG657" s="58" t="s">
        <v>2218</v>
      </c>
      <c r="BH657" s="53" t="str">
        <f>'[1]2023'!Q897</f>
        <v>#REF!</v>
      </c>
      <c r="BI657" s="27"/>
      <c r="BJ657" s="27"/>
      <c r="BK657" s="27" t="s">
        <v>76</v>
      </c>
      <c r="BL657" s="27"/>
    </row>
    <row r="658" ht="14.25" customHeight="1">
      <c r="A658" s="26" t="s">
        <v>55</v>
      </c>
      <c r="B658" s="26" t="s">
        <v>56</v>
      </c>
      <c r="C658" s="26" t="s">
        <v>57</v>
      </c>
      <c r="D658" s="26" t="s">
        <v>81</v>
      </c>
      <c r="E658" s="27" t="s">
        <v>2219</v>
      </c>
      <c r="F658" s="28" t="s">
        <v>2220</v>
      </c>
      <c r="G658" s="29" t="s">
        <v>2221</v>
      </c>
      <c r="H658" s="30">
        <v>45106.0</v>
      </c>
      <c r="I658" s="30">
        <v>45471.0</v>
      </c>
      <c r="J658" s="31">
        <v>0.0</v>
      </c>
      <c r="K658" s="26" t="s">
        <v>440</v>
      </c>
      <c r="L658" s="32" t="s">
        <v>75</v>
      </c>
      <c r="M658" s="33">
        <v>22125.0</v>
      </c>
      <c r="N658" s="34">
        <v>23571.38</v>
      </c>
      <c r="O658" s="27" t="s">
        <v>76</v>
      </c>
      <c r="P658" s="35" t="s">
        <v>89</v>
      </c>
      <c r="Q658" s="35" t="s">
        <v>65</v>
      </c>
      <c r="R658" s="36" t="e">
        <v>#VALUE!</v>
      </c>
      <c r="S658" s="35" t="s">
        <v>86</v>
      </c>
      <c r="T658" s="54" t="s">
        <v>163</v>
      </c>
      <c r="U658" s="37" t="s">
        <v>67</v>
      </c>
      <c r="V658" s="38"/>
      <c r="W658" s="38"/>
      <c r="X658" s="27"/>
      <c r="Y658" s="39"/>
      <c r="Z658" s="39"/>
      <c r="AA658" s="39"/>
      <c r="AB658" s="40"/>
      <c r="AC658" s="27">
        <f t="shared" si="504"/>
        <v>0</v>
      </c>
      <c r="AD658" s="41"/>
      <c r="AE658" s="42"/>
      <c r="AF658" s="27"/>
      <c r="AG658" s="43">
        <f t="shared" si="508"/>
        <v>5675.0625</v>
      </c>
      <c r="AH658" s="29"/>
      <c r="AI658" s="29"/>
      <c r="AJ658" s="29"/>
      <c r="AK658" s="29"/>
      <c r="AL658" s="27"/>
      <c r="AM658" s="44"/>
      <c r="AN658" s="63"/>
      <c r="AO658" s="70">
        <f>M658*15%</f>
        <v>3318.75</v>
      </c>
      <c r="AP658" s="71">
        <v>45267.0</v>
      </c>
      <c r="AQ658" s="43">
        <f t="shared" si="512"/>
        <v>5973.75</v>
      </c>
      <c r="AR658" s="43">
        <f t="shared" si="448"/>
        <v>298.6875</v>
      </c>
      <c r="AS658" s="43">
        <f t="shared" si="449"/>
        <v>1045.40625</v>
      </c>
      <c r="AT658" s="48">
        <f t="shared" si="450"/>
        <v>4629.65625</v>
      </c>
      <c r="AU658" s="49">
        <f t="shared" si="510"/>
        <v>4629.65625</v>
      </c>
      <c r="AV658" s="48"/>
      <c r="AW658" s="34">
        <f t="shared" si="492"/>
        <v>23571.38</v>
      </c>
      <c r="AX658" s="50">
        <f t="shared" si="413"/>
        <v>1310.90625</v>
      </c>
      <c r="AY658" s="43"/>
      <c r="AZ658" s="43"/>
      <c r="BA658" s="48">
        <f t="shared" si="506"/>
        <v>1310.90625</v>
      </c>
      <c r="BB658" s="27"/>
      <c r="BC658" s="27"/>
      <c r="BD658" s="51"/>
      <c r="BE658" s="52"/>
      <c r="BF658" s="27" t="s">
        <v>2222</v>
      </c>
      <c r="BG658" s="53">
        <v>0.0</v>
      </c>
      <c r="BH658" s="53" t="str">
        <f>'[1]2023'!Q834</f>
        <v>#REF!</v>
      </c>
      <c r="BI658" s="27"/>
      <c r="BJ658" s="27"/>
      <c r="BK658" s="27" t="s">
        <v>76</v>
      </c>
      <c r="BL658" s="27"/>
    </row>
    <row r="659" ht="14.25" customHeight="1">
      <c r="A659" s="26" t="s">
        <v>68</v>
      </c>
      <c r="B659" s="26" t="s">
        <v>213</v>
      </c>
      <c r="C659" s="26" t="s">
        <v>70</v>
      </c>
      <c r="D659" s="26" t="s">
        <v>71</v>
      </c>
      <c r="E659" s="27" t="s">
        <v>2223</v>
      </c>
      <c r="F659" s="28" t="s">
        <v>2224</v>
      </c>
      <c r="G659" s="29" t="s">
        <v>2225</v>
      </c>
      <c r="H659" s="30">
        <v>45107.0</v>
      </c>
      <c r="I659" s="30">
        <v>45472.0</v>
      </c>
      <c r="J659" s="31">
        <v>0.0</v>
      </c>
      <c r="K659" s="26" t="s">
        <v>62</v>
      </c>
      <c r="L659" s="69">
        <v>45048.0</v>
      </c>
      <c r="M659" s="153">
        <v>4178.29</v>
      </c>
      <c r="N659" s="154">
        <v>2190.0</v>
      </c>
      <c r="O659" s="27" t="s">
        <v>76</v>
      </c>
      <c r="P659" s="35" t="s">
        <v>77</v>
      </c>
      <c r="Q659" s="35">
        <v>0.0</v>
      </c>
      <c r="R659" s="36" t="e">
        <v>#VALUE!</v>
      </c>
      <c r="S659" s="35" t="s">
        <v>78</v>
      </c>
      <c r="T659" s="54" t="s">
        <v>79</v>
      </c>
      <c r="U659" s="37" t="s">
        <v>213</v>
      </c>
      <c r="V659" s="38"/>
      <c r="W659" s="38"/>
      <c r="X659" s="27"/>
      <c r="Y659" s="39"/>
      <c r="Z659" s="39"/>
      <c r="AA659" s="39"/>
      <c r="AB659" s="40"/>
      <c r="AC659" s="27">
        <f t="shared" si="504"/>
        <v>0</v>
      </c>
      <c r="AD659" s="41"/>
      <c r="AE659" s="42"/>
      <c r="AF659" s="27"/>
      <c r="AG659" s="43">
        <f>IF(O659="Paid",IF(A659="Wethaq",(M659*17%)-((M659*17%)*5%)))</f>
        <v>674.793835</v>
      </c>
      <c r="AH659" s="29">
        <v>45115.0</v>
      </c>
      <c r="AI659" s="29">
        <v>45115.0</v>
      </c>
      <c r="AJ659" s="81">
        <v>0.17</v>
      </c>
      <c r="AK659" s="29">
        <v>44993.0</v>
      </c>
      <c r="AL659" s="27"/>
      <c r="AM659" s="44"/>
      <c r="AN659" s="56"/>
      <c r="AO659" s="46">
        <f>((M659*AJ659)-((M659*AJ659)*22.5%))*80%</f>
        <v>440.391766</v>
      </c>
      <c r="AP659" s="57">
        <v>45177.0</v>
      </c>
      <c r="AQ659" s="43">
        <f>M659*AJ659</f>
        <v>710.3093</v>
      </c>
      <c r="AR659" s="43">
        <f t="shared" si="448"/>
        <v>35.515465</v>
      </c>
      <c r="AS659" s="43">
        <f t="shared" si="449"/>
        <v>124.3041275</v>
      </c>
      <c r="AT659" s="48">
        <f t="shared" si="450"/>
        <v>550.4897075</v>
      </c>
      <c r="AU659" s="49">
        <f t="shared" si="510"/>
        <v>550.4897075</v>
      </c>
      <c r="AV659" s="48"/>
      <c r="AW659" s="34">
        <f t="shared" si="492"/>
        <v>2190</v>
      </c>
      <c r="AX659" s="50">
        <f t="shared" si="413"/>
        <v>110.0979415</v>
      </c>
      <c r="AY659" s="43"/>
      <c r="AZ659" s="43"/>
      <c r="BA659" s="48" t="str">
        <f>IF(S659&lt;&gt;0,AU659-#REF!-AM659,(AG659-AD659-AE659-AS659))</f>
        <v>#REF!</v>
      </c>
      <c r="BB659" s="27"/>
      <c r="BC659" s="27"/>
      <c r="BD659" s="51"/>
      <c r="BE659" s="52"/>
      <c r="BF659" s="27" t="s">
        <v>2226</v>
      </c>
      <c r="BG659" s="58" t="s">
        <v>2227</v>
      </c>
      <c r="BH659" s="53" t="str">
        <f>'[1]2023'!Q604</f>
        <v>#REF!</v>
      </c>
      <c r="BI659" s="27"/>
      <c r="BJ659" s="27"/>
      <c r="BK659" s="27" t="s">
        <v>76</v>
      </c>
      <c r="BL659" s="165" t="s">
        <v>2228</v>
      </c>
    </row>
    <row r="660" ht="14.25" customHeight="1">
      <c r="A660" s="26" t="s">
        <v>55</v>
      </c>
      <c r="B660" s="26" t="s">
        <v>56</v>
      </c>
      <c r="C660" s="26" t="s">
        <v>57</v>
      </c>
      <c r="D660" s="26" t="s">
        <v>81</v>
      </c>
      <c r="E660" s="27" t="s">
        <v>2229</v>
      </c>
      <c r="F660" s="28" t="s">
        <v>2230</v>
      </c>
      <c r="G660" s="29" t="s">
        <v>2225</v>
      </c>
      <c r="H660" s="30">
        <v>45107.0</v>
      </c>
      <c r="I660" s="30">
        <v>45472.0</v>
      </c>
      <c r="J660" s="31">
        <v>0.0</v>
      </c>
      <c r="K660" s="26" t="s">
        <v>440</v>
      </c>
      <c r="L660" s="32" t="s">
        <v>75</v>
      </c>
      <c r="M660" s="33">
        <v>22125.0</v>
      </c>
      <c r="N660" s="34">
        <v>23571.38</v>
      </c>
      <c r="O660" s="27" t="s">
        <v>76</v>
      </c>
      <c r="P660" s="35" t="s">
        <v>122</v>
      </c>
      <c r="Q660" s="35" t="s">
        <v>90</v>
      </c>
      <c r="R660" s="36" t="e">
        <v>#VALUE!</v>
      </c>
      <c r="S660" s="35" t="s">
        <v>86</v>
      </c>
      <c r="T660" s="35">
        <v>0.0</v>
      </c>
      <c r="U660" s="37" t="s">
        <v>67</v>
      </c>
      <c r="V660" s="38"/>
      <c r="W660" s="38"/>
      <c r="X660" s="27"/>
      <c r="Y660" s="39"/>
      <c r="Z660" s="79" t="s">
        <v>208</v>
      </c>
      <c r="AA660" s="39"/>
      <c r="AB660" s="40"/>
      <c r="AC660" s="27">
        <f t="shared" si="504"/>
        <v>0</v>
      </c>
      <c r="AD660" s="41">
        <f>IF(AND(S660="0",O660="Paid"),M660*15%,0)</f>
        <v>3318.75</v>
      </c>
      <c r="AE660" s="42"/>
      <c r="AF660" s="27"/>
      <c r="AG660" s="43">
        <f t="shared" ref="AG660:AG664" si="513">IF(O660="Paid",IF(A660="Alwataniya",(M660*21%)-((M660*21%)*5%),IF((A660="GIG"),(M660*25%)-((M660*25%)*5%),IF((A660="Allianz"),(M660*27%)-((M660*27%)*5%),0))),0)</f>
        <v>5675.0625</v>
      </c>
      <c r="AH660" s="29"/>
      <c r="AI660" s="29"/>
      <c r="AJ660" s="29"/>
      <c r="AK660" s="29"/>
      <c r="AL660" s="27"/>
      <c r="AM660" s="44"/>
      <c r="AN660" s="63"/>
      <c r="AO660" s="46"/>
      <c r="AP660" s="47"/>
      <c r="AQ660" s="43">
        <f t="shared" ref="AQ660:AQ664" si="514">IF(U660="Motor Plus",(M660*27%),IF(U660="Motor One",(M660*22%),(IF(U660="Golden",(M660*25%),(IF(U660="Classic",(M660*15%),(IF(U660="Wethaq",(M660*28%),IF(U660="Alwataniya",(M660*21%))*0))))))))</f>
        <v>5973.75</v>
      </c>
      <c r="AR660" s="43">
        <f t="shared" si="448"/>
        <v>298.6875</v>
      </c>
      <c r="AS660" s="43">
        <f t="shared" si="449"/>
        <v>1045.40625</v>
      </c>
      <c r="AT660" s="48">
        <f t="shared" si="450"/>
        <v>4629.65625</v>
      </c>
      <c r="AU660" s="49">
        <f t="shared" si="510"/>
        <v>4629.65625</v>
      </c>
      <c r="AV660" s="48"/>
      <c r="AW660" s="34">
        <f t="shared" si="492"/>
        <v>20252.63</v>
      </c>
      <c r="AX660" s="50">
        <f t="shared" si="413"/>
        <v>1310.90625</v>
      </c>
      <c r="AY660" s="43"/>
      <c r="AZ660" s="43"/>
      <c r="BA660" s="48">
        <f t="shared" ref="BA660:BA664" si="515">IF(S660&lt;&gt;0,AU660-AO660-AM660,(AG660-AD660-AE660-AS660))</f>
        <v>4629.65625</v>
      </c>
      <c r="BB660" s="27"/>
      <c r="BC660" s="27"/>
      <c r="BD660" s="51"/>
      <c r="BE660" s="52"/>
      <c r="BF660" s="27" t="s">
        <v>2229</v>
      </c>
      <c r="BG660" s="53">
        <v>0.0</v>
      </c>
      <c r="BH660" s="53" t="str">
        <f>'[1]2023'!Q761</f>
        <v>#REF!</v>
      </c>
      <c r="BI660" s="27"/>
      <c r="BJ660" s="27"/>
      <c r="BK660" s="27" t="s">
        <v>76</v>
      </c>
      <c r="BL660" s="27"/>
    </row>
    <row r="661" ht="14.25" customHeight="1">
      <c r="A661" s="26" t="s">
        <v>55</v>
      </c>
      <c r="B661" s="26" t="s">
        <v>56</v>
      </c>
      <c r="C661" s="26" t="s">
        <v>57</v>
      </c>
      <c r="D661" s="26" t="s">
        <v>81</v>
      </c>
      <c r="E661" s="27" t="s">
        <v>2231</v>
      </c>
      <c r="F661" s="28" t="s">
        <v>2232</v>
      </c>
      <c r="G661" s="29" t="s">
        <v>2225</v>
      </c>
      <c r="H661" s="30">
        <v>45107.0</v>
      </c>
      <c r="I661" s="30">
        <v>45472.0</v>
      </c>
      <c r="J661" s="31">
        <v>0.0</v>
      </c>
      <c r="K661" s="26" t="s">
        <v>440</v>
      </c>
      <c r="L661" s="32" t="s">
        <v>75</v>
      </c>
      <c r="M661" s="33">
        <v>37506.0</v>
      </c>
      <c r="N661" s="34">
        <v>39859.86</v>
      </c>
      <c r="O661" s="27" t="s">
        <v>76</v>
      </c>
      <c r="P661" s="35" t="s">
        <v>77</v>
      </c>
      <c r="Q661" s="35" t="s">
        <v>65</v>
      </c>
      <c r="R661" s="36" t="e">
        <v>#VALUE!</v>
      </c>
      <c r="S661" s="35" t="s">
        <v>86</v>
      </c>
      <c r="T661" s="35">
        <v>0.0</v>
      </c>
      <c r="U661" s="37" t="s">
        <v>157</v>
      </c>
      <c r="V661" s="38"/>
      <c r="W661" s="38"/>
      <c r="X661" s="27"/>
      <c r="Y661" s="39"/>
      <c r="Z661" s="39"/>
      <c r="AA661" s="39"/>
      <c r="AB661" s="40"/>
      <c r="AC661" s="27">
        <f t="shared" si="504"/>
        <v>0</v>
      </c>
      <c r="AD661" s="41"/>
      <c r="AE661" s="42"/>
      <c r="AF661" s="27"/>
      <c r="AG661" s="43">
        <f t="shared" si="513"/>
        <v>9620.289</v>
      </c>
      <c r="AH661" s="29"/>
      <c r="AI661" s="29"/>
      <c r="AJ661" s="29"/>
      <c r="AK661" s="29"/>
      <c r="AL661" s="27"/>
      <c r="AM661" s="44"/>
      <c r="AN661" s="63"/>
      <c r="AO661" s="46"/>
      <c r="AP661" s="47"/>
      <c r="AQ661" s="43">
        <f t="shared" si="514"/>
        <v>8251.32</v>
      </c>
      <c r="AR661" s="43">
        <f t="shared" si="448"/>
        <v>412.566</v>
      </c>
      <c r="AS661" s="43">
        <f t="shared" si="449"/>
        <v>1443.981</v>
      </c>
      <c r="AT661" s="48">
        <f t="shared" si="450"/>
        <v>6394.773</v>
      </c>
      <c r="AU661" s="49">
        <f t="shared" si="510"/>
        <v>6394.773</v>
      </c>
      <c r="AV661" s="48"/>
      <c r="AW661" s="34">
        <f t="shared" si="492"/>
        <v>39859.86</v>
      </c>
      <c r="AX661" s="50">
        <f t="shared" si="413"/>
        <v>8176.308</v>
      </c>
      <c r="AY661" s="43"/>
      <c r="AZ661" s="43"/>
      <c r="BA661" s="48">
        <f t="shared" si="515"/>
        <v>6394.773</v>
      </c>
      <c r="BB661" s="27"/>
      <c r="BC661" s="27"/>
      <c r="BD661" s="51"/>
      <c r="BE661" s="52"/>
      <c r="BF661" s="27" t="s">
        <v>2231</v>
      </c>
      <c r="BG661" s="58" t="s">
        <v>2233</v>
      </c>
      <c r="BH661" s="53" t="str">
        <f>'[1]2023'!Q817</f>
        <v>#REF!</v>
      </c>
      <c r="BI661" s="27"/>
      <c r="BJ661" s="27"/>
      <c r="BK661" s="27" t="s">
        <v>76</v>
      </c>
      <c r="BL661" s="27"/>
    </row>
    <row r="662" ht="14.25" customHeight="1">
      <c r="A662" s="26" t="s">
        <v>55</v>
      </c>
      <c r="B662" s="26" t="s">
        <v>56</v>
      </c>
      <c r="C662" s="26" t="s">
        <v>57</v>
      </c>
      <c r="D662" s="26" t="s">
        <v>81</v>
      </c>
      <c r="E662" s="27" t="s">
        <v>2234</v>
      </c>
      <c r="F662" s="28" t="s">
        <v>2235</v>
      </c>
      <c r="G662" s="29" t="s">
        <v>2225</v>
      </c>
      <c r="H662" s="30">
        <v>45107.0</v>
      </c>
      <c r="I662" s="30">
        <v>45472.0</v>
      </c>
      <c r="J662" s="31">
        <v>0.0</v>
      </c>
      <c r="K662" s="26" t="s">
        <v>440</v>
      </c>
      <c r="L662" s="32" t="s">
        <v>75</v>
      </c>
      <c r="M662" s="33">
        <v>33040.0</v>
      </c>
      <c r="N662" s="34">
        <v>35129.36</v>
      </c>
      <c r="O662" s="27" t="s">
        <v>76</v>
      </c>
      <c r="P662" s="35" t="s">
        <v>89</v>
      </c>
      <c r="Q662" s="35" t="s">
        <v>90</v>
      </c>
      <c r="R662" s="36" t="e">
        <v>#VALUE!</v>
      </c>
      <c r="S662" s="35" t="s">
        <v>86</v>
      </c>
      <c r="T662" s="35">
        <v>0.0</v>
      </c>
      <c r="U662" s="37" t="s">
        <v>67</v>
      </c>
      <c r="V662" s="38"/>
      <c r="W662" s="38"/>
      <c r="X662" s="27"/>
      <c r="Y662" s="39"/>
      <c r="Z662" s="79" t="s">
        <v>208</v>
      </c>
      <c r="AA662" s="39"/>
      <c r="AB662" s="40"/>
      <c r="AC662" s="27">
        <f t="shared" si="504"/>
        <v>0</v>
      </c>
      <c r="AD662" s="41">
        <f>IF(AND(S662="0",O662="Paid"),M662*15%,0)</f>
        <v>4956</v>
      </c>
      <c r="AE662" s="42"/>
      <c r="AF662" s="27"/>
      <c r="AG662" s="43">
        <f t="shared" si="513"/>
        <v>8474.76</v>
      </c>
      <c r="AH662" s="29"/>
      <c r="AI662" s="29"/>
      <c r="AJ662" s="29"/>
      <c r="AK662" s="29"/>
      <c r="AL662" s="27"/>
      <c r="AM662" s="44"/>
      <c r="AN662" s="63"/>
      <c r="AO662" s="46"/>
      <c r="AP662" s="47"/>
      <c r="AQ662" s="43">
        <f t="shared" si="514"/>
        <v>8920.8</v>
      </c>
      <c r="AR662" s="43">
        <f t="shared" si="448"/>
        <v>446.04</v>
      </c>
      <c r="AS662" s="43">
        <f t="shared" si="449"/>
        <v>1561.14</v>
      </c>
      <c r="AT662" s="48">
        <f t="shared" si="450"/>
        <v>6913.62</v>
      </c>
      <c r="AU662" s="49">
        <f t="shared" si="510"/>
        <v>6913.62</v>
      </c>
      <c r="AV662" s="48"/>
      <c r="AW662" s="34">
        <f t="shared" si="492"/>
        <v>30173.36</v>
      </c>
      <c r="AX662" s="50">
        <f t="shared" si="413"/>
        <v>1957.62</v>
      </c>
      <c r="AY662" s="43"/>
      <c r="AZ662" s="43"/>
      <c r="BA662" s="48">
        <f t="shared" si="515"/>
        <v>6913.62</v>
      </c>
      <c r="BB662" s="27"/>
      <c r="BC662" s="27"/>
      <c r="BD662" s="51"/>
      <c r="BE662" s="52"/>
      <c r="BF662" s="27" t="s">
        <v>2234</v>
      </c>
      <c r="BG662" s="53">
        <v>0.0</v>
      </c>
      <c r="BH662" s="53" t="str">
        <f>'[1]2023'!Q826</f>
        <v>#REF!</v>
      </c>
      <c r="BI662" s="27"/>
      <c r="BJ662" s="27"/>
      <c r="BK662" s="27" t="s">
        <v>76</v>
      </c>
      <c r="BL662" s="27"/>
    </row>
    <row r="663" ht="14.25" customHeight="1">
      <c r="A663" s="26" t="s">
        <v>55</v>
      </c>
      <c r="B663" s="26" t="s">
        <v>56</v>
      </c>
      <c r="C663" s="26" t="s">
        <v>57</v>
      </c>
      <c r="D663" s="26" t="s">
        <v>81</v>
      </c>
      <c r="E663" s="27" t="s">
        <v>247</v>
      </c>
      <c r="F663" s="28" t="s">
        <v>2236</v>
      </c>
      <c r="G663" s="29" t="s">
        <v>2225</v>
      </c>
      <c r="H663" s="30">
        <v>45107.0</v>
      </c>
      <c r="I663" s="30">
        <v>45472.0</v>
      </c>
      <c r="J663" s="31">
        <v>0.0</v>
      </c>
      <c r="K663" s="26" t="s">
        <v>440</v>
      </c>
      <c r="L663" s="32" t="s">
        <v>75</v>
      </c>
      <c r="M663" s="33">
        <v>36875.0</v>
      </c>
      <c r="N663" s="34">
        <v>39191.63</v>
      </c>
      <c r="O663" s="27" t="s">
        <v>76</v>
      </c>
      <c r="P663" s="35" t="s">
        <v>122</v>
      </c>
      <c r="Q663" s="35" t="s">
        <v>90</v>
      </c>
      <c r="R663" s="36" t="e">
        <v>#VALUE!</v>
      </c>
      <c r="S663" s="35" t="s">
        <v>86</v>
      </c>
      <c r="T663" s="35">
        <v>0.0</v>
      </c>
      <c r="U663" s="37" t="s">
        <v>67</v>
      </c>
      <c r="V663" s="38"/>
      <c r="W663" s="38"/>
      <c r="X663" s="27"/>
      <c r="Y663" s="39"/>
      <c r="Z663" s="39">
        <v>3008.0</v>
      </c>
      <c r="AA663" s="39"/>
      <c r="AB663" s="40"/>
      <c r="AC663" s="27">
        <f t="shared" si="504"/>
        <v>0</v>
      </c>
      <c r="AD663" s="41">
        <f t="shared" ref="AD663:AD664" si="516">IF(AND(S663="0",O663="Paid"),(M663*15%)-AC663,0)</f>
        <v>5531.25</v>
      </c>
      <c r="AE663" s="42"/>
      <c r="AF663" s="27"/>
      <c r="AG663" s="43">
        <f t="shared" si="513"/>
        <v>9458.4375</v>
      </c>
      <c r="AH663" s="29"/>
      <c r="AI663" s="29"/>
      <c r="AJ663" s="29"/>
      <c r="AK663" s="29"/>
      <c r="AL663" s="27"/>
      <c r="AM663" s="44"/>
      <c r="AN663" s="63"/>
      <c r="AO663" s="46"/>
      <c r="AP663" s="47"/>
      <c r="AQ663" s="43">
        <f t="shared" si="514"/>
        <v>9956.25</v>
      </c>
      <c r="AR663" s="43">
        <f t="shared" si="448"/>
        <v>497.8125</v>
      </c>
      <c r="AS663" s="43">
        <f t="shared" si="449"/>
        <v>1742.34375</v>
      </c>
      <c r="AT663" s="48">
        <f t="shared" si="450"/>
        <v>7716.09375</v>
      </c>
      <c r="AU663" s="49">
        <f t="shared" si="510"/>
        <v>7716.09375</v>
      </c>
      <c r="AV663" s="48"/>
      <c r="AW663" s="34">
        <f t="shared" si="492"/>
        <v>33660.38</v>
      </c>
      <c r="AX663" s="50">
        <f t="shared" si="413"/>
        <v>2184.84375</v>
      </c>
      <c r="AY663" s="43"/>
      <c r="AZ663" s="43"/>
      <c r="BA663" s="48">
        <f t="shared" si="515"/>
        <v>7716.09375</v>
      </c>
      <c r="BB663" s="27"/>
      <c r="BC663" s="27"/>
      <c r="BD663" s="51"/>
      <c r="BE663" s="52"/>
      <c r="BF663" s="27" t="s">
        <v>245</v>
      </c>
      <c r="BG663" s="53">
        <v>0.0</v>
      </c>
      <c r="BH663" s="53" t="str">
        <f>'[1]2023'!Q833</f>
        <v>#REF!</v>
      </c>
      <c r="BI663" s="27"/>
      <c r="BJ663" s="27"/>
      <c r="BK663" s="27" t="s">
        <v>76</v>
      </c>
      <c r="BL663" s="27"/>
    </row>
    <row r="664" ht="14.25" customHeight="1">
      <c r="A664" s="26" t="s">
        <v>55</v>
      </c>
      <c r="B664" s="26" t="s">
        <v>56</v>
      </c>
      <c r="C664" s="26" t="s">
        <v>57</v>
      </c>
      <c r="D664" s="26" t="s">
        <v>81</v>
      </c>
      <c r="E664" s="27" t="s">
        <v>2237</v>
      </c>
      <c r="F664" s="28" t="s">
        <v>2238</v>
      </c>
      <c r="G664" s="29" t="s">
        <v>2225</v>
      </c>
      <c r="H664" s="30">
        <v>45107.0</v>
      </c>
      <c r="I664" s="30">
        <v>45472.0</v>
      </c>
      <c r="J664" s="31">
        <v>0.0</v>
      </c>
      <c r="K664" s="26" t="s">
        <v>2069</v>
      </c>
      <c r="L664" s="32" t="s">
        <v>75</v>
      </c>
      <c r="M664" s="33">
        <v>25350.0</v>
      </c>
      <c r="N664" s="34">
        <v>26987.0</v>
      </c>
      <c r="O664" s="27" t="s">
        <v>76</v>
      </c>
      <c r="P664" s="35" t="s">
        <v>89</v>
      </c>
      <c r="Q664" s="35" t="s">
        <v>90</v>
      </c>
      <c r="R664" s="36" t="e">
        <v>#VALUE!</v>
      </c>
      <c r="S664" s="35" t="s">
        <v>86</v>
      </c>
      <c r="T664" s="35">
        <v>0.0</v>
      </c>
      <c r="U664" s="37" t="s">
        <v>67</v>
      </c>
      <c r="V664" s="38"/>
      <c r="W664" s="38"/>
      <c r="X664" s="27"/>
      <c r="Y664" s="39"/>
      <c r="Z664" s="39">
        <v>5008.0</v>
      </c>
      <c r="AA664" s="39"/>
      <c r="AB664" s="40"/>
      <c r="AC664" s="27">
        <f t="shared" si="504"/>
        <v>0</v>
      </c>
      <c r="AD664" s="41">
        <f t="shared" si="516"/>
        <v>3802.5</v>
      </c>
      <c r="AE664" s="42"/>
      <c r="AF664" s="27"/>
      <c r="AG664" s="43">
        <f t="shared" si="513"/>
        <v>6502.275</v>
      </c>
      <c r="AH664" s="29"/>
      <c r="AI664" s="29"/>
      <c r="AJ664" s="29"/>
      <c r="AK664" s="29"/>
      <c r="AL664" s="27"/>
      <c r="AM664" s="44"/>
      <c r="AN664" s="47"/>
      <c r="AO664" s="46"/>
      <c r="AP664" s="47"/>
      <c r="AQ664" s="43">
        <f t="shared" si="514"/>
        <v>6844.5</v>
      </c>
      <c r="AR664" s="43">
        <f t="shared" si="448"/>
        <v>342.225</v>
      </c>
      <c r="AS664" s="43">
        <f t="shared" si="449"/>
        <v>1197.7875</v>
      </c>
      <c r="AT664" s="48">
        <f t="shared" si="450"/>
        <v>5304.4875</v>
      </c>
      <c r="AU664" s="49">
        <f t="shared" si="510"/>
        <v>5304.4875</v>
      </c>
      <c r="AV664" s="48"/>
      <c r="AW664" s="34">
        <f t="shared" si="492"/>
        <v>23184.5</v>
      </c>
      <c r="AX664" s="50">
        <f t="shared" si="413"/>
        <v>1501.9875</v>
      </c>
      <c r="AY664" s="43"/>
      <c r="AZ664" s="43"/>
      <c r="BA664" s="48">
        <f t="shared" si="515"/>
        <v>5304.4875</v>
      </c>
      <c r="BB664" s="27"/>
      <c r="BC664" s="27"/>
      <c r="BD664" s="51"/>
      <c r="BE664" s="52"/>
      <c r="BF664" s="27" t="s">
        <v>2237</v>
      </c>
      <c r="BG664" s="53">
        <v>0.0</v>
      </c>
      <c r="BH664" s="53" t="str">
        <f>'[1]2023'!Q925</f>
        <v>#REF!</v>
      </c>
      <c r="BI664" s="27"/>
      <c r="BJ664" s="27"/>
      <c r="BK664" s="27" t="s">
        <v>76</v>
      </c>
      <c r="BL664" s="27"/>
    </row>
    <row r="665" ht="14.25" customHeight="1">
      <c r="A665" s="26" t="s">
        <v>1634</v>
      </c>
      <c r="B665" s="26" t="s">
        <v>69</v>
      </c>
      <c r="C665" s="26" t="s">
        <v>57</v>
      </c>
      <c r="D665" s="26" t="s">
        <v>71</v>
      </c>
      <c r="E665" s="27" t="s">
        <v>2239</v>
      </c>
      <c r="F665" s="26" t="s">
        <v>2240</v>
      </c>
      <c r="G665" s="29" t="s">
        <v>2225</v>
      </c>
      <c r="H665" s="30">
        <v>45107.0</v>
      </c>
      <c r="I665" s="30">
        <v>45472.0</v>
      </c>
      <c r="J665" s="31" t="s">
        <v>880</v>
      </c>
      <c r="K665" s="26" t="s">
        <v>427</v>
      </c>
      <c r="L665" s="32" t="s">
        <v>2241</v>
      </c>
      <c r="M665" s="33">
        <v>4289.0</v>
      </c>
      <c r="N665" s="34">
        <v>15000.0</v>
      </c>
      <c r="O665" s="27" t="s">
        <v>76</v>
      </c>
      <c r="P665" s="35" t="s">
        <v>77</v>
      </c>
      <c r="Q665" s="35">
        <v>0.0</v>
      </c>
      <c r="R665" s="36" t="e">
        <v>#VALUE!</v>
      </c>
      <c r="S665" s="35" t="s">
        <v>78</v>
      </c>
      <c r="T665" s="54" t="s">
        <v>79</v>
      </c>
      <c r="U665" s="37" t="s">
        <v>1634</v>
      </c>
      <c r="V665" s="38"/>
      <c r="W665" s="38"/>
      <c r="X665" s="27"/>
      <c r="Y665" s="39"/>
      <c r="Z665" s="39"/>
      <c r="AA665" s="39"/>
      <c r="AB665" s="40"/>
      <c r="AC665" s="27">
        <f t="shared" si="504"/>
        <v>0</v>
      </c>
      <c r="AD665" s="41"/>
      <c r="AE665" s="42"/>
      <c r="AF665" s="43"/>
      <c r="AG665" s="43">
        <f>IF(O665="Paid",IF(A665="Egyptian",(M665*17.5%)-((M665*17.5%)*5%)))</f>
        <v>713.04625</v>
      </c>
      <c r="AH665" s="29" t="s">
        <v>1107</v>
      </c>
      <c r="AI665" s="29"/>
      <c r="AJ665" s="40">
        <v>0.175</v>
      </c>
      <c r="AK665" s="29">
        <v>45085.0</v>
      </c>
      <c r="AL665" s="27"/>
      <c r="AM665" s="44"/>
      <c r="AN665" s="56"/>
      <c r="AO665" s="46">
        <f>((M665*AJ665)-((M665*AJ665)*22.5%))*80%</f>
        <v>465.3565</v>
      </c>
      <c r="AP665" s="57">
        <v>45177.0</v>
      </c>
      <c r="AQ665" s="43">
        <f t="shared" ref="AQ665:AQ669" si="517">M665*AJ665</f>
        <v>750.575</v>
      </c>
      <c r="AR665" s="43">
        <f t="shared" si="448"/>
        <v>37.52875</v>
      </c>
      <c r="AS665" s="43">
        <f t="shared" si="449"/>
        <v>131.350625</v>
      </c>
      <c r="AT665" s="48">
        <f t="shared" si="450"/>
        <v>581.695625</v>
      </c>
      <c r="AU665" s="49">
        <f t="shared" si="510"/>
        <v>581.695625</v>
      </c>
      <c r="AV665" s="48"/>
      <c r="AW665" s="34">
        <f t="shared" si="492"/>
        <v>15000</v>
      </c>
      <c r="AX665" s="50">
        <f t="shared" si="413"/>
        <v>116.339125</v>
      </c>
      <c r="AY665" s="43"/>
      <c r="AZ665" s="47"/>
      <c r="BA665" s="48" t="str">
        <f>IF(S665&lt;&gt;0,AU665-#REF!-AM665,(AG665-AD665-AE665-AS665))</f>
        <v>#REF!</v>
      </c>
      <c r="BB665" s="27"/>
      <c r="BC665" s="27"/>
      <c r="BD665" s="51"/>
      <c r="BE665" s="52"/>
      <c r="BF665" s="27" t="s">
        <v>2239</v>
      </c>
      <c r="BG665" s="58" t="s">
        <v>2242</v>
      </c>
      <c r="BH665" s="53" t="str">
        <f>'[1]2023'!Q959</f>
        <v>#REF!</v>
      </c>
      <c r="BI665" s="27"/>
      <c r="BJ665" s="27"/>
      <c r="BK665" s="27" t="s">
        <v>76</v>
      </c>
      <c r="BL665" s="165" t="s">
        <v>2243</v>
      </c>
    </row>
    <row r="666" ht="14.25" customHeight="1">
      <c r="A666" s="26" t="s">
        <v>68</v>
      </c>
      <c r="B666" s="26" t="s">
        <v>213</v>
      </c>
      <c r="C666" s="26" t="s">
        <v>70</v>
      </c>
      <c r="D666" s="26" t="s">
        <v>71</v>
      </c>
      <c r="E666" s="27" t="s">
        <v>2244</v>
      </c>
      <c r="F666" s="28" t="s">
        <v>2224</v>
      </c>
      <c r="G666" s="29" t="s">
        <v>2225</v>
      </c>
      <c r="H666" s="30">
        <v>45107.0</v>
      </c>
      <c r="I666" s="30">
        <v>45472.0</v>
      </c>
      <c r="J666" s="31">
        <v>0.0</v>
      </c>
      <c r="K666" s="26">
        <v>0.0</v>
      </c>
      <c r="L666" s="69">
        <v>45048.0</v>
      </c>
      <c r="M666" s="153">
        <v>10950.0</v>
      </c>
      <c r="N666" s="154">
        <v>0.0</v>
      </c>
      <c r="O666" s="27" t="s">
        <v>76</v>
      </c>
      <c r="P666" s="35" t="s">
        <v>77</v>
      </c>
      <c r="Q666" s="35">
        <v>0.0</v>
      </c>
      <c r="R666" s="36" t="e">
        <v>#VALUE!</v>
      </c>
      <c r="S666" s="35" t="s">
        <v>78</v>
      </c>
      <c r="T666" s="54" t="s">
        <v>79</v>
      </c>
      <c r="U666" s="37" t="s">
        <v>68</v>
      </c>
      <c r="V666" s="38"/>
      <c r="W666" s="38"/>
      <c r="X666" s="27"/>
      <c r="Y666" s="39"/>
      <c r="Z666" s="39"/>
      <c r="AA666" s="39"/>
      <c r="AB666" s="40"/>
      <c r="AC666" s="27">
        <f t="shared" si="504"/>
        <v>0</v>
      </c>
      <c r="AD666" s="41"/>
      <c r="AE666" s="42"/>
      <c r="AF666" s="27"/>
      <c r="AG666" s="43">
        <f t="shared" ref="AG666:AG668" si="518">IF(O666="Paid",IF(A666="Wethaq",(M666*17%)-((M666*17%)*5%)))</f>
        <v>1768.425</v>
      </c>
      <c r="AH666" s="29">
        <v>45115.0</v>
      </c>
      <c r="AI666" s="29">
        <v>45115.0</v>
      </c>
      <c r="AJ666" s="166">
        <v>0.17</v>
      </c>
      <c r="AK666" s="29">
        <v>44993.0</v>
      </c>
      <c r="AL666" s="27"/>
      <c r="AM666" s="44"/>
      <c r="AN666" s="47"/>
      <c r="AO666" s="46">
        <f t="shared" ref="AO666:AO668" si="519">(AG666-(AG666*17.5%))*80%</f>
        <v>1167.1605</v>
      </c>
      <c r="AP666" s="57">
        <v>45177.0</v>
      </c>
      <c r="AQ666" s="43">
        <f t="shared" si="517"/>
        <v>1861.5</v>
      </c>
      <c r="AR666" s="43">
        <f t="shared" si="448"/>
        <v>93.075</v>
      </c>
      <c r="AS666" s="43">
        <f t="shared" si="449"/>
        <v>325.7625</v>
      </c>
      <c r="AT666" s="48">
        <f t="shared" si="450"/>
        <v>1442.6625</v>
      </c>
      <c r="AU666" s="49">
        <f t="shared" si="510"/>
        <v>1442.6625</v>
      </c>
      <c r="AV666" s="48"/>
      <c r="AW666" s="34">
        <f t="shared" si="492"/>
        <v>0</v>
      </c>
      <c r="AX666" s="50">
        <f t="shared" si="413"/>
        <v>275.502</v>
      </c>
      <c r="AY666" s="43"/>
      <c r="AZ666" s="47"/>
      <c r="BA666" s="48">
        <f t="shared" ref="BA666:BA674" si="520">IF(S666&lt;&gt;0,AU666-AO666-AM666,(AG666-AD666-AE666-AS666))</f>
        <v>275.502</v>
      </c>
      <c r="BB666" s="27"/>
      <c r="BC666" s="27"/>
      <c r="BD666" s="51"/>
      <c r="BE666" s="52"/>
      <c r="BF666" s="27" t="s">
        <v>2244</v>
      </c>
      <c r="BG666" s="53">
        <v>0.0</v>
      </c>
      <c r="BH666" s="53" t="str">
        <f>'[1]2023'!Q969</f>
        <v>#REF!</v>
      </c>
      <c r="BI666" s="27"/>
      <c r="BJ666" s="27"/>
      <c r="BK666" s="27" t="s">
        <v>76</v>
      </c>
      <c r="BL666" s="27"/>
    </row>
    <row r="667" ht="14.25" customHeight="1">
      <c r="A667" s="26" t="s">
        <v>68</v>
      </c>
      <c r="B667" s="26" t="s">
        <v>213</v>
      </c>
      <c r="C667" s="26" t="s">
        <v>70</v>
      </c>
      <c r="D667" s="26" t="s">
        <v>71</v>
      </c>
      <c r="E667" s="27" t="s">
        <v>2245</v>
      </c>
      <c r="F667" s="28" t="s">
        <v>2224</v>
      </c>
      <c r="G667" s="29" t="s">
        <v>2225</v>
      </c>
      <c r="H667" s="30">
        <v>45107.0</v>
      </c>
      <c r="I667" s="30">
        <v>45472.0</v>
      </c>
      <c r="J667" s="31">
        <v>0.0</v>
      </c>
      <c r="K667" s="26">
        <v>0.0</v>
      </c>
      <c r="L667" s="32" t="s">
        <v>2241</v>
      </c>
      <c r="M667" s="153">
        <v>15000.0</v>
      </c>
      <c r="N667" s="154">
        <v>0.0</v>
      </c>
      <c r="O667" s="27" t="s">
        <v>76</v>
      </c>
      <c r="P667" s="35" t="s">
        <v>77</v>
      </c>
      <c r="Q667" s="35">
        <v>0.0</v>
      </c>
      <c r="R667" s="36" t="e">
        <v>#VALUE!</v>
      </c>
      <c r="S667" s="35" t="s">
        <v>78</v>
      </c>
      <c r="T667" s="54" t="s">
        <v>79</v>
      </c>
      <c r="U667" s="37">
        <v>0.0</v>
      </c>
      <c r="V667" s="38"/>
      <c r="W667" s="38"/>
      <c r="X667" s="27"/>
      <c r="Y667" s="39"/>
      <c r="Z667" s="39"/>
      <c r="AA667" s="39"/>
      <c r="AB667" s="40"/>
      <c r="AC667" s="27">
        <f t="shared" si="504"/>
        <v>0</v>
      </c>
      <c r="AD667" s="41"/>
      <c r="AE667" s="42"/>
      <c r="AF667" s="27"/>
      <c r="AG667" s="43">
        <f t="shared" si="518"/>
        <v>2422.5</v>
      </c>
      <c r="AH667" s="29">
        <v>45115.0</v>
      </c>
      <c r="AI667" s="29">
        <v>45115.0</v>
      </c>
      <c r="AJ667" s="166">
        <v>0.17</v>
      </c>
      <c r="AK667" s="29">
        <v>44993.0</v>
      </c>
      <c r="AL667" s="27"/>
      <c r="AM667" s="44"/>
      <c r="AN667" s="47"/>
      <c r="AO667" s="46">
        <f t="shared" si="519"/>
        <v>1598.85</v>
      </c>
      <c r="AP667" s="57">
        <v>45177.0</v>
      </c>
      <c r="AQ667" s="43">
        <f t="shared" si="517"/>
        <v>2550</v>
      </c>
      <c r="AR667" s="43">
        <f t="shared" si="448"/>
        <v>127.5</v>
      </c>
      <c r="AS667" s="43">
        <f t="shared" si="449"/>
        <v>446.25</v>
      </c>
      <c r="AT667" s="48">
        <f t="shared" si="450"/>
        <v>1976.25</v>
      </c>
      <c r="AU667" s="49">
        <f t="shared" si="510"/>
        <v>1976.25</v>
      </c>
      <c r="AV667" s="48"/>
      <c r="AW667" s="34">
        <f t="shared" si="492"/>
        <v>0</v>
      </c>
      <c r="AX667" s="50">
        <f t="shared" si="413"/>
        <v>377.4</v>
      </c>
      <c r="AY667" s="43"/>
      <c r="AZ667" s="47"/>
      <c r="BA667" s="48">
        <f t="shared" si="520"/>
        <v>377.4</v>
      </c>
      <c r="BB667" s="27"/>
      <c r="BC667" s="27"/>
      <c r="BD667" s="51"/>
      <c r="BE667" s="52"/>
      <c r="BF667" s="27" t="s">
        <v>2245</v>
      </c>
      <c r="BG667" s="53">
        <v>0.0</v>
      </c>
      <c r="BH667" s="53" t="str">
        <f t="shared" ref="BH667:BH668" si="521">'[1]2023'!Q977</f>
        <v>#REF!</v>
      </c>
      <c r="BI667" s="27"/>
      <c r="BJ667" s="27"/>
      <c r="BK667" s="27" t="s">
        <v>76</v>
      </c>
      <c r="BL667" s="27"/>
    </row>
    <row r="668" ht="14.25" customHeight="1">
      <c r="A668" s="26" t="s">
        <v>68</v>
      </c>
      <c r="B668" s="26" t="s">
        <v>213</v>
      </c>
      <c r="C668" s="26" t="s">
        <v>70</v>
      </c>
      <c r="D668" s="26" t="s">
        <v>71</v>
      </c>
      <c r="E668" s="27" t="s">
        <v>2246</v>
      </c>
      <c r="F668" s="28" t="s">
        <v>2224</v>
      </c>
      <c r="G668" s="29" t="s">
        <v>2225</v>
      </c>
      <c r="H668" s="30">
        <v>45107.0</v>
      </c>
      <c r="I668" s="30">
        <v>45472.0</v>
      </c>
      <c r="J668" s="31">
        <v>0.0</v>
      </c>
      <c r="K668" s="26">
        <v>0.0</v>
      </c>
      <c r="L668" s="32" t="s">
        <v>2241</v>
      </c>
      <c r="M668" s="153">
        <v>29750.0</v>
      </c>
      <c r="N668" s="154">
        <v>0.0</v>
      </c>
      <c r="O668" s="27" t="s">
        <v>76</v>
      </c>
      <c r="P668" s="35" t="s">
        <v>77</v>
      </c>
      <c r="Q668" s="35">
        <v>0.0</v>
      </c>
      <c r="R668" s="36" t="e">
        <v>#VALUE!</v>
      </c>
      <c r="S668" s="35" t="s">
        <v>78</v>
      </c>
      <c r="T668" s="54" t="s">
        <v>79</v>
      </c>
      <c r="U668" s="37">
        <v>0.0</v>
      </c>
      <c r="V668" s="38"/>
      <c r="W668" s="38"/>
      <c r="X668" s="27"/>
      <c r="Y668" s="39"/>
      <c r="Z668" s="39"/>
      <c r="AA668" s="39"/>
      <c r="AB668" s="40"/>
      <c r="AC668" s="27">
        <f t="shared" si="504"/>
        <v>0</v>
      </c>
      <c r="AD668" s="41"/>
      <c r="AE668" s="42"/>
      <c r="AF668" s="27"/>
      <c r="AG668" s="43">
        <f t="shared" si="518"/>
        <v>4804.625</v>
      </c>
      <c r="AH668" s="29">
        <v>45115.0</v>
      </c>
      <c r="AI668" s="29">
        <v>45115.0</v>
      </c>
      <c r="AJ668" s="166">
        <v>0.17</v>
      </c>
      <c r="AK668" s="29">
        <v>44993.0</v>
      </c>
      <c r="AL668" s="27"/>
      <c r="AM668" s="44"/>
      <c r="AN668" s="47"/>
      <c r="AO668" s="46">
        <f t="shared" si="519"/>
        <v>3171.0525</v>
      </c>
      <c r="AP668" s="57">
        <v>45177.0</v>
      </c>
      <c r="AQ668" s="43">
        <f t="shared" si="517"/>
        <v>5057.5</v>
      </c>
      <c r="AR668" s="43">
        <f t="shared" si="448"/>
        <v>252.875</v>
      </c>
      <c r="AS668" s="43">
        <f t="shared" si="449"/>
        <v>885.0625</v>
      </c>
      <c r="AT668" s="48">
        <f t="shared" si="450"/>
        <v>3919.5625</v>
      </c>
      <c r="AU668" s="49">
        <f t="shared" si="510"/>
        <v>3919.5625</v>
      </c>
      <c r="AV668" s="48"/>
      <c r="AW668" s="34">
        <f t="shared" si="492"/>
        <v>0</v>
      </c>
      <c r="AX668" s="50">
        <f t="shared" si="413"/>
        <v>748.51</v>
      </c>
      <c r="AY668" s="43"/>
      <c r="AZ668" s="47"/>
      <c r="BA668" s="48">
        <f t="shared" si="520"/>
        <v>748.51</v>
      </c>
      <c r="BB668" s="27"/>
      <c r="BC668" s="27"/>
      <c r="BD668" s="51"/>
      <c r="BE668" s="52"/>
      <c r="BF668" s="27" t="s">
        <v>2223</v>
      </c>
      <c r="BG668" s="53">
        <v>0.0</v>
      </c>
      <c r="BH668" s="53" t="str">
        <f t="shared" si="521"/>
        <v>#REF!</v>
      </c>
      <c r="BI668" s="27"/>
      <c r="BJ668" s="27"/>
      <c r="BK668" s="27" t="s">
        <v>76</v>
      </c>
      <c r="BL668" s="27"/>
    </row>
    <row r="669" ht="14.25" customHeight="1">
      <c r="A669" s="26" t="s">
        <v>111</v>
      </c>
      <c r="B669" s="26" t="s">
        <v>56</v>
      </c>
      <c r="C669" s="26" t="s">
        <v>57</v>
      </c>
      <c r="D669" s="26" t="s">
        <v>71</v>
      </c>
      <c r="E669" s="27" t="s">
        <v>2247</v>
      </c>
      <c r="F669" s="28" t="s">
        <v>2248</v>
      </c>
      <c r="G669" s="29">
        <v>45108.0</v>
      </c>
      <c r="H669" s="30">
        <v>45108.0</v>
      </c>
      <c r="I669" s="30">
        <v>45473.0</v>
      </c>
      <c r="J669" s="31" t="s">
        <v>2249</v>
      </c>
      <c r="K669" s="26" t="s">
        <v>887</v>
      </c>
      <c r="L669" s="32" t="s">
        <v>2250</v>
      </c>
      <c r="M669" s="33">
        <v>11977.0</v>
      </c>
      <c r="N669" s="34">
        <v>13000.0</v>
      </c>
      <c r="O669" s="27" t="s">
        <v>76</v>
      </c>
      <c r="P669" s="35" t="s">
        <v>89</v>
      </c>
      <c r="Q669" s="35" t="s">
        <v>114</v>
      </c>
      <c r="R669" s="36">
        <v>45118.0</v>
      </c>
      <c r="S669" s="35" t="s">
        <v>848</v>
      </c>
      <c r="T669" s="35">
        <v>0.0</v>
      </c>
      <c r="U669" s="37" t="s">
        <v>115</v>
      </c>
      <c r="V669" s="38">
        <v>500000.0</v>
      </c>
      <c r="W669" s="38"/>
      <c r="X669" s="27"/>
      <c r="Y669" s="39"/>
      <c r="Z669" s="79" t="s">
        <v>2251</v>
      </c>
      <c r="AA669" s="39"/>
      <c r="AB669" s="40"/>
      <c r="AC669" s="27">
        <f t="shared" si="504"/>
        <v>0</v>
      </c>
      <c r="AD669" s="41">
        <f>IF(AND(S669="0",O669="Paid"),(M669*15%)-AC669,0)</f>
        <v>0</v>
      </c>
      <c r="AE669" s="42"/>
      <c r="AF669" s="27"/>
      <c r="AG669" s="43">
        <f>IF(O669="Paid",IF(A669="Alwataniya",(M669*21%)-((M669*21%)*5%),IF((A669="GIG"),(M669*22%)-((M669*22%)*5%),IF((A669="Allianz"),(M669*27%)-((M669*27%)*20%),0))),0)</f>
        <v>2503.193</v>
      </c>
      <c r="AH669" s="29">
        <v>45237.0</v>
      </c>
      <c r="AI669" s="29">
        <v>45177.0</v>
      </c>
      <c r="AJ669" s="97">
        <v>0.22</v>
      </c>
      <c r="AK669" s="29" t="s">
        <v>922</v>
      </c>
      <c r="AL669" s="27"/>
      <c r="AM669" s="44">
        <f>IF((BD669&lt;=2),AU669*10%,(IF((BD669&lt;=3),AU669*20%,IF((BD669&lt;=4),AU669*20%,IF((BD669&gt;=5),AU669*30%,0)))))</f>
        <v>204.20785</v>
      </c>
      <c r="AN669" s="63" t="s">
        <v>886</v>
      </c>
      <c r="AO669" s="46">
        <f>IF(T669&lt;&gt;0,M669*15%,0)</f>
        <v>0</v>
      </c>
      <c r="AP669" s="47"/>
      <c r="AQ669" s="43">
        <f t="shared" si="517"/>
        <v>2634.94</v>
      </c>
      <c r="AR669" s="43">
        <f t="shared" si="448"/>
        <v>131.747</v>
      </c>
      <c r="AS669" s="43">
        <f t="shared" si="449"/>
        <v>461.1145</v>
      </c>
      <c r="AT669" s="48">
        <f t="shared" si="450"/>
        <v>2042.0785</v>
      </c>
      <c r="AU669" s="49">
        <f t="shared" si="510"/>
        <v>2042.0785</v>
      </c>
      <c r="AV669" s="134">
        <v>208.0</v>
      </c>
      <c r="AW669" s="34">
        <f t="shared" si="492"/>
        <v>13000</v>
      </c>
      <c r="AX669" s="50">
        <f t="shared" si="413"/>
        <v>1629.87065</v>
      </c>
      <c r="AY669" s="43">
        <f>IF(T669&lt;&gt;0,(AU669-AO669),0)*30%</f>
        <v>0</v>
      </c>
      <c r="AZ669" s="43"/>
      <c r="BA669" s="48">
        <f t="shared" si="520"/>
        <v>1837.87065</v>
      </c>
      <c r="BB669" s="27"/>
      <c r="BC669" s="27"/>
      <c r="BD669" s="51"/>
      <c r="BE669" s="52" t="s">
        <v>887</v>
      </c>
      <c r="BF669" s="27" t="s">
        <v>2247</v>
      </c>
      <c r="BG669" s="53">
        <v>0.0</v>
      </c>
      <c r="BH669" s="53" t="str">
        <f>'[1]2023'!Q927</f>
        <v>#REF!</v>
      </c>
      <c r="BI669" s="27"/>
      <c r="BJ669" s="27"/>
      <c r="BK669" s="27" t="s">
        <v>76</v>
      </c>
      <c r="BL669" s="64" t="s">
        <v>2252</v>
      </c>
    </row>
    <row r="670" ht="14.25" customHeight="1">
      <c r="A670" s="26" t="s">
        <v>55</v>
      </c>
      <c r="B670" s="26" t="s">
        <v>56</v>
      </c>
      <c r="C670" s="26" t="s">
        <v>57</v>
      </c>
      <c r="D670" s="26" t="s">
        <v>81</v>
      </c>
      <c r="E670" s="27" t="s">
        <v>2253</v>
      </c>
      <c r="F670" s="26" t="s">
        <v>2254</v>
      </c>
      <c r="G670" s="29">
        <v>45109.0</v>
      </c>
      <c r="H670" s="30">
        <v>45109.0</v>
      </c>
      <c r="I670" s="30">
        <v>45474.0</v>
      </c>
      <c r="J670" s="31">
        <v>0.0</v>
      </c>
      <c r="K670" s="26" t="s">
        <v>62</v>
      </c>
      <c r="L670" s="32" t="s">
        <v>75</v>
      </c>
      <c r="M670" s="33">
        <v>25960.0</v>
      </c>
      <c r="N670" s="34">
        <v>27632.64</v>
      </c>
      <c r="O670" s="27" t="s">
        <v>76</v>
      </c>
      <c r="P670" s="35" t="s">
        <v>104</v>
      </c>
      <c r="Q670" s="35" t="s">
        <v>65</v>
      </c>
      <c r="R670" s="36">
        <v>45109.0</v>
      </c>
      <c r="S670" s="35" t="s">
        <v>78</v>
      </c>
      <c r="T670" s="54" t="s">
        <v>163</v>
      </c>
      <c r="U670" s="37" t="s">
        <v>67</v>
      </c>
      <c r="V670" s="38"/>
      <c r="W670" s="38"/>
      <c r="X670" s="27"/>
      <c r="Y670" s="39"/>
      <c r="Z670" s="39"/>
      <c r="AA670" s="39"/>
      <c r="AB670" s="27"/>
      <c r="AC670" s="27">
        <f t="shared" si="504"/>
        <v>0</v>
      </c>
      <c r="AD670" s="41"/>
      <c r="AE670" s="42"/>
      <c r="AF670" s="27"/>
      <c r="AG670" s="43">
        <f t="shared" ref="AG670:AG687" si="522">IF(O670="Paid",IF(A670="Alwataniya",(M670*21%)-((M670*21%)*5%),IF((A670="GIG"),(M670*25%)-((M670*25%)*5%),IF((A670="Allianz"),(M670*27%)-((M670*27%)*5%),0))),0)</f>
        <v>6658.74</v>
      </c>
      <c r="AH670" s="29"/>
      <c r="AI670" s="29"/>
      <c r="AJ670" s="29"/>
      <c r="AK670" s="29"/>
      <c r="AL670" s="27"/>
      <c r="AM670" s="44"/>
      <c r="AN670" s="47"/>
      <c r="AO670" s="70">
        <f>M670*15%</f>
        <v>3894</v>
      </c>
      <c r="AP670" s="71">
        <v>45267.0</v>
      </c>
      <c r="AQ670" s="43">
        <f t="shared" ref="AQ670:AQ674" si="523">IF(U670="Motor Plus",(M670*27%),IF(U670="Motor One",(M670*22%),(IF(U670="Golden",(M670*25%),(IF(U670="Classic",(M670*15%),(IF(U670="Wethaq",(M670*28%),IF(U670="Alwataniya",(M670*21%))*0))))))))</f>
        <v>7009.2</v>
      </c>
      <c r="AR670" s="43">
        <f t="shared" si="448"/>
        <v>350.46</v>
      </c>
      <c r="AS670" s="43">
        <f t="shared" si="449"/>
        <v>1226.61</v>
      </c>
      <c r="AT670" s="48">
        <f t="shared" si="450"/>
        <v>5432.13</v>
      </c>
      <c r="AU670" s="49">
        <f t="shared" si="510"/>
        <v>5432.13</v>
      </c>
      <c r="AV670" s="48"/>
      <c r="AW670" s="34">
        <f t="shared" si="492"/>
        <v>27632.64</v>
      </c>
      <c r="AX670" s="50">
        <f t="shared" si="413"/>
        <v>1538.13</v>
      </c>
      <c r="AY670" s="43"/>
      <c r="AZ670" s="27"/>
      <c r="BA670" s="48">
        <f t="shared" si="520"/>
        <v>1538.13</v>
      </c>
      <c r="BB670" s="27"/>
      <c r="BC670" s="27"/>
      <c r="BD670" s="51"/>
      <c r="BE670" s="52"/>
      <c r="BF670" s="27" t="s">
        <v>2253</v>
      </c>
      <c r="BG670" s="53" t="s">
        <v>153</v>
      </c>
      <c r="BH670" s="53" t="str">
        <f>'[1]2023'!Q182</f>
        <v>#REF!</v>
      </c>
      <c r="BI670" s="27"/>
      <c r="BJ670" s="27"/>
      <c r="BK670" s="27" t="s">
        <v>76</v>
      </c>
      <c r="BL670" s="27"/>
    </row>
    <row r="671" ht="14.25" customHeight="1">
      <c r="A671" s="26" t="s">
        <v>55</v>
      </c>
      <c r="B671" s="26" t="s">
        <v>56</v>
      </c>
      <c r="C671" s="26" t="s">
        <v>57</v>
      </c>
      <c r="D671" s="26" t="s">
        <v>81</v>
      </c>
      <c r="E671" s="27" t="s">
        <v>2255</v>
      </c>
      <c r="F671" s="26" t="s">
        <v>227</v>
      </c>
      <c r="G671" s="29">
        <v>45109.0</v>
      </c>
      <c r="H671" s="30">
        <v>45109.0</v>
      </c>
      <c r="I671" s="30">
        <v>45474.0</v>
      </c>
      <c r="J671" s="31">
        <v>0.0</v>
      </c>
      <c r="K671" s="26" t="s">
        <v>62</v>
      </c>
      <c r="L671" s="32" t="s">
        <v>75</v>
      </c>
      <c r="M671" s="33">
        <v>29640.0</v>
      </c>
      <c r="N671" s="34">
        <v>31529.76</v>
      </c>
      <c r="O671" s="27" t="s">
        <v>76</v>
      </c>
      <c r="P671" s="35" t="s">
        <v>104</v>
      </c>
      <c r="Q671" s="35" t="s">
        <v>65</v>
      </c>
      <c r="R671" s="36">
        <v>45109.0</v>
      </c>
      <c r="S671" s="35" t="s">
        <v>86</v>
      </c>
      <c r="T671" s="35">
        <v>0.0</v>
      </c>
      <c r="U671" s="37" t="s">
        <v>67</v>
      </c>
      <c r="V671" s="38"/>
      <c r="W671" s="38"/>
      <c r="X671" s="27"/>
      <c r="Y671" s="39"/>
      <c r="Z671" s="39"/>
      <c r="AA671" s="39"/>
      <c r="AB671" s="27"/>
      <c r="AC671" s="27">
        <f t="shared" si="504"/>
        <v>0</v>
      </c>
      <c r="AD671" s="41"/>
      <c r="AE671" s="42"/>
      <c r="AF671" s="27"/>
      <c r="AG671" s="43">
        <f t="shared" si="522"/>
        <v>7602.66</v>
      </c>
      <c r="AH671" s="29"/>
      <c r="AI671" s="29"/>
      <c r="AJ671" s="29"/>
      <c r="AK671" s="29"/>
      <c r="AL671" s="27"/>
      <c r="AM671" s="44"/>
      <c r="AN671" s="47"/>
      <c r="AO671" s="46"/>
      <c r="AP671" s="47"/>
      <c r="AQ671" s="43">
        <f t="shared" si="523"/>
        <v>8002.8</v>
      </c>
      <c r="AR671" s="43">
        <f t="shared" si="448"/>
        <v>400.14</v>
      </c>
      <c r="AS671" s="43">
        <f t="shared" si="449"/>
        <v>1400.49</v>
      </c>
      <c r="AT671" s="48">
        <f t="shared" si="450"/>
        <v>6202.17</v>
      </c>
      <c r="AU671" s="49">
        <f t="shared" si="510"/>
        <v>6202.17</v>
      </c>
      <c r="AV671" s="48"/>
      <c r="AW671" s="34">
        <f t="shared" si="492"/>
        <v>31529.76</v>
      </c>
      <c r="AX671" s="50">
        <f t="shared" si="413"/>
        <v>6202.17</v>
      </c>
      <c r="AY671" s="43"/>
      <c r="AZ671" s="27"/>
      <c r="BA671" s="48">
        <f t="shared" si="520"/>
        <v>6202.17</v>
      </c>
      <c r="BB671" s="27"/>
      <c r="BC671" s="27"/>
      <c r="BD671" s="51"/>
      <c r="BE671" s="52"/>
      <c r="BF671" s="27" t="s">
        <v>2255</v>
      </c>
      <c r="BG671" s="53" t="s">
        <v>110</v>
      </c>
      <c r="BH671" s="53" t="str">
        <f>'[1]2023'!Q206</f>
        <v>#REF!</v>
      </c>
      <c r="BI671" s="27"/>
      <c r="BJ671" s="27"/>
      <c r="BK671" s="27" t="s">
        <v>76</v>
      </c>
      <c r="BL671" s="27"/>
    </row>
    <row r="672" ht="14.25" customHeight="1">
      <c r="A672" s="26" t="s">
        <v>55</v>
      </c>
      <c r="B672" s="26" t="s">
        <v>56</v>
      </c>
      <c r="C672" s="26" t="s">
        <v>57</v>
      </c>
      <c r="D672" s="26" t="s">
        <v>81</v>
      </c>
      <c r="E672" s="27" t="s">
        <v>2256</v>
      </c>
      <c r="F672" s="26" t="s">
        <v>2257</v>
      </c>
      <c r="G672" s="29">
        <v>45110.0</v>
      </c>
      <c r="H672" s="30">
        <v>45110.0</v>
      </c>
      <c r="I672" s="30">
        <v>45475.0</v>
      </c>
      <c r="J672" s="31">
        <v>0.0</v>
      </c>
      <c r="K672" s="26" t="s">
        <v>352</v>
      </c>
      <c r="L672" s="69">
        <v>45264.0</v>
      </c>
      <c r="M672" s="33">
        <v>15600.0</v>
      </c>
      <c r="N672" s="34">
        <v>16661.4</v>
      </c>
      <c r="O672" s="27" t="s">
        <v>76</v>
      </c>
      <c r="P672" s="35" t="s">
        <v>142</v>
      </c>
      <c r="Q672" s="35" t="s">
        <v>90</v>
      </c>
      <c r="R672" s="36">
        <v>45110.0</v>
      </c>
      <c r="S672" s="35" t="s">
        <v>86</v>
      </c>
      <c r="T672" s="35">
        <v>0.0</v>
      </c>
      <c r="U672" s="37" t="s">
        <v>67</v>
      </c>
      <c r="V672" s="38"/>
      <c r="W672" s="38"/>
      <c r="X672" s="27"/>
      <c r="Y672" s="39"/>
      <c r="Z672" s="39"/>
      <c r="AA672" s="39"/>
      <c r="AB672" s="27"/>
      <c r="AC672" s="27">
        <f t="shared" si="504"/>
        <v>0</v>
      </c>
      <c r="AD672" s="41">
        <f t="shared" ref="AD672:AD674" si="524">IF(AND(S672="0",O672="Paid"),M672*15%,0)</f>
        <v>2340</v>
      </c>
      <c r="AE672" s="42"/>
      <c r="AF672" s="29">
        <v>45020.0</v>
      </c>
      <c r="AG672" s="43">
        <f t="shared" si="522"/>
        <v>4001.4</v>
      </c>
      <c r="AH672" s="29"/>
      <c r="AI672" s="29"/>
      <c r="AJ672" s="29"/>
      <c r="AK672" s="29"/>
      <c r="AL672" s="27"/>
      <c r="AM672" s="44"/>
      <c r="AN672" s="47"/>
      <c r="AO672" s="37"/>
      <c r="AP672" s="47"/>
      <c r="AQ672" s="43">
        <f t="shared" si="523"/>
        <v>4212</v>
      </c>
      <c r="AR672" s="43">
        <f t="shared" si="448"/>
        <v>210.6</v>
      </c>
      <c r="AS672" s="43">
        <f t="shared" si="449"/>
        <v>737.1</v>
      </c>
      <c r="AT672" s="48">
        <f t="shared" si="450"/>
        <v>3264.3</v>
      </c>
      <c r="AU672" s="49">
        <f t="shared" si="510"/>
        <v>3264.3</v>
      </c>
      <c r="AV672" s="48"/>
      <c r="AW672" s="34">
        <f t="shared" si="492"/>
        <v>14321.4</v>
      </c>
      <c r="AX672" s="50">
        <f t="shared" si="413"/>
        <v>924.3</v>
      </c>
      <c r="AY672" s="43"/>
      <c r="AZ672" s="27"/>
      <c r="BA672" s="48">
        <f t="shared" si="520"/>
        <v>3264.3</v>
      </c>
      <c r="BB672" s="27"/>
      <c r="BC672" s="27"/>
      <c r="BD672" s="51"/>
      <c r="BE672" s="52"/>
      <c r="BF672" s="27" t="s">
        <v>2256</v>
      </c>
      <c r="BG672" s="58" t="s">
        <v>2258</v>
      </c>
      <c r="BH672" s="53" t="str">
        <f>'[1]2023'!Q179</f>
        <v>#REF!</v>
      </c>
      <c r="BI672" s="27"/>
      <c r="BJ672" s="27"/>
      <c r="BK672" s="27" t="s">
        <v>76</v>
      </c>
      <c r="BL672" s="27"/>
    </row>
    <row r="673" ht="14.25" customHeight="1">
      <c r="A673" s="26" t="s">
        <v>55</v>
      </c>
      <c r="B673" s="26" t="s">
        <v>56</v>
      </c>
      <c r="C673" s="26" t="s">
        <v>57</v>
      </c>
      <c r="D673" s="26" t="s">
        <v>81</v>
      </c>
      <c r="E673" s="27" t="s">
        <v>2259</v>
      </c>
      <c r="F673" s="26" t="s">
        <v>2260</v>
      </c>
      <c r="G673" s="29">
        <v>45110.0</v>
      </c>
      <c r="H673" s="30">
        <v>45110.0</v>
      </c>
      <c r="I673" s="30">
        <v>45475.0</v>
      </c>
      <c r="J673" s="31">
        <v>0.0</v>
      </c>
      <c r="K673" s="26" t="s">
        <v>352</v>
      </c>
      <c r="L673" s="32" t="s">
        <v>75</v>
      </c>
      <c r="M673" s="33">
        <v>14787.5</v>
      </c>
      <c r="N673" s="34">
        <v>15799.98</v>
      </c>
      <c r="O673" s="27" t="s">
        <v>76</v>
      </c>
      <c r="P673" s="35" t="s">
        <v>104</v>
      </c>
      <c r="Q673" s="35" t="s">
        <v>90</v>
      </c>
      <c r="R673" s="36">
        <v>45110.0</v>
      </c>
      <c r="S673" s="35" t="s">
        <v>86</v>
      </c>
      <c r="T673" s="35">
        <v>0.0</v>
      </c>
      <c r="U673" s="37" t="s">
        <v>67</v>
      </c>
      <c r="V673" s="38"/>
      <c r="W673" s="38"/>
      <c r="X673" s="27"/>
      <c r="Y673" s="39"/>
      <c r="Z673" s="39"/>
      <c r="AA673" s="39"/>
      <c r="AB673" s="40"/>
      <c r="AC673" s="27">
        <f t="shared" si="504"/>
        <v>0</v>
      </c>
      <c r="AD673" s="41">
        <f t="shared" si="524"/>
        <v>2218.125</v>
      </c>
      <c r="AE673" s="42"/>
      <c r="AF673" s="27"/>
      <c r="AG673" s="43">
        <f t="shared" si="522"/>
        <v>3792.99375</v>
      </c>
      <c r="AH673" s="29"/>
      <c r="AI673" s="29"/>
      <c r="AJ673" s="29"/>
      <c r="AK673" s="29"/>
      <c r="AL673" s="27"/>
      <c r="AM673" s="44"/>
      <c r="AN673" s="47"/>
      <c r="AO673" s="46"/>
      <c r="AP673" s="47"/>
      <c r="AQ673" s="43">
        <f t="shared" si="523"/>
        <v>3992.625</v>
      </c>
      <c r="AR673" s="43">
        <f t="shared" si="448"/>
        <v>199.63125</v>
      </c>
      <c r="AS673" s="43">
        <f t="shared" si="449"/>
        <v>698.709375</v>
      </c>
      <c r="AT673" s="48">
        <f t="shared" si="450"/>
        <v>3094.284375</v>
      </c>
      <c r="AU673" s="49">
        <f t="shared" si="510"/>
        <v>3094.284375</v>
      </c>
      <c r="AV673" s="48"/>
      <c r="AW673" s="34">
        <f t="shared" si="492"/>
        <v>13581.855</v>
      </c>
      <c r="AX673" s="50">
        <f t="shared" si="413"/>
        <v>876.159375</v>
      </c>
      <c r="AY673" s="43"/>
      <c r="AZ673" s="27"/>
      <c r="BA673" s="48">
        <f t="shared" si="520"/>
        <v>3094.284375</v>
      </c>
      <c r="BB673" s="27"/>
      <c r="BC673" s="27"/>
      <c r="BD673" s="51"/>
      <c r="BE673" s="52"/>
      <c r="BF673" s="27" t="s">
        <v>2259</v>
      </c>
      <c r="BG673" s="53" t="s">
        <v>2261</v>
      </c>
      <c r="BH673" s="53" t="str">
        <f t="shared" ref="BH673:BH674" si="525">'[1]2023'!Q300</f>
        <v>#REF!</v>
      </c>
      <c r="BI673" s="27"/>
      <c r="BJ673" s="27"/>
      <c r="BK673" s="27" t="s">
        <v>76</v>
      </c>
      <c r="BL673" s="27"/>
    </row>
    <row r="674" ht="14.25" customHeight="1">
      <c r="A674" s="26" t="s">
        <v>55</v>
      </c>
      <c r="B674" s="26" t="s">
        <v>56</v>
      </c>
      <c r="C674" s="26" t="s">
        <v>57</v>
      </c>
      <c r="D674" s="26" t="s">
        <v>81</v>
      </c>
      <c r="E674" s="27" t="s">
        <v>2262</v>
      </c>
      <c r="F674" s="26" t="s">
        <v>2263</v>
      </c>
      <c r="G674" s="29">
        <v>45110.0</v>
      </c>
      <c r="H674" s="30">
        <v>45110.0</v>
      </c>
      <c r="I674" s="30">
        <v>45475.0</v>
      </c>
      <c r="J674" s="31">
        <v>0.0</v>
      </c>
      <c r="K674" s="26" t="s">
        <v>352</v>
      </c>
      <c r="L674" s="32" t="s">
        <v>75</v>
      </c>
      <c r="M674" s="33">
        <v>25960.0</v>
      </c>
      <c r="N674" s="34">
        <v>27630.64</v>
      </c>
      <c r="O674" s="27" t="s">
        <v>76</v>
      </c>
      <c r="P674" s="35" t="s">
        <v>89</v>
      </c>
      <c r="Q674" s="35" t="s">
        <v>108</v>
      </c>
      <c r="R674" s="36">
        <v>45110.0</v>
      </c>
      <c r="S674" s="35" t="s">
        <v>86</v>
      </c>
      <c r="T674" s="35">
        <v>0.0</v>
      </c>
      <c r="U674" s="37" t="s">
        <v>67</v>
      </c>
      <c r="V674" s="38"/>
      <c r="W674" s="38"/>
      <c r="X674" s="27"/>
      <c r="Y674" s="39"/>
      <c r="Z674" s="39"/>
      <c r="AA674" s="39"/>
      <c r="AB674" s="40"/>
      <c r="AC674" s="27">
        <f t="shared" si="504"/>
        <v>0</v>
      </c>
      <c r="AD674" s="41">
        <f t="shared" si="524"/>
        <v>3894</v>
      </c>
      <c r="AE674" s="42"/>
      <c r="AF674" s="27" t="s">
        <v>296</v>
      </c>
      <c r="AG674" s="43">
        <f t="shared" si="522"/>
        <v>6658.74</v>
      </c>
      <c r="AH674" s="29"/>
      <c r="AI674" s="29"/>
      <c r="AJ674" s="29"/>
      <c r="AK674" s="29"/>
      <c r="AL674" s="27"/>
      <c r="AM674" s="44"/>
      <c r="AN674" s="47"/>
      <c r="AO674" s="46"/>
      <c r="AP674" s="47"/>
      <c r="AQ674" s="43">
        <f t="shared" si="523"/>
        <v>7009.2</v>
      </c>
      <c r="AR674" s="43">
        <f t="shared" si="448"/>
        <v>350.46</v>
      </c>
      <c r="AS674" s="43">
        <f t="shared" si="449"/>
        <v>1226.61</v>
      </c>
      <c r="AT674" s="48">
        <f t="shared" si="450"/>
        <v>5432.13</v>
      </c>
      <c r="AU674" s="49">
        <f t="shared" si="510"/>
        <v>5432.13</v>
      </c>
      <c r="AV674" s="48"/>
      <c r="AW674" s="34">
        <f t="shared" si="492"/>
        <v>23736.64</v>
      </c>
      <c r="AX674" s="50">
        <f t="shared" si="413"/>
        <v>1538.13</v>
      </c>
      <c r="AY674" s="84"/>
      <c r="AZ674" s="27"/>
      <c r="BA674" s="48">
        <f t="shared" si="520"/>
        <v>5432.13</v>
      </c>
      <c r="BB674" s="27"/>
      <c r="BC674" s="27"/>
      <c r="BD674" s="51"/>
      <c r="BE674" s="52"/>
      <c r="BF674" s="27" t="s">
        <v>2262</v>
      </c>
      <c r="BG674" s="53" t="s">
        <v>2264</v>
      </c>
      <c r="BH674" s="53" t="str">
        <f t="shared" si="525"/>
        <v>#REF!</v>
      </c>
      <c r="BI674" s="27"/>
      <c r="BJ674" s="27"/>
      <c r="BK674" s="27" t="s">
        <v>76</v>
      </c>
      <c r="BL674" s="27"/>
    </row>
    <row r="675" ht="14.25" customHeight="1">
      <c r="A675" s="26" t="s">
        <v>55</v>
      </c>
      <c r="B675" s="26" t="s">
        <v>56</v>
      </c>
      <c r="C675" s="26" t="s">
        <v>57</v>
      </c>
      <c r="D675" s="26" t="s">
        <v>71</v>
      </c>
      <c r="E675" s="27" t="s">
        <v>2265</v>
      </c>
      <c r="F675" s="28" t="s">
        <v>2266</v>
      </c>
      <c r="G675" s="29">
        <v>45110.0</v>
      </c>
      <c r="H675" s="30">
        <v>45110.0</v>
      </c>
      <c r="I675" s="30">
        <v>45475.0</v>
      </c>
      <c r="J675" s="31" t="s">
        <v>2267</v>
      </c>
      <c r="K675" s="26" t="s">
        <v>352</v>
      </c>
      <c r="L675" s="32" t="s">
        <v>1142</v>
      </c>
      <c r="M675" s="33">
        <v>33000.0</v>
      </c>
      <c r="N675" s="34">
        <v>35290.0</v>
      </c>
      <c r="O675" s="27" t="s">
        <v>76</v>
      </c>
      <c r="P675" s="35" t="s">
        <v>77</v>
      </c>
      <c r="Q675" s="35" t="s">
        <v>65</v>
      </c>
      <c r="R675" s="36">
        <v>45110.0</v>
      </c>
      <c r="S675" s="35" t="s">
        <v>78</v>
      </c>
      <c r="T675" s="54" t="s">
        <v>79</v>
      </c>
      <c r="U675" s="37" t="s">
        <v>67</v>
      </c>
      <c r="V675" s="38">
        <v>1500000.0</v>
      </c>
      <c r="W675" s="78" t="s">
        <v>2268</v>
      </c>
      <c r="X675" s="27">
        <v>2017.0</v>
      </c>
      <c r="Y675" s="39"/>
      <c r="Z675" s="79" t="s">
        <v>2269</v>
      </c>
      <c r="AA675" s="39"/>
      <c r="AB675" s="40"/>
      <c r="AC675" s="27">
        <f t="shared" si="504"/>
        <v>0</v>
      </c>
      <c r="AD675" s="41"/>
      <c r="AE675" s="42"/>
      <c r="AF675" s="27"/>
      <c r="AG675" s="43">
        <f t="shared" si="522"/>
        <v>8464.5</v>
      </c>
      <c r="AH675" s="29"/>
      <c r="AI675" s="29" t="s">
        <v>75</v>
      </c>
      <c r="AJ675" s="55">
        <v>0.27</v>
      </c>
      <c r="AK675" s="29" t="s">
        <v>63</v>
      </c>
      <c r="AL675" s="27"/>
      <c r="AM675" s="44"/>
      <c r="AN675" s="56"/>
      <c r="AO675" s="46">
        <f>((M675*AJ675)-((M675*AJ675)*22.5%))*70%</f>
        <v>4833.675</v>
      </c>
      <c r="AP675" s="57">
        <v>45177.0</v>
      </c>
      <c r="AQ675" s="43">
        <f>M675*27%</f>
        <v>8910</v>
      </c>
      <c r="AR675" s="43">
        <f t="shared" si="448"/>
        <v>445.5</v>
      </c>
      <c r="AS675" s="43">
        <f t="shared" si="449"/>
        <v>1559.25</v>
      </c>
      <c r="AT675" s="48">
        <f t="shared" si="450"/>
        <v>6905.25</v>
      </c>
      <c r="AU675" s="49">
        <f t="shared" si="510"/>
        <v>6905.25</v>
      </c>
      <c r="AV675" s="48"/>
      <c r="AW675" s="34">
        <f t="shared" si="492"/>
        <v>35290</v>
      </c>
      <c r="AX675" s="50">
        <f t="shared" si="413"/>
        <v>2071.575</v>
      </c>
      <c r="AY675" s="84"/>
      <c r="AZ675" s="27"/>
      <c r="BA675" s="48" t="str">
        <f>IF(S675&lt;&gt;0,AU675-#REF!-AM675,(AG675-AD675-AE675-AS675))</f>
        <v>#REF!</v>
      </c>
      <c r="BB675" s="27"/>
      <c r="BC675" s="27"/>
      <c r="BD675" s="51"/>
      <c r="BE675" s="52"/>
      <c r="BF675" s="27" t="s">
        <v>2265</v>
      </c>
      <c r="BG675" s="58" t="s">
        <v>2270</v>
      </c>
      <c r="BH675" s="53" t="str">
        <f>'[1]2023'!Q359</f>
        <v>#REF!</v>
      </c>
      <c r="BI675" s="27"/>
      <c r="BJ675" s="27"/>
      <c r="BK675" s="27" t="s">
        <v>76</v>
      </c>
      <c r="BL675" s="27"/>
    </row>
    <row r="676" ht="14.25" customHeight="1">
      <c r="A676" s="26" t="s">
        <v>55</v>
      </c>
      <c r="B676" s="26" t="s">
        <v>56</v>
      </c>
      <c r="C676" s="26" t="s">
        <v>57</v>
      </c>
      <c r="D676" s="26" t="s">
        <v>81</v>
      </c>
      <c r="E676" s="27" t="s">
        <v>2271</v>
      </c>
      <c r="F676" s="28" t="s">
        <v>2272</v>
      </c>
      <c r="G676" s="29">
        <v>45110.0</v>
      </c>
      <c r="H676" s="30">
        <v>45110.0</v>
      </c>
      <c r="I676" s="30">
        <v>45475.0</v>
      </c>
      <c r="J676" s="31" t="s">
        <v>1816</v>
      </c>
      <c r="K676" s="26" t="s">
        <v>887</v>
      </c>
      <c r="L676" s="69">
        <v>45269.0</v>
      </c>
      <c r="M676" s="33">
        <v>24225.0</v>
      </c>
      <c r="N676" s="34">
        <v>25795.28</v>
      </c>
      <c r="O676" s="27" t="s">
        <v>76</v>
      </c>
      <c r="P676" s="35" t="s">
        <v>95</v>
      </c>
      <c r="Q676" s="35" t="s">
        <v>65</v>
      </c>
      <c r="R676" s="36">
        <v>45110.0</v>
      </c>
      <c r="S676" s="35" t="s">
        <v>78</v>
      </c>
      <c r="T676" s="35" t="s">
        <v>416</v>
      </c>
      <c r="U676" s="37" t="s">
        <v>67</v>
      </c>
      <c r="V676" s="38"/>
      <c r="W676" s="38"/>
      <c r="X676" s="27"/>
      <c r="Y676" s="39"/>
      <c r="Z676" s="79" t="s">
        <v>2273</v>
      </c>
      <c r="AA676" s="39"/>
      <c r="AB676" s="40"/>
      <c r="AC676" s="27">
        <f t="shared" si="504"/>
        <v>0</v>
      </c>
      <c r="AD676" s="41"/>
      <c r="AE676" s="42"/>
      <c r="AF676" s="27"/>
      <c r="AG676" s="43">
        <f t="shared" si="522"/>
        <v>6213.7125</v>
      </c>
      <c r="AH676" s="29"/>
      <c r="AI676" s="29"/>
      <c r="AJ676" s="29"/>
      <c r="AK676" s="29"/>
      <c r="AL676" s="27"/>
      <c r="AM676" s="44"/>
      <c r="AN676" s="47"/>
      <c r="AO676" s="46">
        <f>(M676*15%)</f>
        <v>3633.75</v>
      </c>
      <c r="AP676" s="47" t="s">
        <v>1108</v>
      </c>
      <c r="AQ676" s="43">
        <f>IF(U676="Motor Plus",(M676*27%),IF(U676="Motor One",(M676*22%),(IF(U676="Golden",(M676*25%),(IF(U676="Classic",(M676*15%),(IF(U676="Wethaq",(M676*28%),IF(U676="Alwataniya",(M676*21%))*0))))))))</f>
        <v>6540.75</v>
      </c>
      <c r="AR676" s="43">
        <f t="shared" si="448"/>
        <v>327.0375</v>
      </c>
      <c r="AS676" s="43">
        <f t="shared" si="449"/>
        <v>1144.63125</v>
      </c>
      <c r="AT676" s="48">
        <f t="shared" si="450"/>
        <v>5069.08125</v>
      </c>
      <c r="AU676" s="49">
        <f t="shared" ref="AU676:AU677" si="526">AQ676-AR676-AS676-AC676-AO676</f>
        <v>1435.33125</v>
      </c>
      <c r="AV676" s="48"/>
      <c r="AW676" s="34">
        <f t="shared" si="492"/>
        <v>25795.28</v>
      </c>
      <c r="AX676" s="50">
        <f t="shared" si="413"/>
        <v>1435.33125</v>
      </c>
      <c r="AY676" s="43"/>
      <c r="AZ676" s="43"/>
      <c r="BA676" s="48">
        <f t="shared" ref="BA676:BA691" si="527">IF(S676&lt;&gt;0,AU676-AO676-AM676,(AG676-AD676-AE676-AS676))</f>
        <v>-2198.41875</v>
      </c>
      <c r="BB676" s="27"/>
      <c r="BC676" s="27"/>
      <c r="BD676" s="51"/>
      <c r="BE676" s="52"/>
      <c r="BF676" s="27" t="s">
        <v>2271</v>
      </c>
      <c r="BG676" s="53">
        <v>0.0</v>
      </c>
      <c r="BH676" s="53" t="str">
        <f>'[1]2023'!Q895</f>
        <v>#REF!</v>
      </c>
      <c r="BI676" s="27"/>
      <c r="BJ676" s="27"/>
      <c r="BK676" s="27" t="s">
        <v>76</v>
      </c>
      <c r="BL676" s="27"/>
    </row>
    <row r="677" ht="14.25" customHeight="1">
      <c r="A677" s="26" t="s">
        <v>55</v>
      </c>
      <c r="B677" s="26" t="s">
        <v>56</v>
      </c>
      <c r="C677" s="26" t="s">
        <v>57</v>
      </c>
      <c r="D677" s="26" t="s">
        <v>81</v>
      </c>
      <c r="E677" s="27" t="s">
        <v>2274</v>
      </c>
      <c r="F677" s="28" t="s">
        <v>2275</v>
      </c>
      <c r="G677" s="29">
        <v>45110.0</v>
      </c>
      <c r="H677" s="30">
        <v>45110.0</v>
      </c>
      <c r="I677" s="30">
        <v>45475.0</v>
      </c>
      <c r="J677" s="31">
        <v>0.0</v>
      </c>
      <c r="K677" s="26" t="s">
        <v>887</v>
      </c>
      <c r="L677" s="32" t="s">
        <v>63</v>
      </c>
      <c r="M677" s="33">
        <v>0.0</v>
      </c>
      <c r="N677" s="34">
        <v>0.0</v>
      </c>
      <c r="O677" s="27" t="s">
        <v>64</v>
      </c>
      <c r="P677" s="35">
        <v>0.0</v>
      </c>
      <c r="Q677" s="35">
        <v>0.0</v>
      </c>
      <c r="R677" s="36">
        <v>45110.0</v>
      </c>
      <c r="S677" s="35" t="s">
        <v>86</v>
      </c>
      <c r="T677" s="35">
        <v>0.0</v>
      </c>
      <c r="U677" s="37" t="s">
        <v>67</v>
      </c>
      <c r="V677" s="38"/>
      <c r="W677" s="38"/>
      <c r="X677" s="27"/>
      <c r="Y677" s="39"/>
      <c r="Z677" s="39"/>
      <c r="AA677" s="39"/>
      <c r="AB677" s="40"/>
      <c r="AC677" s="27">
        <f t="shared" si="504"/>
        <v>0</v>
      </c>
      <c r="AD677" s="41">
        <f>IF(AND(S677="0",O677="Paid"),(M677*15%)-AC677,0)</f>
        <v>0</v>
      </c>
      <c r="AE677" s="42"/>
      <c r="AF677" s="27"/>
      <c r="AG677" s="43">
        <f t="shared" si="522"/>
        <v>0</v>
      </c>
      <c r="AH677" s="29"/>
      <c r="AI677" s="29"/>
      <c r="AJ677" s="29"/>
      <c r="AK677" s="29"/>
      <c r="AL677" s="27"/>
      <c r="AM677" s="44"/>
      <c r="AN677" s="47"/>
      <c r="AO677" s="46"/>
      <c r="AP677" s="47"/>
      <c r="AQ677" s="43" t="b">
        <f>IF(O677="Paid",IF(U677="Motor Plus",(M677*27%),IF(U677="Motor One",(M677*22%),(IF(U677="Golden",(M677*25%),(IF(U677="Classic",(M677*15%),(IF(U677="Wethaq",(M677*28%),IF(U677="Alwataniya",(M677*21%))*0)))))))))</f>
        <v>0</v>
      </c>
      <c r="AR677" s="43">
        <f t="shared" si="448"/>
        <v>0</v>
      </c>
      <c r="AS677" s="43">
        <f t="shared" si="449"/>
        <v>0</v>
      </c>
      <c r="AT677" s="48">
        <f t="shared" si="450"/>
        <v>0</v>
      </c>
      <c r="AU677" s="49">
        <f t="shared" si="526"/>
        <v>0</v>
      </c>
      <c r="AV677" s="48"/>
      <c r="AW677" s="34">
        <f t="shared" si="492"/>
        <v>0</v>
      </c>
      <c r="AX677" s="50">
        <f t="shared" si="413"/>
        <v>0</v>
      </c>
      <c r="AY677" s="43"/>
      <c r="AZ677" s="43"/>
      <c r="BA677" s="48">
        <f t="shared" si="527"/>
        <v>0</v>
      </c>
      <c r="BB677" s="27"/>
      <c r="BC677" s="27"/>
      <c r="BD677" s="51"/>
      <c r="BE677" s="52"/>
      <c r="BF677" s="27" t="s">
        <v>2274</v>
      </c>
      <c r="BG677" s="53">
        <v>0.0</v>
      </c>
      <c r="BH677" s="53" t="str">
        <f>'[1]2023'!Q915</f>
        <v>#REF!</v>
      </c>
      <c r="BI677" s="27"/>
      <c r="BJ677" s="27"/>
      <c r="BK677" s="27" t="s">
        <v>64</v>
      </c>
      <c r="BL677" s="27"/>
    </row>
    <row r="678" ht="14.25" customHeight="1">
      <c r="A678" s="26" t="s">
        <v>55</v>
      </c>
      <c r="B678" s="26" t="s">
        <v>56</v>
      </c>
      <c r="C678" s="26" t="s">
        <v>57</v>
      </c>
      <c r="D678" s="26" t="s">
        <v>81</v>
      </c>
      <c r="E678" s="27" t="s">
        <v>2276</v>
      </c>
      <c r="F678" s="26" t="s">
        <v>2277</v>
      </c>
      <c r="G678" s="29">
        <v>45111.0</v>
      </c>
      <c r="H678" s="30">
        <v>45111.0</v>
      </c>
      <c r="I678" s="30">
        <v>45476.0</v>
      </c>
      <c r="J678" s="31">
        <v>0.0</v>
      </c>
      <c r="K678" s="26" t="s">
        <v>420</v>
      </c>
      <c r="L678" s="32" t="s">
        <v>75</v>
      </c>
      <c r="M678" s="33">
        <v>40608.0</v>
      </c>
      <c r="N678" s="34">
        <v>43144.87</v>
      </c>
      <c r="O678" s="27" t="s">
        <v>76</v>
      </c>
      <c r="P678" s="35" t="s">
        <v>89</v>
      </c>
      <c r="Q678" s="35" t="s">
        <v>108</v>
      </c>
      <c r="R678" s="36">
        <v>45111.0</v>
      </c>
      <c r="S678" s="35" t="s">
        <v>86</v>
      </c>
      <c r="T678" s="35">
        <v>0.0</v>
      </c>
      <c r="U678" s="37" t="s">
        <v>157</v>
      </c>
      <c r="V678" s="38"/>
      <c r="W678" s="38"/>
      <c r="X678" s="27"/>
      <c r="Y678" s="39"/>
      <c r="Z678" s="39"/>
      <c r="AA678" s="39"/>
      <c r="AB678" s="40"/>
      <c r="AC678" s="27">
        <f t="shared" si="504"/>
        <v>0</v>
      </c>
      <c r="AD678" s="41">
        <f>IF(AND(S678="0",O678="Paid"),M678*10%,0)</f>
        <v>4060.8</v>
      </c>
      <c r="AE678" s="42"/>
      <c r="AF678" s="29">
        <v>44931.0</v>
      </c>
      <c r="AG678" s="43">
        <f t="shared" si="522"/>
        <v>10415.952</v>
      </c>
      <c r="AH678" s="29"/>
      <c r="AI678" s="29"/>
      <c r="AJ678" s="29"/>
      <c r="AK678" s="29"/>
      <c r="AL678" s="27"/>
      <c r="AM678" s="44"/>
      <c r="AN678" s="47"/>
      <c r="AO678" s="46"/>
      <c r="AP678" s="47"/>
      <c r="AQ678" s="43">
        <f t="shared" ref="AQ678:AQ679" si="528">IF(U678="Motor Plus",(M678*27%),IF(U678="Motor One",(M678*22%),(IF(U678="Golden",(M678*25%),(IF(U678="Classic",(M678*15%),(IF(U678="Wethaq",(M678*28%),IF(U678="Alwataniya",(M678*21%))*0))))))))</f>
        <v>8933.76</v>
      </c>
      <c r="AR678" s="43">
        <f t="shared" si="448"/>
        <v>446.688</v>
      </c>
      <c r="AS678" s="43">
        <f t="shared" si="449"/>
        <v>1563.408</v>
      </c>
      <c r="AT678" s="48">
        <f t="shared" si="450"/>
        <v>6923.664</v>
      </c>
      <c r="AU678" s="49">
        <f t="shared" ref="AU678:AU684" si="529">AQ678-AR678-AS678-AC678</f>
        <v>6923.664</v>
      </c>
      <c r="AV678" s="48"/>
      <c r="AW678" s="34">
        <f t="shared" si="492"/>
        <v>39084.07</v>
      </c>
      <c r="AX678" s="50">
        <f t="shared" si="413"/>
        <v>4791.744</v>
      </c>
      <c r="AY678" s="43"/>
      <c r="AZ678" s="27"/>
      <c r="BA678" s="48">
        <f t="shared" si="527"/>
        <v>6923.664</v>
      </c>
      <c r="BB678" s="27"/>
      <c r="BC678" s="27"/>
      <c r="BD678" s="51"/>
      <c r="BE678" s="52"/>
      <c r="BF678" s="27" t="s">
        <v>2276</v>
      </c>
      <c r="BG678" s="53">
        <v>0.0</v>
      </c>
      <c r="BH678" s="53" t="str">
        <f>'[1]2023'!Q333</f>
        <v>#REF!</v>
      </c>
      <c r="BI678" s="27"/>
      <c r="BJ678" s="27"/>
      <c r="BK678" s="27" t="s">
        <v>76</v>
      </c>
      <c r="BL678" s="158"/>
    </row>
    <row r="679" ht="14.25" customHeight="1">
      <c r="A679" s="26" t="s">
        <v>55</v>
      </c>
      <c r="B679" s="26" t="s">
        <v>56</v>
      </c>
      <c r="C679" s="26" t="s">
        <v>57</v>
      </c>
      <c r="D679" s="26" t="s">
        <v>81</v>
      </c>
      <c r="E679" s="27" t="s">
        <v>2278</v>
      </c>
      <c r="F679" s="28" t="s">
        <v>2279</v>
      </c>
      <c r="G679" s="29">
        <v>45111.0</v>
      </c>
      <c r="H679" s="30">
        <v>45111.0</v>
      </c>
      <c r="I679" s="30">
        <v>45476.0</v>
      </c>
      <c r="J679" s="31">
        <v>0.0</v>
      </c>
      <c r="K679" s="26" t="s">
        <v>420</v>
      </c>
      <c r="L679" s="32" t="s">
        <v>75</v>
      </c>
      <c r="M679" s="33">
        <v>30680.0</v>
      </c>
      <c r="N679" s="34">
        <v>32634.12</v>
      </c>
      <c r="O679" s="27" t="s">
        <v>76</v>
      </c>
      <c r="P679" s="35" t="s">
        <v>95</v>
      </c>
      <c r="Q679" s="35" t="s">
        <v>90</v>
      </c>
      <c r="R679" s="36">
        <v>45111.0</v>
      </c>
      <c r="S679" s="35" t="s">
        <v>86</v>
      </c>
      <c r="T679" s="35">
        <v>0.0</v>
      </c>
      <c r="U679" s="37" t="s">
        <v>67</v>
      </c>
      <c r="V679" s="38"/>
      <c r="W679" s="38"/>
      <c r="X679" s="27"/>
      <c r="Y679" s="39"/>
      <c r="Z679" s="39"/>
      <c r="AA679" s="39"/>
      <c r="AB679" s="40"/>
      <c r="AC679" s="27">
        <f t="shared" si="504"/>
        <v>0</v>
      </c>
      <c r="AD679" s="41">
        <f>IF(AND(S679="0",O679="Paid"),M679*15%,0)</f>
        <v>4602</v>
      </c>
      <c r="AE679" s="42"/>
      <c r="AF679" s="27"/>
      <c r="AG679" s="43">
        <f t="shared" si="522"/>
        <v>7869.42</v>
      </c>
      <c r="AH679" s="29"/>
      <c r="AI679" s="29"/>
      <c r="AJ679" s="29"/>
      <c r="AK679" s="29"/>
      <c r="AL679" s="27"/>
      <c r="AM679" s="44"/>
      <c r="AN679" s="47"/>
      <c r="AO679" s="46"/>
      <c r="AP679" s="47"/>
      <c r="AQ679" s="43">
        <f t="shared" si="528"/>
        <v>8283.6</v>
      </c>
      <c r="AR679" s="43">
        <f t="shared" si="448"/>
        <v>414.18</v>
      </c>
      <c r="AS679" s="43">
        <f t="shared" si="449"/>
        <v>1449.63</v>
      </c>
      <c r="AT679" s="48">
        <f t="shared" si="450"/>
        <v>6419.79</v>
      </c>
      <c r="AU679" s="49">
        <f t="shared" si="529"/>
        <v>6419.79</v>
      </c>
      <c r="AV679" s="48"/>
      <c r="AW679" s="34">
        <f t="shared" si="492"/>
        <v>28032.12</v>
      </c>
      <c r="AX679" s="50">
        <f t="shared" si="413"/>
        <v>1817.79</v>
      </c>
      <c r="AY679" s="43"/>
      <c r="AZ679" s="27"/>
      <c r="BA679" s="48">
        <f t="shared" si="527"/>
        <v>6419.79</v>
      </c>
      <c r="BB679" s="27"/>
      <c r="BC679" s="27"/>
      <c r="BD679" s="51"/>
      <c r="BE679" s="52"/>
      <c r="BF679" s="27" t="s">
        <v>2278</v>
      </c>
      <c r="BG679" s="53" t="s">
        <v>2280</v>
      </c>
      <c r="BH679" s="53" t="str">
        <f>'[1]2023'!Q360</f>
        <v>#REF!</v>
      </c>
      <c r="BI679" s="27"/>
      <c r="BJ679" s="27"/>
      <c r="BK679" s="27" t="s">
        <v>76</v>
      </c>
      <c r="BL679" s="167"/>
    </row>
    <row r="680" ht="14.25" customHeight="1">
      <c r="A680" s="26" t="s">
        <v>55</v>
      </c>
      <c r="B680" s="26" t="s">
        <v>56</v>
      </c>
      <c r="C680" s="26" t="s">
        <v>57</v>
      </c>
      <c r="D680" s="26" t="s">
        <v>81</v>
      </c>
      <c r="E680" s="27" t="s">
        <v>2281</v>
      </c>
      <c r="F680" s="26" t="s">
        <v>2282</v>
      </c>
      <c r="G680" s="29">
        <v>45111.0</v>
      </c>
      <c r="H680" s="30">
        <v>45111.0</v>
      </c>
      <c r="I680" s="30">
        <v>45476.0</v>
      </c>
      <c r="J680" s="31" t="s">
        <v>2283</v>
      </c>
      <c r="K680" s="26" t="s">
        <v>420</v>
      </c>
      <c r="L680" s="73" t="s">
        <v>63</v>
      </c>
      <c r="M680" s="33">
        <v>0.0</v>
      </c>
      <c r="N680" s="34">
        <v>0.0</v>
      </c>
      <c r="O680" s="27" t="s">
        <v>64</v>
      </c>
      <c r="P680" s="35">
        <v>0.0</v>
      </c>
      <c r="Q680" s="35" t="s">
        <v>90</v>
      </c>
      <c r="R680" s="36">
        <v>45111.0</v>
      </c>
      <c r="S680" s="35" t="s">
        <v>86</v>
      </c>
      <c r="T680" s="35">
        <v>0.0</v>
      </c>
      <c r="U680" s="37" t="s">
        <v>67</v>
      </c>
      <c r="V680" s="38"/>
      <c r="W680" s="38"/>
      <c r="X680" s="27"/>
      <c r="Y680" s="39"/>
      <c r="Z680" s="39"/>
      <c r="AA680" s="39"/>
      <c r="AB680" s="40"/>
      <c r="AC680" s="27">
        <f t="shared" si="504"/>
        <v>0</v>
      </c>
      <c r="AD680" s="41">
        <f>IF(AND(S680="0",O680="Paid"),(M680*15%)-AC680,0)</f>
        <v>0</v>
      </c>
      <c r="AE680" s="42"/>
      <c r="AF680" s="27"/>
      <c r="AG680" s="43">
        <f t="shared" si="522"/>
        <v>0</v>
      </c>
      <c r="AH680" s="29"/>
      <c r="AI680" s="29"/>
      <c r="AJ680" s="29"/>
      <c r="AK680" s="75"/>
      <c r="AL680" s="27"/>
      <c r="AM680" s="44"/>
      <c r="AN680" s="47"/>
      <c r="AO680" s="46"/>
      <c r="AP680" s="47"/>
      <c r="AQ680" s="43" t="b">
        <f>IF(O680="Paid",IF(U680="Motor Plus",(M680*27%),IF(U680="Motor One",(M680*22%),(IF(U680="Golden",(M680*25%),(IF(U680="Classic",(M680*15%),(IF(U680="Wethaq",(M680*28%),IF(U680="Alwataniya",(M680*21%))*0)))))))))</f>
        <v>0</v>
      </c>
      <c r="AR680" s="43">
        <f t="shared" si="448"/>
        <v>0</v>
      </c>
      <c r="AS680" s="43">
        <f t="shared" si="449"/>
        <v>0</v>
      </c>
      <c r="AT680" s="48">
        <f t="shared" si="450"/>
        <v>0</v>
      </c>
      <c r="AU680" s="103">
        <f t="shared" si="529"/>
        <v>0</v>
      </c>
      <c r="AV680" s="48"/>
      <c r="AW680" s="34">
        <f t="shared" si="492"/>
        <v>0</v>
      </c>
      <c r="AX680" s="50">
        <f t="shared" si="413"/>
        <v>0</v>
      </c>
      <c r="AY680" s="43"/>
      <c r="AZ680" s="27"/>
      <c r="BA680" s="48">
        <f t="shared" si="527"/>
        <v>0</v>
      </c>
      <c r="BB680" s="27"/>
      <c r="BC680" s="27"/>
      <c r="BD680" s="51"/>
      <c r="BE680" s="52"/>
      <c r="BF680" s="27" t="s">
        <v>2281</v>
      </c>
      <c r="BG680" s="53">
        <v>0.0</v>
      </c>
      <c r="BH680" s="53" t="str">
        <f t="shared" ref="BH680:BH681" si="530">'[1]2023'!Q371</f>
        <v>#REF!</v>
      </c>
      <c r="BI680" s="27"/>
      <c r="BJ680" s="27"/>
      <c r="BK680" s="27" t="s">
        <v>64</v>
      </c>
      <c r="BL680" s="44"/>
    </row>
    <row r="681" ht="14.25" customHeight="1">
      <c r="A681" s="26" t="s">
        <v>55</v>
      </c>
      <c r="B681" s="26" t="s">
        <v>56</v>
      </c>
      <c r="C681" s="26" t="s">
        <v>57</v>
      </c>
      <c r="D681" s="26" t="s">
        <v>81</v>
      </c>
      <c r="E681" s="27" t="s">
        <v>2284</v>
      </c>
      <c r="F681" s="28" t="s">
        <v>2285</v>
      </c>
      <c r="G681" s="29">
        <v>45111.0</v>
      </c>
      <c r="H681" s="30">
        <v>45111.0</v>
      </c>
      <c r="I681" s="30">
        <v>45476.0</v>
      </c>
      <c r="J681" s="31">
        <v>0.0</v>
      </c>
      <c r="K681" s="26" t="s">
        <v>420</v>
      </c>
      <c r="L681" s="32" t="s">
        <v>75</v>
      </c>
      <c r="M681" s="33">
        <v>22715.0</v>
      </c>
      <c r="N681" s="34">
        <v>24199.19</v>
      </c>
      <c r="O681" s="27" t="s">
        <v>76</v>
      </c>
      <c r="P681" s="35" t="s">
        <v>122</v>
      </c>
      <c r="Q681" s="35" t="s">
        <v>90</v>
      </c>
      <c r="R681" s="36">
        <v>45111.0</v>
      </c>
      <c r="S681" s="35" t="s">
        <v>86</v>
      </c>
      <c r="T681" s="35">
        <v>0.0</v>
      </c>
      <c r="U681" s="37" t="s">
        <v>67</v>
      </c>
      <c r="V681" s="38"/>
      <c r="W681" s="38"/>
      <c r="X681" s="27"/>
      <c r="Y681" s="39"/>
      <c r="Z681" s="79" t="s">
        <v>208</v>
      </c>
      <c r="AA681" s="39"/>
      <c r="AB681" s="40"/>
      <c r="AC681" s="27">
        <f t="shared" si="504"/>
        <v>0</v>
      </c>
      <c r="AD681" s="41">
        <f t="shared" ref="AD681:AD683" si="531">IF(AND(S681="0",O681="Paid"),M681*15%,0)</f>
        <v>3407.25</v>
      </c>
      <c r="AE681" s="42"/>
      <c r="AF681" s="27"/>
      <c r="AG681" s="43">
        <f t="shared" si="522"/>
        <v>5826.3975</v>
      </c>
      <c r="AH681" s="29"/>
      <c r="AI681" s="29"/>
      <c r="AJ681" s="29"/>
      <c r="AK681" s="29"/>
      <c r="AL681" s="27"/>
      <c r="AM681" s="44"/>
      <c r="AN681" s="68"/>
      <c r="AO681" s="46"/>
      <c r="AP681" s="47"/>
      <c r="AQ681" s="43">
        <f t="shared" ref="AQ681:AQ684" si="532">IF(U681="Motor Plus",(M681*27%),IF(U681="Motor One",(M681*22%),(IF(U681="Golden",(M681*25%),(IF(U681="Classic",(M681*15%),(IF(U681="Wethaq",(M681*28%),IF(U681="Alwataniya",(M681*21%))*0))))))))</f>
        <v>6133.05</v>
      </c>
      <c r="AR681" s="43">
        <f t="shared" si="448"/>
        <v>306.6525</v>
      </c>
      <c r="AS681" s="43">
        <f t="shared" si="449"/>
        <v>1073.28375</v>
      </c>
      <c r="AT681" s="48">
        <f t="shared" si="450"/>
        <v>4753.11375</v>
      </c>
      <c r="AU681" s="49">
        <f t="shared" si="529"/>
        <v>4753.11375</v>
      </c>
      <c r="AV681" s="48"/>
      <c r="AW681" s="34">
        <f t="shared" si="492"/>
        <v>20791.94</v>
      </c>
      <c r="AX681" s="50">
        <f t="shared" si="413"/>
        <v>1345.86375</v>
      </c>
      <c r="AY681" s="43"/>
      <c r="AZ681" s="27"/>
      <c r="BA681" s="48">
        <f t="shared" si="527"/>
        <v>4753.11375</v>
      </c>
      <c r="BB681" s="27"/>
      <c r="BC681" s="27"/>
      <c r="BD681" s="51"/>
      <c r="BE681" s="52"/>
      <c r="BF681" s="27" t="s">
        <v>2284</v>
      </c>
      <c r="BG681" s="53">
        <v>0.0</v>
      </c>
      <c r="BH681" s="53" t="str">
        <f t="shared" si="530"/>
        <v>#REF!</v>
      </c>
      <c r="BI681" s="27"/>
      <c r="BJ681" s="27"/>
      <c r="BK681" s="27" t="s">
        <v>76</v>
      </c>
      <c r="BL681" s="27"/>
    </row>
    <row r="682" ht="14.25" customHeight="1">
      <c r="A682" s="26" t="s">
        <v>55</v>
      </c>
      <c r="B682" s="26" t="s">
        <v>56</v>
      </c>
      <c r="C682" s="26" t="s">
        <v>57</v>
      </c>
      <c r="D682" s="26" t="s">
        <v>81</v>
      </c>
      <c r="E682" s="27" t="s">
        <v>2286</v>
      </c>
      <c r="F682" s="26" t="s">
        <v>2287</v>
      </c>
      <c r="G682" s="29">
        <v>45111.0</v>
      </c>
      <c r="H682" s="30">
        <v>45111.0</v>
      </c>
      <c r="I682" s="30">
        <v>45476.0</v>
      </c>
      <c r="J682" s="31" t="s">
        <v>2288</v>
      </c>
      <c r="K682" s="26" t="s">
        <v>420</v>
      </c>
      <c r="L682" s="73" t="s">
        <v>75</v>
      </c>
      <c r="M682" s="33">
        <v>15925.0</v>
      </c>
      <c r="N682" s="34">
        <v>17005.57</v>
      </c>
      <c r="O682" s="27" t="s">
        <v>76</v>
      </c>
      <c r="P682" s="35" t="s">
        <v>89</v>
      </c>
      <c r="Q682" s="35" t="s">
        <v>108</v>
      </c>
      <c r="R682" s="36">
        <v>45111.0</v>
      </c>
      <c r="S682" s="35" t="s">
        <v>86</v>
      </c>
      <c r="T682" s="35">
        <v>0.0</v>
      </c>
      <c r="U682" s="37" t="s">
        <v>67</v>
      </c>
      <c r="V682" s="38"/>
      <c r="W682" s="38"/>
      <c r="X682" s="27"/>
      <c r="Y682" s="39"/>
      <c r="Z682" s="39"/>
      <c r="AA682" s="39"/>
      <c r="AB682" s="40"/>
      <c r="AC682" s="27">
        <f t="shared" si="504"/>
        <v>0</v>
      </c>
      <c r="AD682" s="41">
        <f t="shared" si="531"/>
        <v>2388.75</v>
      </c>
      <c r="AE682" s="42"/>
      <c r="AF682" s="29">
        <v>44931.0</v>
      </c>
      <c r="AG682" s="43">
        <f t="shared" si="522"/>
        <v>4084.7625</v>
      </c>
      <c r="AH682" s="29"/>
      <c r="AI682" s="29"/>
      <c r="AJ682" s="29"/>
      <c r="AK682" s="29"/>
      <c r="AL682" s="27"/>
      <c r="AM682" s="27"/>
      <c r="AN682" s="47"/>
      <c r="AO682" s="46"/>
      <c r="AP682" s="47"/>
      <c r="AQ682" s="43">
        <f t="shared" si="532"/>
        <v>4299.75</v>
      </c>
      <c r="AR682" s="43">
        <f t="shared" si="448"/>
        <v>214.9875</v>
      </c>
      <c r="AS682" s="43">
        <f t="shared" si="449"/>
        <v>752.45625</v>
      </c>
      <c r="AT682" s="48">
        <f t="shared" si="450"/>
        <v>3332.30625</v>
      </c>
      <c r="AU682" s="49">
        <f t="shared" si="529"/>
        <v>3332.30625</v>
      </c>
      <c r="AV682" s="48"/>
      <c r="AW682" s="34">
        <f t="shared" si="492"/>
        <v>14616.82</v>
      </c>
      <c r="AX682" s="50">
        <f t="shared" si="413"/>
        <v>943.55625</v>
      </c>
      <c r="AY682" s="43"/>
      <c r="AZ682" s="27"/>
      <c r="BA682" s="48">
        <f t="shared" si="527"/>
        <v>3332.30625</v>
      </c>
      <c r="BB682" s="27"/>
      <c r="BC682" s="27"/>
      <c r="BD682" s="51"/>
      <c r="BE682" s="52"/>
      <c r="BF682" s="27" t="s">
        <v>2286</v>
      </c>
      <c r="BG682" s="53">
        <v>0.0</v>
      </c>
      <c r="BH682" s="53" t="str">
        <f>'[1]2023'!Q376</f>
        <v>#REF!</v>
      </c>
      <c r="BI682" s="27"/>
      <c r="BJ682" s="27"/>
      <c r="BK682" s="27" t="s">
        <v>76</v>
      </c>
      <c r="BL682" s="27"/>
    </row>
    <row r="683" ht="14.25" customHeight="1">
      <c r="A683" s="26" t="s">
        <v>55</v>
      </c>
      <c r="B683" s="26" t="s">
        <v>56</v>
      </c>
      <c r="C683" s="26" t="s">
        <v>57</v>
      </c>
      <c r="D683" s="26" t="s">
        <v>81</v>
      </c>
      <c r="E683" s="27" t="s">
        <v>2289</v>
      </c>
      <c r="F683" s="26" t="s">
        <v>2290</v>
      </c>
      <c r="G683" s="29">
        <v>45111.0</v>
      </c>
      <c r="H683" s="30">
        <v>45111.0</v>
      </c>
      <c r="I683" s="30">
        <v>45476.0</v>
      </c>
      <c r="J683" s="31">
        <v>0.0</v>
      </c>
      <c r="K683" s="26" t="s">
        <v>420</v>
      </c>
      <c r="L683" s="32" t="s">
        <v>75</v>
      </c>
      <c r="M683" s="124">
        <v>65450.0</v>
      </c>
      <c r="N683" s="27">
        <v>69453.55</v>
      </c>
      <c r="O683" s="27" t="s">
        <v>76</v>
      </c>
      <c r="P683" s="35" t="s">
        <v>77</v>
      </c>
      <c r="Q683" s="35" t="s">
        <v>108</v>
      </c>
      <c r="R683" s="36">
        <v>45111.0</v>
      </c>
      <c r="S683" s="35" t="s">
        <v>86</v>
      </c>
      <c r="T683" s="35">
        <v>0.0</v>
      </c>
      <c r="U683" s="37" t="s">
        <v>67</v>
      </c>
      <c r="V683" s="38"/>
      <c r="W683" s="38"/>
      <c r="X683" s="27"/>
      <c r="Y683" s="39"/>
      <c r="Z683" s="39"/>
      <c r="AA683" s="39"/>
      <c r="AB683" s="40"/>
      <c r="AC683" s="27">
        <f t="shared" si="504"/>
        <v>0</v>
      </c>
      <c r="AD683" s="41">
        <f t="shared" si="531"/>
        <v>9817.5</v>
      </c>
      <c r="AE683" s="42"/>
      <c r="AF683" s="29">
        <v>45144.0</v>
      </c>
      <c r="AG683" s="43">
        <f t="shared" si="522"/>
        <v>16787.925</v>
      </c>
      <c r="AH683" s="29"/>
      <c r="AI683" s="29"/>
      <c r="AJ683" s="29"/>
      <c r="AK683" s="29"/>
      <c r="AL683" s="27"/>
      <c r="AM683" s="27"/>
      <c r="AN683" s="47"/>
      <c r="AO683" s="46"/>
      <c r="AP683" s="47"/>
      <c r="AQ683" s="43">
        <f t="shared" si="532"/>
        <v>17671.5</v>
      </c>
      <c r="AR683" s="43">
        <f t="shared" si="448"/>
        <v>883.575</v>
      </c>
      <c r="AS683" s="43">
        <f t="shared" si="449"/>
        <v>3092.5125</v>
      </c>
      <c r="AT683" s="48">
        <f t="shared" si="450"/>
        <v>13695.4125</v>
      </c>
      <c r="AU683" s="49">
        <f t="shared" si="529"/>
        <v>13695.4125</v>
      </c>
      <c r="AV683" s="48"/>
      <c r="AW683" s="27">
        <f t="shared" si="492"/>
        <v>59636.05</v>
      </c>
      <c r="AX683" s="50">
        <f t="shared" si="413"/>
        <v>3877.9125</v>
      </c>
      <c r="AY683" s="43"/>
      <c r="AZ683" s="27"/>
      <c r="BA683" s="48">
        <f t="shared" si="527"/>
        <v>13695.4125</v>
      </c>
      <c r="BB683" s="27"/>
      <c r="BC683" s="27"/>
      <c r="BD683" s="51"/>
      <c r="BE683" s="52"/>
      <c r="BF683" s="27" t="s">
        <v>2289</v>
      </c>
      <c r="BG683" s="58" t="s">
        <v>562</v>
      </c>
      <c r="BH683" s="53" t="str">
        <f>'[1]2023'!Q431</f>
        <v>#REF!</v>
      </c>
      <c r="BI683" s="27"/>
      <c r="BJ683" s="27"/>
      <c r="BK683" s="27" t="s">
        <v>76</v>
      </c>
      <c r="BL683" s="27"/>
    </row>
    <row r="684" ht="14.25" customHeight="1">
      <c r="A684" s="26" t="s">
        <v>55</v>
      </c>
      <c r="B684" s="26" t="s">
        <v>56</v>
      </c>
      <c r="C684" s="26" t="s">
        <v>57</v>
      </c>
      <c r="D684" s="26" t="s">
        <v>81</v>
      </c>
      <c r="E684" s="27" t="s">
        <v>2291</v>
      </c>
      <c r="F684" s="28" t="s">
        <v>2292</v>
      </c>
      <c r="G684" s="29">
        <v>45111.0</v>
      </c>
      <c r="H684" s="30">
        <v>45111.0</v>
      </c>
      <c r="I684" s="30">
        <v>45476.0</v>
      </c>
      <c r="J684" s="31">
        <v>0.0</v>
      </c>
      <c r="K684" s="26" t="s">
        <v>420</v>
      </c>
      <c r="L684" s="32" t="s">
        <v>75</v>
      </c>
      <c r="M684" s="33">
        <v>12675.0</v>
      </c>
      <c r="N684" s="34">
        <v>13563.83</v>
      </c>
      <c r="O684" s="27" t="s">
        <v>76</v>
      </c>
      <c r="P684" s="35" t="s">
        <v>122</v>
      </c>
      <c r="Q684" s="35" t="s">
        <v>65</v>
      </c>
      <c r="R684" s="36">
        <v>45111.0</v>
      </c>
      <c r="S684" s="35" t="s">
        <v>86</v>
      </c>
      <c r="T684" s="35">
        <v>0.0</v>
      </c>
      <c r="U684" s="37" t="s">
        <v>67</v>
      </c>
      <c r="V684" s="38"/>
      <c r="W684" s="38"/>
      <c r="X684" s="27"/>
      <c r="Y684" s="39"/>
      <c r="Z684" s="39"/>
      <c r="AA684" s="39"/>
      <c r="AB684" s="40"/>
      <c r="AC684" s="27">
        <f t="shared" si="504"/>
        <v>0</v>
      </c>
      <c r="AD684" s="41"/>
      <c r="AE684" s="42"/>
      <c r="AF684" s="27"/>
      <c r="AG684" s="43">
        <f t="shared" si="522"/>
        <v>3251.1375</v>
      </c>
      <c r="AH684" s="29"/>
      <c r="AI684" s="29"/>
      <c r="AJ684" s="29"/>
      <c r="AK684" s="29"/>
      <c r="AL684" s="27"/>
      <c r="AM684" s="44"/>
      <c r="AN684" s="93"/>
      <c r="AO684" s="46"/>
      <c r="AP684" s="47"/>
      <c r="AQ684" s="43">
        <f t="shared" si="532"/>
        <v>3422.25</v>
      </c>
      <c r="AR684" s="43">
        <f t="shared" si="448"/>
        <v>171.1125</v>
      </c>
      <c r="AS684" s="43">
        <f t="shared" si="449"/>
        <v>598.89375</v>
      </c>
      <c r="AT684" s="48">
        <f t="shared" si="450"/>
        <v>2652.24375</v>
      </c>
      <c r="AU684" s="49">
        <f t="shared" si="529"/>
        <v>2652.24375</v>
      </c>
      <c r="AV684" s="48"/>
      <c r="AW684" s="34">
        <f t="shared" si="492"/>
        <v>13563.83</v>
      </c>
      <c r="AX684" s="50">
        <f t="shared" si="413"/>
        <v>2652.24375</v>
      </c>
      <c r="AY684" s="43"/>
      <c r="AZ684" s="43"/>
      <c r="BA684" s="48">
        <f t="shared" si="527"/>
        <v>2652.24375</v>
      </c>
      <c r="BB684" s="27"/>
      <c r="BC684" s="27"/>
      <c r="BD684" s="51"/>
      <c r="BE684" s="52"/>
      <c r="BF684" s="27" t="s">
        <v>2291</v>
      </c>
      <c r="BG684" s="53">
        <v>0.0</v>
      </c>
      <c r="BH684" s="53" t="str">
        <f>'[1]2023'!Q494</f>
        <v>#REF!</v>
      </c>
      <c r="BI684" s="27"/>
      <c r="BJ684" s="27"/>
      <c r="BK684" s="27" t="s">
        <v>76</v>
      </c>
      <c r="BL684" s="27"/>
    </row>
    <row r="685" ht="14.25" customHeight="1">
      <c r="A685" s="26" t="s">
        <v>55</v>
      </c>
      <c r="B685" s="26" t="s">
        <v>56</v>
      </c>
      <c r="C685" s="26" t="s">
        <v>57</v>
      </c>
      <c r="D685" s="26" t="s">
        <v>81</v>
      </c>
      <c r="E685" s="27" t="s">
        <v>2293</v>
      </c>
      <c r="F685" s="28" t="s">
        <v>2294</v>
      </c>
      <c r="G685" s="29">
        <v>45111.0</v>
      </c>
      <c r="H685" s="30">
        <v>45111.0</v>
      </c>
      <c r="I685" s="30">
        <v>45476.0</v>
      </c>
      <c r="J685" s="31">
        <v>0.0</v>
      </c>
      <c r="K685" s="26" t="s">
        <v>887</v>
      </c>
      <c r="L685" s="32" t="s">
        <v>63</v>
      </c>
      <c r="M685" s="33">
        <v>0.0</v>
      </c>
      <c r="N685" s="34">
        <v>0.0</v>
      </c>
      <c r="O685" s="27" t="s">
        <v>64</v>
      </c>
      <c r="P685" s="35">
        <v>0.0</v>
      </c>
      <c r="Q685" s="35">
        <v>0.0</v>
      </c>
      <c r="R685" s="36">
        <v>45111.0</v>
      </c>
      <c r="S685" s="35" t="s">
        <v>86</v>
      </c>
      <c r="T685" s="35">
        <v>0.0</v>
      </c>
      <c r="U685" s="37" t="s">
        <v>67</v>
      </c>
      <c r="V685" s="38"/>
      <c r="W685" s="38"/>
      <c r="X685" s="27"/>
      <c r="Y685" s="39"/>
      <c r="Z685" s="39"/>
      <c r="AA685" s="39"/>
      <c r="AB685" s="40"/>
      <c r="AC685" s="27">
        <f t="shared" si="504"/>
        <v>0</v>
      </c>
      <c r="AD685" s="41">
        <f>IF(AND(S685="0",O685="Paid"),(M685*15%)-AC685,0)</f>
        <v>0</v>
      </c>
      <c r="AE685" s="42"/>
      <c r="AF685" s="27"/>
      <c r="AG685" s="43">
        <f t="shared" si="522"/>
        <v>0</v>
      </c>
      <c r="AH685" s="29"/>
      <c r="AI685" s="29"/>
      <c r="AJ685" s="29"/>
      <c r="AK685" s="29"/>
      <c r="AL685" s="27"/>
      <c r="AM685" s="44"/>
      <c r="AN685" s="47"/>
      <c r="AO685" s="46"/>
      <c r="AP685" s="47"/>
      <c r="AQ685" s="43" t="b">
        <f>IF(O685="Paid",IF(U685="Motor Plus",(M685*27%),IF(U685="Motor One",(M685*22%),(IF(U685="Golden",(M685*25%),(IF(U685="Classic",(M685*15%),(IF(U685="Wethaq",(M685*28%),IF(U685="Alwataniya",(M685*21%))*0)))))))))</f>
        <v>0</v>
      </c>
      <c r="AR685" s="43">
        <f t="shared" si="448"/>
        <v>0</v>
      </c>
      <c r="AS685" s="43">
        <f t="shared" si="449"/>
        <v>0</v>
      </c>
      <c r="AT685" s="48">
        <f t="shared" si="450"/>
        <v>0</v>
      </c>
      <c r="AU685" s="49">
        <f>AQ685-AR685-AS685-AC685-AO685</f>
        <v>0</v>
      </c>
      <c r="AV685" s="48"/>
      <c r="AW685" s="34">
        <f t="shared" si="492"/>
        <v>0</v>
      </c>
      <c r="AX685" s="50">
        <f t="shared" si="413"/>
        <v>0</v>
      </c>
      <c r="AY685" s="43"/>
      <c r="AZ685" s="43"/>
      <c r="BA685" s="48">
        <f t="shared" si="527"/>
        <v>0</v>
      </c>
      <c r="BB685" s="27"/>
      <c r="BC685" s="27"/>
      <c r="BD685" s="51"/>
      <c r="BE685" s="52"/>
      <c r="BF685" s="27" t="s">
        <v>2293</v>
      </c>
      <c r="BG685" s="53">
        <v>0.0</v>
      </c>
      <c r="BH685" s="53" t="str">
        <f>'[1]2023'!Q917</f>
        <v>#REF!</v>
      </c>
      <c r="BI685" s="27"/>
      <c r="BJ685" s="27"/>
      <c r="BK685" s="27" t="s">
        <v>64</v>
      </c>
      <c r="BL685" s="27"/>
    </row>
    <row r="686" ht="14.25" customHeight="1">
      <c r="A686" s="26" t="s">
        <v>55</v>
      </c>
      <c r="B686" s="26" t="s">
        <v>56</v>
      </c>
      <c r="C686" s="26" t="s">
        <v>57</v>
      </c>
      <c r="D686" s="26" t="s">
        <v>81</v>
      </c>
      <c r="E686" s="27" t="s">
        <v>2295</v>
      </c>
      <c r="F686" s="28" t="s">
        <v>2296</v>
      </c>
      <c r="G686" s="29">
        <v>45112.0</v>
      </c>
      <c r="H686" s="30">
        <v>45112.0</v>
      </c>
      <c r="I686" s="30">
        <v>45477.0</v>
      </c>
      <c r="J686" s="31">
        <v>0.0</v>
      </c>
      <c r="K686" s="26" t="s">
        <v>427</v>
      </c>
      <c r="L686" s="32" t="s">
        <v>75</v>
      </c>
      <c r="M686" s="33">
        <v>15470.0</v>
      </c>
      <c r="N686" s="34">
        <v>16523.73</v>
      </c>
      <c r="O686" s="27" t="s">
        <v>76</v>
      </c>
      <c r="P686" s="35" t="s">
        <v>122</v>
      </c>
      <c r="Q686" s="35" t="s">
        <v>90</v>
      </c>
      <c r="R686" s="36">
        <v>45112.0</v>
      </c>
      <c r="S686" s="35" t="s">
        <v>86</v>
      </c>
      <c r="T686" s="35">
        <v>0.0</v>
      </c>
      <c r="U686" s="37" t="s">
        <v>67</v>
      </c>
      <c r="V686" s="38"/>
      <c r="W686" s="38"/>
      <c r="X686" s="27"/>
      <c r="Y686" s="39"/>
      <c r="Z686" s="79" t="s">
        <v>764</v>
      </c>
      <c r="AA686" s="39"/>
      <c r="AB686" s="40"/>
      <c r="AC686" s="27">
        <f t="shared" si="504"/>
        <v>0</v>
      </c>
      <c r="AD686" s="41">
        <f t="shared" ref="AD686:AD688" si="533">IF(AND(S686="0",O686="Paid"),M686*15%,0)</f>
        <v>2320.5</v>
      </c>
      <c r="AE686" s="42"/>
      <c r="AF686" s="27"/>
      <c r="AG686" s="43">
        <f t="shared" si="522"/>
        <v>3968.055</v>
      </c>
      <c r="AH686" s="29"/>
      <c r="AI686" s="29"/>
      <c r="AJ686" s="29"/>
      <c r="AK686" s="29"/>
      <c r="AL686" s="27"/>
      <c r="AM686" s="44"/>
      <c r="AN686" s="93"/>
      <c r="AO686" s="46"/>
      <c r="AP686" s="47"/>
      <c r="AQ686" s="43">
        <f t="shared" ref="AQ686:AQ689" si="534">IF(U686="Motor Plus",(M686*27%),IF(U686="Motor One",(M686*22%),(IF(U686="Golden",(M686*25%),(IF(U686="Classic",(M686*15%),(IF(U686="Wethaq",(M686*28%),IF(U686="Alwataniya",(M686*21%))*0))))))))</f>
        <v>4176.9</v>
      </c>
      <c r="AR686" s="43">
        <f t="shared" si="448"/>
        <v>208.845</v>
      </c>
      <c r="AS686" s="43">
        <f t="shared" si="449"/>
        <v>730.9575</v>
      </c>
      <c r="AT686" s="48">
        <f t="shared" si="450"/>
        <v>3237.0975</v>
      </c>
      <c r="AU686" s="49">
        <f t="shared" ref="AU686:AU702" si="535">AQ686-AR686-AS686-AC686</f>
        <v>3237.0975</v>
      </c>
      <c r="AV686" s="48"/>
      <c r="AW686" s="34">
        <f t="shared" si="492"/>
        <v>14203.23</v>
      </c>
      <c r="AX686" s="50">
        <f t="shared" si="413"/>
        <v>916.5975</v>
      </c>
      <c r="AY686" s="43"/>
      <c r="AZ686" s="43"/>
      <c r="BA686" s="48">
        <f t="shared" si="527"/>
        <v>3237.0975</v>
      </c>
      <c r="BB686" s="27"/>
      <c r="BC686" s="27"/>
      <c r="BD686" s="51"/>
      <c r="BE686" s="52"/>
      <c r="BF686" s="27" t="s">
        <v>2295</v>
      </c>
      <c r="BG686" s="53">
        <v>0.0</v>
      </c>
      <c r="BH686" s="53" t="str">
        <f>'[1]2023'!Q502</f>
        <v>#REF!</v>
      </c>
      <c r="BI686" s="27"/>
      <c r="BJ686" s="27"/>
      <c r="BK686" s="27" t="s">
        <v>76</v>
      </c>
      <c r="BL686" s="27"/>
    </row>
    <row r="687" ht="14.25" customHeight="1">
      <c r="A687" s="26" t="s">
        <v>55</v>
      </c>
      <c r="B687" s="26" t="s">
        <v>56</v>
      </c>
      <c r="C687" s="26" t="s">
        <v>57</v>
      </c>
      <c r="D687" s="26" t="s">
        <v>81</v>
      </c>
      <c r="E687" s="27" t="s">
        <v>2297</v>
      </c>
      <c r="F687" s="28" t="s">
        <v>2298</v>
      </c>
      <c r="G687" s="29">
        <v>45112.0</v>
      </c>
      <c r="H687" s="30">
        <v>45112.0</v>
      </c>
      <c r="I687" s="30">
        <v>45477.0</v>
      </c>
      <c r="J687" s="31">
        <v>0.0</v>
      </c>
      <c r="K687" s="26" t="s">
        <v>427</v>
      </c>
      <c r="L687" s="32" t="s">
        <v>75</v>
      </c>
      <c r="M687" s="33">
        <v>31240.0</v>
      </c>
      <c r="N687" s="34">
        <v>33224.16</v>
      </c>
      <c r="O687" s="27" t="s">
        <v>76</v>
      </c>
      <c r="P687" s="35" t="s">
        <v>89</v>
      </c>
      <c r="Q687" s="35" t="s">
        <v>90</v>
      </c>
      <c r="R687" s="36">
        <v>45112.0</v>
      </c>
      <c r="S687" s="35" t="s">
        <v>86</v>
      </c>
      <c r="T687" s="35">
        <v>0.0</v>
      </c>
      <c r="U687" s="37" t="s">
        <v>67</v>
      </c>
      <c r="V687" s="38"/>
      <c r="W687" s="38"/>
      <c r="X687" s="27"/>
      <c r="Y687" s="39"/>
      <c r="Z687" s="79" t="s">
        <v>208</v>
      </c>
      <c r="AA687" s="39"/>
      <c r="AB687" s="40"/>
      <c r="AC687" s="27">
        <f t="shared" si="504"/>
        <v>0</v>
      </c>
      <c r="AD687" s="41">
        <f t="shared" si="533"/>
        <v>4686</v>
      </c>
      <c r="AE687" s="42"/>
      <c r="AF687" s="27"/>
      <c r="AG687" s="43">
        <f t="shared" si="522"/>
        <v>8013.06</v>
      </c>
      <c r="AH687" s="29"/>
      <c r="AI687" s="29"/>
      <c r="AJ687" s="29"/>
      <c r="AK687" s="29"/>
      <c r="AL687" s="27"/>
      <c r="AM687" s="44"/>
      <c r="AN687" s="115"/>
      <c r="AO687" s="46"/>
      <c r="AP687" s="47"/>
      <c r="AQ687" s="43">
        <f t="shared" si="534"/>
        <v>8434.8</v>
      </c>
      <c r="AR687" s="43">
        <f t="shared" si="448"/>
        <v>421.74</v>
      </c>
      <c r="AS687" s="43">
        <f t="shared" si="449"/>
        <v>1476.09</v>
      </c>
      <c r="AT687" s="48">
        <f t="shared" si="450"/>
        <v>6536.97</v>
      </c>
      <c r="AU687" s="49">
        <f t="shared" si="535"/>
        <v>6536.97</v>
      </c>
      <c r="AV687" s="48"/>
      <c r="AW687" s="34">
        <f t="shared" si="492"/>
        <v>28538.16</v>
      </c>
      <c r="AX687" s="50">
        <f t="shared" si="413"/>
        <v>1850.97</v>
      </c>
      <c r="AY687" s="43"/>
      <c r="AZ687" s="43"/>
      <c r="BA687" s="48">
        <f t="shared" si="527"/>
        <v>6536.97</v>
      </c>
      <c r="BB687" s="27"/>
      <c r="BC687" s="27"/>
      <c r="BD687" s="51"/>
      <c r="BE687" s="52"/>
      <c r="BF687" s="27" t="s">
        <v>2297</v>
      </c>
      <c r="BG687" s="53">
        <v>0.0</v>
      </c>
      <c r="BH687" s="53" t="str">
        <f>'[1]2023'!Q515</f>
        <v>#REF!</v>
      </c>
      <c r="BI687" s="27"/>
      <c r="BJ687" s="27"/>
      <c r="BK687" s="27" t="s">
        <v>76</v>
      </c>
      <c r="BL687" s="27"/>
    </row>
    <row r="688" ht="14.25" customHeight="1">
      <c r="A688" s="26" t="s">
        <v>111</v>
      </c>
      <c r="B688" s="26" t="s">
        <v>56</v>
      </c>
      <c r="C688" s="26" t="s">
        <v>57</v>
      </c>
      <c r="D688" s="26" t="s">
        <v>71</v>
      </c>
      <c r="E688" s="27" t="s">
        <v>1124</v>
      </c>
      <c r="F688" s="28" t="s">
        <v>2299</v>
      </c>
      <c r="G688" s="29">
        <v>45112.0</v>
      </c>
      <c r="H688" s="30">
        <v>45112.0</v>
      </c>
      <c r="I688" s="30">
        <v>45477.0</v>
      </c>
      <c r="J688" s="31" t="s">
        <v>2300</v>
      </c>
      <c r="K688" s="26" t="s">
        <v>427</v>
      </c>
      <c r="L688" s="69" t="s">
        <v>1142</v>
      </c>
      <c r="M688" s="33">
        <v>24309.92</v>
      </c>
      <c r="N688" s="33">
        <v>26000.0</v>
      </c>
      <c r="O688" s="27" t="s">
        <v>76</v>
      </c>
      <c r="P688" s="35" t="s">
        <v>142</v>
      </c>
      <c r="Q688" s="35" t="s">
        <v>108</v>
      </c>
      <c r="R688" s="36">
        <v>45121.0</v>
      </c>
      <c r="S688" s="35" t="s">
        <v>86</v>
      </c>
      <c r="T688" s="35">
        <v>0.0</v>
      </c>
      <c r="U688" s="37" t="s">
        <v>115</v>
      </c>
      <c r="V688" s="168">
        <v>1000000.0</v>
      </c>
      <c r="W688" s="169"/>
      <c r="X688" s="136"/>
      <c r="Y688" s="170"/>
      <c r="Z688" s="171" t="s">
        <v>2301</v>
      </c>
      <c r="AA688" s="170"/>
      <c r="AB688" s="136"/>
      <c r="AC688" s="136">
        <f t="shared" si="504"/>
        <v>0</v>
      </c>
      <c r="AD688" s="35">
        <f t="shared" si="533"/>
        <v>3646.488</v>
      </c>
      <c r="AE688" s="26">
        <v>500.0</v>
      </c>
      <c r="AF688" s="136" t="s">
        <v>75</v>
      </c>
      <c r="AG688" s="26">
        <f t="shared" ref="AG688:AG689" si="536">IF(O688="Paid",IF(A688="Alwataniya",(M688*21%)-((M688*21%)*5%),IF((A688="GIG"),(M688*25%)-((M688*25%)*5%),IF((A688="Allianz"),(M688*27%)-((M688*27%)*20%),0))),0)</f>
        <v>5773.606</v>
      </c>
      <c r="AH688" s="136" t="s">
        <v>951</v>
      </c>
      <c r="AI688" s="136" t="s">
        <v>1393</v>
      </c>
      <c r="AJ688" s="172"/>
      <c r="AK688" s="62" t="s">
        <v>63</v>
      </c>
      <c r="AL688" s="136"/>
      <c r="AM688" s="44"/>
      <c r="AN688" s="136"/>
      <c r="AO688" s="146"/>
      <c r="AP688" s="136"/>
      <c r="AQ688" s="43">
        <f t="shared" si="534"/>
        <v>6077.48</v>
      </c>
      <c r="AR688" s="43">
        <f t="shared" si="448"/>
        <v>303.874</v>
      </c>
      <c r="AS688" s="43">
        <f t="shared" si="449"/>
        <v>1063.559</v>
      </c>
      <c r="AT688" s="48">
        <f t="shared" si="450"/>
        <v>4710.047</v>
      </c>
      <c r="AU688" s="49">
        <f t="shared" si="535"/>
        <v>4710.047</v>
      </c>
      <c r="AV688" s="48"/>
      <c r="AW688" s="122">
        <f t="shared" si="492"/>
        <v>21853.512</v>
      </c>
      <c r="AX688" s="50">
        <f t="shared" si="413"/>
        <v>563.559</v>
      </c>
      <c r="AY688" s="122"/>
      <c r="AZ688" s="43"/>
      <c r="BA688" s="48">
        <f t="shared" si="527"/>
        <v>4710.047</v>
      </c>
      <c r="BB688" s="122"/>
      <c r="BC688" s="122"/>
      <c r="BD688" s="173"/>
      <c r="BE688" s="174"/>
      <c r="BF688" s="136" t="s">
        <v>2302</v>
      </c>
      <c r="BG688" s="58" t="s">
        <v>562</v>
      </c>
      <c r="BH688" s="53" t="str">
        <f t="shared" ref="BH688:BH689" si="537">'[1]2023'!Q580</f>
        <v>#REF!</v>
      </c>
      <c r="BI688" s="122"/>
      <c r="BJ688" s="122"/>
      <c r="BK688" s="27" t="s">
        <v>76</v>
      </c>
      <c r="BL688" s="175" t="s">
        <v>998</v>
      </c>
    </row>
    <row r="689" ht="14.25" customHeight="1">
      <c r="A689" s="26" t="s">
        <v>111</v>
      </c>
      <c r="B689" s="26" t="s">
        <v>56</v>
      </c>
      <c r="C689" s="26" t="s">
        <v>57</v>
      </c>
      <c r="D689" s="26" t="s">
        <v>71</v>
      </c>
      <c r="E689" s="27" t="s">
        <v>2303</v>
      </c>
      <c r="F689" s="28" t="s">
        <v>2304</v>
      </c>
      <c r="G689" s="29">
        <v>45112.0</v>
      </c>
      <c r="H689" s="30">
        <v>45112.0</v>
      </c>
      <c r="I689" s="30">
        <v>45477.0</v>
      </c>
      <c r="J689" s="31" t="s">
        <v>2305</v>
      </c>
      <c r="K689" s="26" t="s">
        <v>427</v>
      </c>
      <c r="L689" s="32" t="s">
        <v>75</v>
      </c>
      <c r="M689" s="33">
        <v>117605.48</v>
      </c>
      <c r="N689" s="34">
        <v>124800.0</v>
      </c>
      <c r="O689" s="27" t="s">
        <v>76</v>
      </c>
      <c r="P689" s="35" t="s">
        <v>89</v>
      </c>
      <c r="Q689" s="35" t="s">
        <v>114</v>
      </c>
      <c r="R689" s="36">
        <v>45121.0</v>
      </c>
      <c r="S689" s="35" t="s">
        <v>66</v>
      </c>
      <c r="T689" s="35">
        <v>0.0</v>
      </c>
      <c r="U689" s="37" t="s">
        <v>115</v>
      </c>
      <c r="V689" s="38">
        <v>4800000.0</v>
      </c>
      <c r="W689" s="38"/>
      <c r="X689" s="27"/>
      <c r="Y689" s="39"/>
      <c r="Z689" s="79" t="s">
        <v>2306</v>
      </c>
      <c r="AA689" s="39"/>
      <c r="AB689" s="40">
        <v>0.01</v>
      </c>
      <c r="AC689" s="27">
        <v>1800.0</v>
      </c>
      <c r="AD689" s="41">
        <f t="shared" ref="AD689:AD690" si="538">IF(AND(S689="0",O689="Paid"),(M689*15%)-AC689,0)</f>
        <v>0</v>
      </c>
      <c r="AE689" s="42"/>
      <c r="AF689" s="27"/>
      <c r="AG689" s="43">
        <f t="shared" si="536"/>
        <v>27931.3015</v>
      </c>
      <c r="AH689" s="29">
        <v>45235.0</v>
      </c>
      <c r="AI689" s="61" t="s">
        <v>2307</v>
      </c>
      <c r="AJ689" s="40"/>
      <c r="AK689" s="62" t="s">
        <v>63</v>
      </c>
      <c r="AL689" s="27"/>
      <c r="AM689" s="138">
        <f>((M689*25%)-AC689-((M689*25%)*22.5%))*30%</f>
        <v>6295.818525</v>
      </c>
      <c r="AN689" s="120" t="s">
        <v>1038</v>
      </c>
      <c r="AO689" s="46"/>
      <c r="AP689" s="47"/>
      <c r="AQ689" s="43">
        <f t="shared" si="534"/>
        <v>29401.37</v>
      </c>
      <c r="AR689" s="43">
        <f t="shared" si="448"/>
        <v>1470.0685</v>
      </c>
      <c r="AS689" s="43">
        <f t="shared" si="449"/>
        <v>5145.23975</v>
      </c>
      <c r="AT689" s="48">
        <f t="shared" si="450"/>
        <v>22786.06175</v>
      </c>
      <c r="AU689" s="49">
        <f t="shared" si="535"/>
        <v>20986.06175</v>
      </c>
      <c r="AV689" s="48"/>
      <c r="AW689" s="27">
        <v>123000.0</v>
      </c>
      <c r="AX689" s="50">
        <f t="shared" si="413"/>
        <v>16490.24323</v>
      </c>
      <c r="AY689" s="43"/>
      <c r="AZ689" s="43"/>
      <c r="BA689" s="48">
        <f t="shared" si="527"/>
        <v>14690.24323</v>
      </c>
      <c r="BB689" s="27"/>
      <c r="BC689" s="27"/>
      <c r="BD689" s="51"/>
      <c r="BE689" s="52" t="s">
        <v>440</v>
      </c>
      <c r="BF689" s="27" t="s">
        <v>2303</v>
      </c>
      <c r="BG689" s="58" t="s">
        <v>2308</v>
      </c>
      <c r="BH689" s="53" t="str">
        <f t="shared" si="537"/>
        <v>#REF!</v>
      </c>
      <c r="BI689" s="27"/>
      <c r="BJ689" s="27"/>
      <c r="BK689" s="27" t="s">
        <v>76</v>
      </c>
      <c r="BL689" s="27"/>
    </row>
    <row r="690" ht="14.25" customHeight="1">
      <c r="A690" s="26" t="s">
        <v>1634</v>
      </c>
      <c r="B690" s="26" t="s">
        <v>69</v>
      </c>
      <c r="C690" s="26" t="s">
        <v>70</v>
      </c>
      <c r="D690" s="26" t="s">
        <v>81</v>
      </c>
      <c r="E690" s="27" t="s">
        <v>2309</v>
      </c>
      <c r="F690" s="26" t="s">
        <v>2310</v>
      </c>
      <c r="G690" s="29">
        <v>45112.0</v>
      </c>
      <c r="H690" s="30">
        <v>45112.0</v>
      </c>
      <c r="I690" s="30">
        <v>45477.0</v>
      </c>
      <c r="J690" s="31">
        <v>0.0</v>
      </c>
      <c r="K690" s="26" t="s">
        <v>427</v>
      </c>
      <c r="L690" s="32" t="s">
        <v>63</v>
      </c>
      <c r="M690" s="33">
        <v>22214.0</v>
      </c>
      <c r="N690" s="34">
        <v>23585.0</v>
      </c>
      <c r="O690" s="27" t="s">
        <v>64</v>
      </c>
      <c r="P690" s="35">
        <v>0.0</v>
      </c>
      <c r="Q690" s="35">
        <v>0.0</v>
      </c>
      <c r="R690" s="36">
        <v>45112.0</v>
      </c>
      <c r="S690" s="35" t="s">
        <v>78</v>
      </c>
      <c r="T690" s="54" t="s">
        <v>79</v>
      </c>
      <c r="U690" s="37" t="s">
        <v>69</v>
      </c>
      <c r="V690" s="38"/>
      <c r="W690" s="38"/>
      <c r="X690" s="27"/>
      <c r="Y690" s="39"/>
      <c r="Z690" s="39"/>
      <c r="AA690" s="39"/>
      <c r="AB690" s="40"/>
      <c r="AC690" s="27">
        <f t="shared" ref="AC690:AC801" si="539">M690*AB690</f>
        <v>0</v>
      </c>
      <c r="AD690" s="41">
        <f t="shared" si="538"/>
        <v>0</v>
      </c>
      <c r="AE690" s="42"/>
      <c r="AF690" s="27"/>
      <c r="AG690" s="43" t="b">
        <f>IF(O690="Paid",IF(A690="Egyptian",(M690*8.118%)-((M690*8.118%)*5%)))</f>
        <v>0</v>
      </c>
      <c r="AH690" s="29"/>
      <c r="AI690" s="29"/>
      <c r="AJ690" s="29"/>
      <c r="AK690" s="29"/>
      <c r="AL690" s="27"/>
      <c r="AM690" s="44"/>
      <c r="AN690" s="45"/>
      <c r="AO690" s="46"/>
      <c r="AP690" s="47"/>
      <c r="AQ690" s="43" t="b">
        <f>IF(O690="Paid",IF(U690="Motor Plus",(M690*27%),IF(U690="Motor One",(M690*22%),(IF(U690="Golden",(M690*25%),(IF(U690="Classic",(M690*15%),(IF(U690="Wethaq",(M690*28%),IF(U690="Alwataniya",(M690*21%))*0)))))))))</f>
        <v>0</v>
      </c>
      <c r="AR690" s="43">
        <f t="shared" si="448"/>
        <v>0</v>
      </c>
      <c r="AS690" s="43">
        <f t="shared" si="449"/>
        <v>0</v>
      </c>
      <c r="AT690" s="48">
        <f t="shared" si="450"/>
        <v>0</v>
      </c>
      <c r="AU690" s="49">
        <f t="shared" si="535"/>
        <v>0</v>
      </c>
      <c r="AV690" s="48"/>
      <c r="AW690" s="34">
        <f t="shared" ref="AW690:AW1031" si="540">N690-AD690-AE690-AC690</f>
        <v>23585</v>
      </c>
      <c r="AX690" s="50">
        <f t="shared" si="413"/>
        <v>0</v>
      </c>
      <c r="AY690" s="43"/>
      <c r="AZ690" s="43"/>
      <c r="BA690" s="48">
        <f t="shared" si="527"/>
        <v>0</v>
      </c>
      <c r="BB690" s="27"/>
      <c r="BC690" s="27"/>
      <c r="BD690" s="51"/>
      <c r="BE690" s="52"/>
      <c r="BF690" s="27" t="s">
        <v>2311</v>
      </c>
      <c r="BG690" s="58" t="s">
        <v>2312</v>
      </c>
      <c r="BH690" s="53" t="str">
        <f>'[1]2023'!Q606</f>
        <v>#REF!</v>
      </c>
      <c r="BI690" s="27"/>
      <c r="BJ690" s="27"/>
      <c r="BK690" s="27" t="s">
        <v>64</v>
      </c>
      <c r="BL690" s="64" t="s">
        <v>2313</v>
      </c>
    </row>
    <row r="691" ht="14.25" customHeight="1">
      <c r="A691" s="26" t="s">
        <v>55</v>
      </c>
      <c r="B691" s="26" t="s">
        <v>56</v>
      </c>
      <c r="C691" s="26" t="s">
        <v>57</v>
      </c>
      <c r="D691" s="26" t="s">
        <v>81</v>
      </c>
      <c r="E691" s="27" t="s">
        <v>2314</v>
      </c>
      <c r="F691" s="28" t="s">
        <v>2315</v>
      </c>
      <c r="G691" s="29">
        <v>45112.0</v>
      </c>
      <c r="H691" s="30">
        <v>45112.0</v>
      </c>
      <c r="I691" s="30">
        <v>45477.0</v>
      </c>
      <c r="J691" s="31">
        <v>0.0</v>
      </c>
      <c r="K691" s="26" t="s">
        <v>427</v>
      </c>
      <c r="L691" s="32" t="s">
        <v>75</v>
      </c>
      <c r="M691" s="33">
        <v>12772.0</v>
      </c>
      <c r="N691" s="34">
        <v>13666.54</v>
      </c>
      <c r="O691" s="27" t="s">
        <v>76</v>
      </c>
      <c r="P691" s="35" t="s">
        <v>122</v>
      </c>
      <c r="Q691" s="35">
        <v>0.0</v>
      </c>
      <c r="R691" s="36">
        <v>45112.0</v>
      </c>
      <c r="S691" s="35" t="s">
        <v>86</v>
      </c>
      <c r="T691" s="35">
        <v>0.0</v>
      </c>
      <c r="U691" s="37" t="s">
        <v>67</v>
      </c>
      <c r="V691" s="38"/>
      <c r="W691" s="38"/>
      <c r="X691" s="27"/>
      <c r="Y691" s="39"/>
      <c r="Z691" s="39"/>
      <c r="AA691" s="39"/>
      <c r="AB691" s="40"/>
      <c r="AC691" s="27">
        <f t="shared" si="539"/>
        <v>0</v>
      </c>
      <c r="AD691" s="41">
        <f>IF(AND(S691="0",O691="Paid"),M691*15%,0)</f>
        <v>1915.8</v>
      </c>
      <c r="AE691" s="42"/>
      <c r="AF691" s="27"/>
      <c r="AG691" s="43">
        <f>IF(O691="Paid",IF(A691="Alwataniya",(M691*21%)-((M691*21%)*5%),IF((A691="GIG"),(M691*25%)-((M691*25%)*5%),IF((A691="Allianz"),(M691*27%)-((M691*27%)*5%),0))),0)</f>
        <v>3276.018</v>
      </c>
      <c r="AH691" s="29"/>
      <c r="AI691" s="29"/>
      <c r="AJ691" s="29"/>
      <c r="AK691" s="29"/>
      <c r="AL691" s="27"/>
      <c r="AM691" s="44"/>
      <c r="AN691" s="93"/>
      <c r="AO691" s="46"/>
      <c r="AP691" s="47"/>
      <c r="AQ691" s="43">
        <f>IF(U691="Motor Plus",(M691*27%),IF(U691="Motor One",(M691*22%),(IF(U691="Golden",(M691*25%),(IF(U691="Classic",(M691*15%),(IF(U691="Wethaq",(M691*28%),IF(U691="Alwataniya",(M691*21%))*0))))))))</f>
        <v>3448.44</v>
      </c>
      <c r="AR691" s="43">
        <f t="shared" si="448"/>
        <v>172.422</v>
      </c>
      <c r="AS691" s="43">
        <f t="shared" si="449"/>
        <v>603.477</v>
      </c>
      <c r="AT691" s="48">
        <f t="shared" si="450"/>
        <v>2672.541</v>
      </c>
      <c r="AU691" s="49">
        <f t="shared" si="535"/>
        <v>2672.541</v>
      </c>
      <c r="AV691" s="48"/>
      <c r="AW691" s="34">
        <f t="shared" si="540"/>
        <v>11750.74</v>
      </c>
      <c r="AX691" s="50">
        <f t="shared" si="413"/>
        <v>756.741</v>
      </c>
      <c r="AY691" s="43"/>
      <c r="AZ691" s="43"/>
      <c r="BA691" s="48">
        <f t="shared" si="527"/>
        <v>2672.541</v>
      </c>
      <c r="BB691" s="27"/>
      <c r="BC691" s="27"/>
      <c r="BD691" s="51"/>
      <c r="BE691" s="52"/>
      <c r="BF691" s="27" t="s">
        <v>2314</v>
      </c>
      <c r="BG691" s="53">
        <v>0.0</v>
      </c>
      <c r="BH691" s="53" t="str">
        <f>'[1]2023'!Q624</f>
        <v>#REF!</v>
      </c>
      <c r="BI691" s="27"/>
      <c r="BJ691" s="27"/>
      <c r="BK691" s="27" t="s">
        <v>76</v>
      </c>
      <c r="BL691" s="27"/>
    </row>
    <row r="692" ht="14.25" customHeight="1">
      <c r="A692" s="26" t="s">
        <v>1634</v>
      </c>
      <c r="B692" s="26" t="s">
        <v>69</v>
      </c>
      <c r="C692" s="26" t="s">
        <v>57</v>
      </c>
      <c r="D692" s="26" t="s">
        <v>71</v>
      </c>
      <c r="E692" s="27" t="s">
        <v>2316</v>
      </c>
      <c r="F692" s="26" t="s">
        <v>2310</v>
      </c>
      <c r="G692" s="29">
        <v>45112.0</v>
      </c>
      <c r="H692" s="30">
        <v>45112.0</v>
      </c>
      <c r="I692" s="30">
        <v>45477.0</v>
      </c>
      <c r="J692" s="31">
        <v>0.0</v>
      </c>
      <c r="K692" s="26" t="s">
        <v>427</v>
      </c>
      <c r="L692" s="69">
        <v>45112.0</v>
      </c>
      <c r="M692" s="153">
        <v>2117.0</v>
      </c>
      <c r="N692" s="154">
        <v>23585.0</v>
      </c>
      <c r="O692" s="27" t="s">
        <v>76</v>
      </c>
      <c r="P692" s="35" t="s">
        <v>77</v>
      </c>
      <c r="Q692" s="35">
        <v>0.0</v>
      </c>
      <c r="R692" s="36">
        <v>45112.0</v>
      </c>
      <c r="S692" s="35" t="s">
        <v>78</v>
      </c>
      <c r="T692" s="54" t="s">
        <v>79</v>
      </c>
      <c r="U692" s="37" t="s">
        <v>1634</v>
      </c>
      <c r="V692" s="38"/>
      <c r="W692" s="38"/>
      <c r="X692" s="27"/>
      <c r="Y692" s="39"/>
      <c r="Z692" s="39"/>
      <c r="AA692" s="39"/>
      <c r="AB692" s="40"/>
      <c r="AC692" s="27">
        <f t="shared" si="539"/>
        <v>0</v>
      </c>
      <c r="AD692" s="41"/>
      <c r="AE692" s="42"/>
      <c r="AF692" s="27"/>
      <c r="AG692" s="43">
        <f>IF(O692="Paid",IF(A692="Egyptian",(M692*16.5%)-((M692*16.5%)*5%)))</f>
        <v>331.83975</v>
      </c>
      <c r="AH692" s="29" t="s">
        <v>1107</v>
      </c>
      <c r="AI692" s="29"/>
      <c r="AJ692" s="145">
        <v>0.165</v>
      </c>
      <c r="AK692" s="29">
        <v>45085.0</v>
      </c>
      <c r="AL692" s="27"/>
      <c r="AM692" s="44"/>
      <c r="AN692" s="104"/>
      <c r="AO692" s="46">
        <f>((M692*AJ692)-((M692*AJ692)*22.5%))*80%</f>
        <v>216.5691</v>
      </c>
      <c r="AP692" s="57" t="s">
        <v>1980</v>
      </c>
      <c r="AQ692" s="43">
        <f>M692*AJ692</f>
        <v>349.305</v>
      </c>
      <c r="AR692" s="43">
        <f t="shared" si="448"/>
        <v>17.46525</v>
      </c>
      <c r="AS692" s="43">
        <f t="shared" si="449"/>
        <v>61.128375</v>
      </c>
      <c r="AT692" s="48">
        <f t="shared" si="450"/>
        <v>270.711375</v>
      </c>
      <c r="AU692" s="49">
        <f t="shared" si="535"/>
        <v>270.711375</v>
      </c>
      <c r="AV692" s="48"/>
      <c r="AW692" s="34">
        <f t="shared" si="540"/>
        <v>23585</v>
      </c>
      <c r="AX692" s="50">
        <f t="shared" si="413"/>
        <v>54.142275</v>
      </c>
      <c r="AY692" s="43"/>
      <c r="AZ692" s="47"/>
      <c r="BA692" s="48" t="str">
        <f>IF(S692&lt;&gt;0,AU692-#REF!-AM692,(AG692-AD692-AE692-AS692))</f>
        <v>#REF!</v>
      </c>
      <c r="BB692" s="27"/>
      <c r="BC692" s="27"/>
      <c r="BD692" s="51"/>
      <c r="BE692" s="52"/>
      <c r="BF692" s="27" t="s">
        <v>2316</v>
      </c>
      <c r="BG692" s="58" t="s">
        <v>2317</v>
      </c>
      <c r="BH692" s="53" t="str">
        <f>'[1]2023'!Q958</f>
        <v>#REF!</v>
      </c>
      <c r="BI692" s="27"/>
      <c r="BJ692" s="27"/>
      <c r="BK692" s="27" t="s">
        <v>76</v>
      </c>
      <c r="BL692" s="64" t="s">
        <v>2318</v>
      </c>
    </row>
    <row r="693" ht="14.25" customHeight="1">
      <c r="A693" s="26" t="s">
        <v>55</v>
      </c>
      <c r="B693" s="26" t="s">
        <v>56</v>
      </c>
      <c r="C693" s="26" t="s">
        <v>57</v>
      </c>
      <c r="D693" s="26" t="s">
        <v>81</v>
      </c>
      <c r="E693" s="27" t="s">
        <v>2319</v>
      </c>
      <c r="F693" s="28" t="s">
        <v>2320</v>
      </c>
      <c r="G693" s="29">
        <v>45113.0</v>
      </c>
      <c r="H693" s="30">
        <v>45113.0</v>
      </c>
      <c r="I693" s="30">
        <v>45478.0</v>
      </c>
      <c r="J693" s="31">
        <v>0.0</v>
      </c>
      <c r="K693" s="26" t="s">
        <v>440</v>
      </c>
      <c r="L693" s="32" t="s">
        <v>63</v>
      </c>
      <c r="M693" s="33">
        <v>0.0</v>
      </c>
      <c r="N693" s="34">
        <v>0.0</v>
      </c>
      <c r="O693" s="27" t="s">
        <v>64</v>
      </c>
      <c r="P693" s="35">
        <v>0.0</v>
      </c>
      <c r="Q693" s="35" t="s">
        <v>90</v>
      </c>
      <c r="R693" s="36">
        <v>45113.0</v>
      </c>
      <c r="S693" s="35" t="s">
        <v>86</v>
      </c>
      <c r="T693" s="35">
        <v>0.0</v>
      </c>
      <c r="U693" s="37" t="s">
        <v>67</v>
      </c>
      <c r="V693" s="38"/>
      <c r="W693" s="38"/>
      <c r="X693" s="27"/>
      <c r="Y693" s="39"/>
      <c r="Z693" s="79" t="s">
        <v>407</v>
      </c>
      <c r="AA693" s="39"/>
      <c r="AB693" s="40"/>
      <c r="AC693" s="27">
        <f t="shared" si="539"/>
        <v>0</v>
      </c>
      <c r="AD693" s="41">
        <f>IF(AND(S693="0",O693="Paid"),(M693*15%)-AC693,0)</f>
        <v>0</v>
      </c>
      <c r="AE693" s="42"/>
      <c r="AF693" s="27"/>
      <c r="AG693" s="43">
        <f t="shared" ref="AG693:AG695" si="541">IF(O693="Paid",IF(A693="Alwataniya",(M693*21%)-((M693*21%)*5%),IF((A693="GIG"),(M693*25%)-((M693*25%)*5%),IF((A693="Allianz"),(M693*27%)-((M693*27%)*5%),0))),0)</f>
        <v>0</v>
      </c>
      <c r="AH693" s="29"/>
      <c r="AI693" s="29"/>
      <c r="AJ693" s="29"/>
      <c r="AK693" s="29"/>
      <c r="AL693" s="27"/>
      <c r="AM693" s="44"/>
      <c r="AN693" s="93"/>
      <c r="AO693" s="46"/>
      <c r="AP693" s="47"/>
      <c r="AQ693" s="43" t="b">
        <f>IF(O693="Paid",IF(U693="Motor Plus",(M693*27%),IF(U693="Motor One",(M693*22%),(IF(U693="Golden",(M693*25%),(IF(U693="Classic",(M693*15%),(IF(U693="Wethaq",(M693*28%),IF(U693="Alwataniya",(M693*21%))*0)))))))))</f>
        <v>0</v>
      </c>
      <c r="AR693" s="43">
        <f t="shared" si="448"/>
        <v>0</v>
      </c>
      <c r="AS693" s="43">
        <f t="shared" si="449"/>
        <v>0</v>
      </c>
      <c r="AT693" s="48">
        <f t="shared" si="450"/>
        <v>0</v>
      </c>
      <c r="AU693" s="49">
        <f t="shared" si="535"/>
        <v>0</v>
      </c>
      <c r="AV693" s="48"/>
      <c r="AW693" s="34">
        <f t="shared" si="540"/>
        <v>0</v>
      </c>
      <c r="AX693" s="50">
        <f t="shared" si="413"/>
        <v>0</v>
      </c>
      <c r="AY693" s="43"/>
      <c r="AZ693" s="43"/>
      <c r="BA693" s="48">
        <f t="shared" ref="BA693:BA695" si="542">IF(S693&lt;&gt;0,AU693-AO693-AM693,(AG693-AD693-AE693-AS693))</f>
        <v>0</v>
      </c>
      <c r="BB693" s="27"/>
      <c r="BC693" s="27"/>
      <c r="BD693" s="51"/>
      <c r="BE693" s="52"/>
      <c r="BF693" s="27" t="s">
        <v>2319</v>
      </c>
      <c r="BG693" s="53">
        <v>0.0</v>
      </c>
      <c r="BH693" s="53" t="str">
        <f>'[1]2023'!Q631</f>
        <v>#REF!</v>
      </c>
      <c r="BI693" s="27"/>
      <c r="BJ693" s="27"/>
      <c r="BK693" s="27" t="s">
        <v>64</v>
      </c>
      <c r="BL693" s="27"/>
    </row>
    <row r="694" ht="14.25" customHeight="1">
      <c r="A694" s="26" t="s">
        <v>55</v>
      </c>
      <c r="B694" s="26" t="s">
        <v>56</v>
      </c>
      <c r="C694" s="26" t="s">
        <v>57</v>
      </c>
      <c r="D694" s="26" t="s">
        <v>81</v>
      </c>
      <c r="E694" s="27" t="s">
        <v>2321</v>
      </c>
      <c r="F694" s="28" t="s">
        <v>2322</v>
      </c>
      <c r="G694" s="29">
        <v>45113.0</v>
      </c>
      <c r="H694" s="30">
        <v>45113.0</v>
      </c>
      <c r="I694" s="30">
        <v>45478.0</v>
      </c>
      <c r="J694" s="31">
        <v>0.0</v>
      </c>
      <c r="K694" s="26" t="s">
        <v>440</v>
      </c>
      <c r="L694" s="32" t="s">
        <v>75</v>
      </c>
      <c r="M694" s="33">
        <v>24780.0</v>
      </c>
      <c r="N694" s="34">
        <v>26383.02</v>
      </c>
      <c r="O694" s="27" t="s">
        <v>76</v>
      </c>
      <c r="P694" s="35" t="s">
        <v>122</v>
      </c>
      <c r="Q694" s="35" t="s">
        <v>108</v>
      </c>
      <c r="R694" s="36">
        <v>45113.0</v>
      </c>
      <c r="S694" s="35" t="s">
        <v>86</v>
      </c>
      <c r="T694" s="35">
        <v>0.0</v>
      </c>
      <c r="U694" s="37" t="s">
        <v>67</v>
      </c>
      <c r="V694" s="38"/>
      <c r="W694" s="38"/>
      <c r="X694" s="27"/>
      <c r="Y694" s="39"/>
      <c r="Z694" s="39"/>
      <c r="AA694" s="39"/>
      <c r="AB694" s="40"/>
      <c r="AC694" s="27">
        <f t="shared" si="539"/>
        <v>0</v>
      </c>
      <c r="AD694" s="41">
        <f>IF(AND(S694="0",O694="Paid"),M694*15%,0)</f>
        <v>3717</v>
      </c>
      <c r="AE694" s="42"/>
      <c r="AF694" s="27" t="s">
        <v>305</v>
      </c>
      <c r="AG694" s="43">
        <f t="shared" si="541"/>
        <v>6356.07</v>
      </c>
      <c r="AH694" s="29"/>
      <c r="AI694" s="29"/>
      <c r="AJ694" s="29"/>
      <c r="AK694" s="29"/>
      <c r="AL694" s="27"/>
      <c r="AM694" s="27"/>
      <c r="AN694" s="93"/>
      <c r="AO694" s="76"/>
      <c r="AP694" s="47"/>
      <c r="AQ694" s="43">
        <f t="shared" ref="AQ694:AQ696" si="543">IF(U694="Motor Plus",(M694*27%),IF(U694="Motor One",(M694*22%),(IF(U694="Golden",(M694*25%),(IF(U694="Classic",(M694*15%),(IF(U694="Wethaq",(M694*28%),IF(U694="Alwataniya",(M694*21%))*0))))))))</f>
        <v>6690.6</v>
      </c>
      <c r="AR694" s="43">
        <f t="shared" si="448"/>
        <v>334.53</v>
      </c>
      <c r="AS694" s="43">
        <f t="shared" si="449"/>
        <v>1170.855</v>
      </c>
      <c r="AT694" s="48">
        <f t="shared" si="450"/>
        <v>5185.215</v>
      </c>
      <c r="AU694" s="49">
        <f t="shared" si="535"/>
        <v>5185.215</v>
      </c>
      <c r="AV694" s="48"/>
      <c r="AW694" s="34">
        <f t="shared" si="540"/>
        <v>22666.02</v>
      </c>
      <c r="AX694" s="50">
        <f t="shared" si="413"/>
        <v>1468.215</v>
      </c>
      <c r="AY694" s="43"/>
      <c r="AZ694" s="43"/>
      <c r="BA694" s="48">
        <f t="shared" si="542"/>
        <v>5185.215</v>
      </c>
      <c r="BB694" s="27"/>
      <c r="BC694" s="27"/>
      <c r="BD694" s="51"/>
      <c r="BE694" s="52"/>
      <c r="BF694" s="27" t="s">
        <v>2321</v>
      </c>
      <c r="BG694" s="53">
        <v>0.0</v>
      </c>
      <c r="BH694" s="53" t="str">
        <f>'[1]2023'!Q654</f>
        <v>#REF!</v>
      </c>
      <c r="BI694" s="27"/>
      <c r="BJ694" s="27"/>
      <c r="BK694" s="27" t="s">
        <v>76</v>
      </c>
      <c r="BL694" s="27"/>
    </row>
    <row r="695" ht="14.25" customHeight="1">
      <c r="A695" s="26" t="s">
        <v>55</v>
      </c>
      <c r="B695" s="26" t="s">
        <v>56</v>
      </c>
      <c r="C695" s="26" t="s">
        <v>57</v>
      </c>
      <c r="D695" s="26" t="s">
        <v>81</v>
      </c>
      <c r="E695" s="27" t="s">
        <v>2323</v>
      </c>
      <c r="F695" s="28" t="s">
        <v>2324</v>
      </c>
      <c r="G695" s="29">
        <v>45113.0</v>
      </c>
      <c r="H695" s="30">
        <v>45113.0</v>
      </c>
      <c r="I695" s="30">
        <v>45478.0</v>
      </c>
      <c r="J695" s="31">
        <v>0.0</v>
      </c>
      <c r="K695" s="26" t="s">
        <v>440</v>
      </c>
      <c r="L695" s="89">
        <v>45089.0</v>
      </c>
      <c r="M695" s="33">
        <v>23010.0</v>
      </c>
      <c r="N695" s="34">
        <v>24508.59</v>
      </c>
      <c r="O695" s="27" t="s">
        <v>76</v>
      </c>
      <c r="P695" s="35" t="s">
        <v>122</v>
      </c>
      <c r="Q695" s="35" t="s">
        <v>90</v>
      </c>
      <c r="R695" s="36">
        <v>45113.0</v>
      </c>
      <c r="S695" s="35" t="s">
        <v>86</v>
      </c>
      <c r="T695" s="35">
        <v>0.0</v>
      </c>
      <c r="U695" s="37" t="s">
        <v>67</v>
      </c>
      <c r="V695" s="38"/>
      <c r="W695" s="38"/>
      <c r="X695" s="27"/>
      <c r="Y695" s="39"/>
      <c r="Z695" s="39">
        <v>5008.0</v>
      </c>
      <c r="AA695" s="39"/>
      <c r="AB695" s="40"/>
      <c r="AC695" s="27">
        <f t="shared" si="539"/>
        <v>0</v>
      </c>
      <c r="AD695" s="41">
        <f>IF(AND(S695="0",O695="Paid"),(M695*15%)-AC695,0)</f>
        <v>3451.5</v>
      </c>
      <c r="AE695" s="42"/>
      <c r="AF695" s="27"/>
      <c r="AG695" s="43">
        <f t="shared" si="541"/>
        <v>5902.065</v>
      </c>
      <c r="AH695" s="29"/>
      <c r="AI695" s="29"/>
      <c r="AJ695" s="29"/>
      <c r="AK695" s="29"/>
      <c r="AL695" s="27"/>
      <c r="AM695" s="44"/>
      <c r="AN695" s="115"/>
      <c r="AO695" s="46"/>
      <c r="AP695" s="47"/>
      <c r="AQ695" s="43">
        <f t="shared" si="543"/>
        <v>6212.7</v>
      </c>
      <c r="AR695" s="43">
        <f t="shared" si="448"/>
        <v>310.635</v>
      </c>
      <c r="AS695" s="43">
        <f t="shared" si="449"/>
        <v>1087.2225</v>
      </c>
      <c r="AT695" s="48">
        <f t="shared" si="450"/>
        <v>4814.8425</v>
      </c>
      <c r="AU695" s="49">
        <f t="shared" si="535"/>
        <v>4814.8425</v>
      </c>
      <c r="AV695" s="48"/>
      <c r="AW695" s="34">
        <f t="shared" si="540"/>
        <v>21057.09</v>
      </c>
      <c r="AX695" s="50">
        <f t="shared" si="413"/>
        <v>1363.3425</v>
      </c>
      <c r="AY695" s="43"/>
      <c r="AZ695" s="43"/>
      <c r="BA695" s="48">
        <f t="shared" si="542"/>
        <v>4814.8425</v>
      </c>
      <c r="BB695" s="27"/>
      <c r="BC695" s="27"/>
      <c r="BD695" s="51"/>
      <c r="BE695" s="52"/>
      <c r="BF695" s="27" t="s">
        <v>2323</v>
      </c>
      <c r="BG695" s="53">
        <v>0.0</v>
      </c>
      <c r="BH695" s="53" t="str">
        <f>'[1]2023'!Q664</f>
        <v>#REF!</v>
      </c>
      <c r="BI695" s="27"/>
      <c r="BJ695" s="27"/>
      <c r="BK695" s="27" t="s">
        <v>76</v>
      </c>
      <c r="BL695" s="27"/>
    </row>
    <row r="696" ht="14.25" customHeight="1">
      <c r="A696" s="26" t="s">
        <v>111</v>
      </c>
      <c r="B696" s="26" t="s">
        <v>56</v>
      </c>
      <c r="C696" s="26" t="s">
        <v>57</v>
      </c>
      <c r="D696" s="26" t="s">
        <v>71</v>
      </c>
      <c r="E696" s="27" t="s">
        <v>2325</v>
      </c>
      <c r="F696" s="28" t="s">
        <v>2326</v>
      </c>
      <c r="G696" s="29">
        <v>45113.0</v>
      </c>
      <c r="H696" s="30">
        <v>45113.0</v>
      </c>
      <c r="I696" s="30">
        <v>45478.0</v>
      </c>
      <c r="J696" s="31" t="s">
        <v>2327</v>
      </c>
      <c r="K696" s="26" t="s">
        <v>440</v>
      </c>
      <c r="L696" s="32" t="s">
        <v>75</v>
      </c>
      <c r="M696" s="33">
        <v>12156.94</v>
      </c>
      <c r="N696" s="34">
        <v>13130.0</v>
      </c>
      <c r="O696" s="27" t="s">
        <v>76</v>
      </c>
      <c r="P696" s="35" t="s">
        <v>162</v>
      </c>
      <c r="Q696" s="35">
        <v>0.0</v>
      </c>
      <c r="R696" s="36">
        <v>45122.0</v>
      </c>
      <c r="S696" s="35" t="s">
        <v>78</v>
      </c>
      <c r="T696" s="54" t="s">
        <v>510</v>
      </c>
      <c r="U696" s="37" t="s">
        <v>115</v>
      </c>
      <c r="V696" s="38">
        <v>505000.0</v>
      </c>
      <c r="W696" s="38"/>
      <c r="X696" s="27"/>
      <c r="Y696" s="39"/>
      <c r="Z696" s="79" t="s">
        <v>2328</v>
      </c>
      <c r="AA696" s="39"/>
      <c r="AB696" s="40"/>
      <c r="AC696" s="27">
        <f t="shared" si="539"/>
        <v>0</v>
      </c>
      <c r="AD696" s="41"/>
      <c r="AE696" s="42"/>
      <c r="AF696" s="27"/>
      <c r="AG696" s="43">
        <f t="shared" ref="AG696:AG697" si="544">IF(O696="Paid",IF(A696="Alwataniya",(M696*21%)-((M696*21%)*5%),IF((A696="GIG"),(M696*25%)-((M696*25%)*5%),IF((A696="Allianz"),(M696*27%)-((M696*27%)*20%),0))),0)</f>
        <v>2887.27325</v>
      </c>
      <c r="AH696" s="29" t="s">
        <v>905</v>
      </c>
      <c r="AI696" s="29" t="s">
        <v>905</v>
      </c>
      <c r="AJ696" s="40">
        <v>0.25</v>
      </c>
      <c r="AK696" s="62" t="s">
        <v>63</v>
      </c>
      <c r="AL696" s="27"/>
      <c r="AM696" s="44"/>
      <c r="AN696" s="56"/>
      <c r="AO696" s="95">
        <f>M696*AJ696-((M696*AJ696)*22.5%)</f>
        <v>2355.407125</v>
      </c>
      <c r="AP696" s="47" t="s">
        <v>905</v>
      </c>
      <c r="AQ696" s="43">
        <f t="shared" si="543"/>
        <v>3039.235</v>
      </c>
      <c r="AR696" s="43">
        <f t="shared" si="448"/>
        <v>151.96175</v>
      </c>
      <c r="AS696" s="43">
        <f t="shared" si="449"/>
        <v>531.866125</v>
      </c>
      <c r="AT696" s="48">
        <f t="shared" si="450"/>
        <v>2355.407125</v>
      </c>
      <c r="AU696" s="49">
        <f t="shared" si="535"/>
        <v>2355.407125</v>
      </c>
      <c r="AV696" s="48"/>
      <c r="AW696" s="34">
        <f t="shared" si="540"/>
        <v>13130</v>
      </c>
      <c r="AX696" s="50">
        <f t="shared" si="413"/>
        <v>0</v>
      </c>
      <c r="AY696" s="43"/>
      <c r="AZ696" s="43"/>
      <c r="BA696" s="48" t="str">
        <f>IF(S696&lt;&gt;0,AU696-#REF!-AM696,(AG696-AD696-AE696-AS696))</f>
        <v>#REF!</v>
      </c>
      <c r="BB696" s="27"/>
      <c r="BC696" s="27"/>
      <c r="BD696" s="51"/>
      <c r="BE696" s="52"/>
      <c r="BF696" s="27" t="s">
        <v>2325</v>
      </c>
      <c r="BG696" s="58" t="s">
        <v>2329</v>
      </c>
      <c r="BH696" s="53" t="str">
        <f>'[1]2023'!Q793</f>
        <v>#REF!</v>
      </c>
      <c r="BI696" s="27"/>
      <c r="BJ696" s="27"/>
      <c r="BK696" s="27" t="s">
        <v>76</v>
      </c>
      <c r="BL696" s="64" t="s">
        <v>906</v>
      </c>
    </row>
    <row r="697" ht="14.25" customHeight="1">
      <c r="A697" s="26" t="s">
        <v>68</v>
      </c>
      <c r="B697" s="26" t="s">
        <v>56</v>
      </c>
      <c r="C697" s="26" t="s">
        <v>57</v>
      </c>
      <c r="D697" s="26" t="s">
        <v>71</v>
      </c>
      <c r="E697" s="27" t="s">
        <v>2330</v>
      </c>
      <c r="F697" s="28" t="s">
        <v>2331</v>
      </c>
      <c r="G697" s="29">
        <v>45113.0</v>
      </c>
      <c r="H697" s="30">
        <v>45113.0</v>
      </c>
      <c r="I697" s="30">
        <v>45478.0</v>
      </c>
      <c r="J697" s="31">
        <v>0.0</v>
      </c>
      <c r="K697" s="26" t="s">
        <v>440</v>
      </c>
      <c r="L697" s="32" t="s">
        <v>63</v>
      </c>
      <c r="M697" s="33">
        <v>37604.93</v>
      </c>
      <c r="N697" s="34">
        <v>40000.0</v>
      </c>
      <c r="O697" s="27" t="s">
        <v>64</v>
      </c>
      <c r="P697" s="35">
        <v>0.0</v>
      </c>
      <c r="Q697" s="35">
        <v>0.0</v>
      </c>
      <c r="R697" s="36">
        <v>45132.0</v>
      </c>
      <c r="S697" s="35" t="s">
        <v>66</v>
      </c>
      <c r="T697" s="35">
        <v>0.0</v>
      </c>
      <c r="U697" s="37" t="s">
        <v>68</v>
      </c>
      <c r="V697" s="38">
        <v>2000000.0</v>
      </c>
      <c r="W697" s="38"/>
      <c r="X697" s="27"/>
      <c r="Y697" s="39"/>
      <c r="Z697" s="79" t="s">
        <v>783</v>
      </c>
      <c r="AA697" s="39"/>
      <c r="AB697" s="40"/>
      <c r="AC697" s="27">
        <f t="shared" si="539"/>
        <v>0</v>
      </c>
      <c r="AD697" s="41">
        <f>IF(AND(S697="0",O697="Paid"),(M697*15%)-AC697,0)</f>
        <v>0</v>
      </c>
      <c r="AE697" s="42"/>
      <c r="AF697" s="27"/>
      <c r="AG697" s="43">
        <f t="shared" si="544"/>
        <v>0</v>
      </c>
      <c r="AH697" s="29"/>
      <c r="AI697" s="29"/>
      <c r="AJ697" s="29"/>
      <c r="AK697" s="29"/>
      <c r="AL697" s="27"/>
      <c r="AM697" s="44"/>
      <c r="AN697" s="63"/>
      <c r="AO697" s="46"/>
      <c r="AP697" s="47"/>
      <c r="AQ697" s="43" t="b">
        <f>IF(O697="Paid",IF(U697="Motor Plus",(M697*27%),IF(U697="Motor One",(M697*22%),(IF(U697="Golden",(M697*25%),(IF(U697="Classic",(M697*15%),(IF(U697="Wethaq",(M697*28%),IF(U697="Alwataniya",(M697*21%))*0)))))))))</f>
        <v>0</v>
      </c>
      <c r="AR697" s="43">
        <f t="shared" si="448"/>
        <v>0</v>
      </c>
      <c r="AS697" s="43">
        <f t="shared" si="449"/>
        <v>0</v>
      </c>
      <c r="AT697" s="48">
        <f t="shared" si="450"/>
        <v>0</v>
      </c>
      <c r="AU697" s="49">
        <f t="shared" si="535"/>
        <v>0</v>
      </c>
      <c r="AV697" s="48"/>
      <c r="AW697" s="34">
        <f t="shared" si="540"/>
        <v>40000</v>
      </c>
      <c r="AX697" s="50">
        <f t="shared" si="413"/>
        <v>0</v>
      </c>
      <c r="AY697" s="43"/>
      <c r="AZ697" s="43"/>
      <c r="BA697" s="48">
        <f t="shared" ref="BA697:BA698" si="545">IF(S697&lt;&gt;0,AU697-AO697-AM697,(AG697-AD697-AE697-AS697))</f>
        <v>0</v>
      </c>
      <c r="BB697" s="27"/>
      <c r="BC697" s="27"/>
      <c r="BD697" s="51"/>
      <c r="BE697" s="52"/>
      <c r="BF697" s="27" t="s">
        <v>2330</v>
      </c>
      <c r="BG697" s="58" t="s">
        <v>2332</v>
      </c>
      <c r="BH697" s="53" t="str">
        <f>'[1]2023'!Q798</f>
        <v>#REF!</v>
      </c>
      <c r="BI697" s="27"/>
      <c r="BJ697" s="27"/>
      <c r="BK697" s="27" t="s">
        <v>64</v>
      </c>
      <c r="BL697" s="27"/>
    </row>
    <row r="698" ht="14.25" customHeight="1">
      <c r="A698" s="26" t="s">
        <v>55</v>
      </c>
      <c r="B698" s="26" t="s">
        <v>56</v>
      </c>
      <c r="C698" s="26" t="s">
        <v>57</v>
      </c>
      <c r="D698" s="26" t="s">
        <v>58</v>
      </c>
      <c r="E698" s="27" t="s">
        <v>2333</v>
      </c>
      <c r="F698" s="28" t="s">
        <v>2334</v>
      </c>
      <c r="G698" s="29">
        <v>45113.0</v>
      </c>
      <c r="H698" s="30">
        <v>45113.0</v>
      </c>
      <c r="I698" s="30">
        <v>45478.0</v>
      </c>
      <c r="J698" s="31">
        <v>0.0</v>
      </c>
      <c r="K698" s="26" t="s">
        <v>440</v>
      </c>
      <c r="L698" s="32" t="s">
        <v>75</v>
      </c>
      <c r="M698" s="33">
        <v>4285.11</v>
      </c>
      <c r="N698" s="34">
        <v>4537.94</v>
      </c>
      <c r="O698" s="27" t="s">
        <v>76</v>
      </c>
      <c r="P698" s="35" t="s">
        <v>430</v>
      </c>
      <c r="Q698" s="35" t="s">
        <v>108</v>
      </c>
      <c r="R698" s="36">
        <v>45113.0</v>
      </c>
      <c r="S698" s="35" t="s">
        <v>86</v>
      </c>
      <c r="T698" s="35">
        <v>0.0</v>
      </c>
      <c r="U698" s="37" t="s">
        <v>67</v>
      </c>
      <c r="V698" s="38"/>
      <c r="W698" s="38"/>
      <c r="X698" s="27"/>
      <c r="Y698" s="39"/>
      <c r="Z698" s="39"/>
      <c r="AA698" s="39"/>
      <c r="AB698" s="40"/>
      <c r="AC698" s="27">
        <f t="shared" si="539"/>
        <v>0</v>
      </c>
      <c r="AD698" s="41">
        <f>IF(AND(S698="0",O698="Paid"),M698*15%,0)</f>
        <v>642.7665</v>
      </c>
      <c r="AE698" s="42"/>
      <c r="AF698" s="77"/>
      <c r="AG698" s="43">
        <f>IF(O698="Paid",IF(A698="Alwataniya",(M698*21%)-((M698*21%)*5%),IF((A698="GIG"),(M698*25%)-((M698*25%)*5%),IF((A698="Allianz"),(M698*27%)-((M698*27%)*5%),0))),0)</f>
        <v>1099.130715</v>
      </c>
      <c r="AH698" s="29"/>
      <c r="AI698" s="29"/>
      <c r="AJ698" s="29"/>
      <c r="AK698" s="29"/>
      <c r="AL698" s="27"/>
      <c r="AM698" s="44"/>
      <c r="AN698" s="63"/>
      <c r="AO698" s="46"/>
      <c r="AP698" s="47"/>
      <c r="AQ698" s="43">
        <f>IF(U698="Motor Plus",(M698*27%),IF(U698="Motor One",(M698*22%),(IF(U698="Golden",(M698*25%),(IF(U698="Classic",(M698*15%),(IF(U698="Wethaq",(M698*28%),IF(U698="Alwataniya",(M698*21%))*0))))))))</f>
        <v>1156.9797</v>
      </c>
      <c r="AR698" s="43">
        <f t="shared" si="448"/>
        <v>57.848985</v>
      </c>
      <c r="AS698" s="43">
        <f t="shared" si="449"/>
        <v>202.4714475</v>
      </c>
      <c r="AT698" s="48">
        <f t="shared" si="450"/>
        <v>896.6592675</v>
      </c>
      <c r="AU698" s="49">
        <f t="shared" si="535"/>
        <v>896.6592675</v>
      </c>
      <c r="AV698" s="48"/>
      <c r="AW698" s="34">
        <f t="shared" si="540"/>
        <v>3895.1735</v>
      </c>
      <c r="AX698" s="50">
        <f t="shared" si="413"/>
        <v>253.8927675</v>
      </c>
      <c r="AY698" s="43"/>
      <c r="AZ698" s="43"/>
      <c r="BA698" s="48">
        <f t="shared" si="545"/>
        <v>896.6592675</v>
      </c>
      <c r="BB698" s="27"/>
      <c r="BC698" s="27"/>
      <c r="BD698" s="51"/>
      <c r="BE698" s="52"/>
      <c r="BF698" s="27" t="s">
        <v>2333</v>
      </c>
      <c r="BG698" s="53">
        <v>0.0</v>
      </c>
      <c r="BH698" s="53" t="str">
        <f>'[1]2023'!Q831</f>
        <v>#REF!</v>
      </c>
      <c r="BI698" s="27"/>
      <c r="BJ698" s="27"/>
      <c r="BK698" s="27" t="s">
        <v>76</v>
      </c>
      <c r="BL698" s="27"/>
    </row>
    <row r="699" ht="14.25" customHeight="1">
      <c r="A699" s="26" t="s">
        <v>1634</v>
      </c>
      <c r="B699" s="26" t="s">
        <v>69</v>
      </c>
      <c r="C699" s="26" t="s">
        <v>70</v>
      </c>
      <c r="D699" s="26" t="s">
        <v>71</v>
      </c>
      <c r="E699" s="27" t="s">
        <v>2335</v>
      </c>
      <c r="F699" s="26" t="s">
        <v>2310</v>
      </c>
      <c r="G699" s="29">
        <v>45113.0</v>
      </c>
      <c r="H699" s="30">
        <v>45113.0</v>
      </c>
      <c r="I699" s="30">
        <v>45478.0</v>
      </c>
      <c r="J699" s="31">
        <v>0.0</v>
      </c>
      <c r="K699" s="26" t="s">
        <v>440</v>
      </c>
      <c r="L699" s="69">
        <v>45113.0</v>
      </c>
      <c r="M699" s="153">
        <v>2154.0</v>
      </c>
      <c r="N699" s="154">
        <v>24048.0</v>
      </c>
      <c r="O699" s="27" t="s">
        <v>76</v>
      </c>
      <c r="P699" s="35" t="s">
        <v>77</v>
      </c>
      <c r="Q699" s="35">
        <v>0.0</v>
      </c>
      <c r="R699" s="36">
        <v>45113.0</v>
      </c>
      <c r="S699" s="35" t="s">
        <v>78</v>
      </c>
      <c r="T699" s="54" t="s">
        <v>79</v>
      </c>
      <c r="U699" s="37" t="s">
        <v>69</v>
      </c>
      <c r="V699" s="38"/>
      <c r="W699" s="38"/>
      <c r="X699" s="27"/>
      <c r="Y699" s="39"/>
      <c r="Z699" s="39"/>
      <c r="AA699" s="39"/>
      <c r="AB699" s="40"/>
      <c r="AC699" s="27">
        <f t="shared" si="539"/>
        <v>0</v>
      </c>
      <c r="AD699" s="41"/>
      <c r="AE699" s="42"/>
      <c r="AF699" s="27"/>
      <c r="AG699" s="43">
        <f>IF(O699="Paid",IF(A699="Egyptian",(M699*19.5%)-((M699*19.5%)*5%)))</f>
        <v>399.0285</v>
      </c>
      <c r="AH699" s="29" t="s">
        <v>1107</v>
      </c>
      <c r="AI699" s="29"/>
      <c r="AJ699" s="40">
        <v>0.195</v>
      </c>
      <c r="AK699" s="29">
        <v>45085.0</v>
      </c>
      <c r="AL699" s="27"/>
      <c r="AM699" s="44"/>
      <c r="AN699" s="56"/>
      <c r="AO699" s="46">
        <f>((M699*AJ699)-((M699*AJ699)*22.5%))*80%</f>
        <v>260.4186</v>
      </c>
      <c r="AP699" s="57" t="s">
        <v>1980</v>
      </c>
      <c r="AQ699" s="43">
        <f>M699*AJ699</f>
        <v>420.03</v>
      </c>
      <c r="AR699" s="43">
        <f t="shared" si="448"/>
        <v>21.0015</v>
      </c>
      <c r="AS699" s="43">
        <f t="shared" si="449"/>
        <v>73.50525</v>
      </c>
      <c r="AT699" s="48">
        <f t="shared" si="450"/>
        <v>325.52325</v>
      </c>
      <c r="AU699" s="49">
        <f t="shared" si="535"/>
        <v>325.52325</v>
      </c>
      <c r="AV699" s="48"/>
      <c r="AW699" s="34">
        <f t="shared" si="540"/>
        <v>24048</v>
      </c>
      <c r="AX699" s="50">
        <f t="shared" si="413"/>
        <v>65.10465</v>
      </c>
      <c r="AY699" s="43"/>
      <c r="AZ699" s="43"/>
      <c r="BA699" s="48" t="str">
        <f>IF(S699&lt;&gt;0,AU699-#REF!-AM699,(AG699-AD699-AE699-AS699))</f>
        <v>#REF!</v>
      </c>
      <c r="BB699" s="27"/>
      <c r="BC699" s="27"/>
      <c r="BD699" s="51"/>
      <c r="BE699" s="52"/>
      <c r="BF699" s="27" t="s">
        <v>2335</v>
      </c>
      <c r="BG699" s="58" t="s">
        <v>2336</v>
      </c>
      <c r="BH699" s="53" t="str">
        <f>'[1]2023'!Q848</f>
        <v>#REF!</v>
      </c>
      <c r="BI699" s="27"/>
      <c r="BJ699" s="27"/>
      <c r="BK699" s="27" t="s">
        <v>76</v>
      </c>
      <c r="BL699" s="64" t="s">
        <v>2337</v>
      </c>
    </row>
    <row r="700" ht="14.25" customHeight="1">
      <c r="A700" s="26" t="s">
        <v>55</v>
      </c>
      <c r="B700" s="26" t="s">
        <v>56</v>
      </c>
      <c r="C700" s="26" t="s">
        <v>57</v>
      </c>
      <c r="D700" s="26" t="s">
        <v>81</v>
      </c>
      <c r="E700" s="27" t="s">
        <v>2338</v>
      </c>
      <c r="F700" s="28" t="s">
        <v>2339</v>
      </c>
      <c r="G700" s="29">
        <v>45114.0</v>
      </c>
      <c r="H700" s="30">
        <v>45114.0</v>
      </c>
      <c r="I700" s="30">
        <v>45479.0</v>
      </c>
      <c r="J700" s="31">
        <v>0.0</v>
      </c>
      <c r="K700" s="26" t="s">
        <v>887</v>
      </c>
      <c r="L700" s="32" t="s">
        <v>75</v>
      </c>
      <c r="M700" s="33">
        <v>28910.0</v>
      </c>
      <c r="N700" s="34">
        <v>30756.69</v>
      </c>
      <c r="O700" s="27" t="s">
        <v>76</v>
      </c>
      <c r="P700" s="35" t="s">
        <v>122</v>
      </c>
      <c r="Q700" s="35" t="s">
        <v>90</v>
      </c>
      <c r="R700" s="36">
        <v>45114.0</v>
      </c>
      <c r="S700" s="35" t="s">
        <v>86</v>
      </c>
      <c r="T700" s="35">
        <v>0.0</v>
      </c>
      <c r="U700" s="37" t="s">
        <v>67</v>
      </c>
      <c r="V700" s="38"/>
      <c r="W700" s="38"/>
      <c r="X700" s="27"/>
      <c r="Y700" s="39"/>
      <c r="Z700" s="79" t="s">
        <v>208</v>
      </c>
      <c r="AA700" s="39"/>
      <c r="AB700" s="40"/>
      <c r="AC700" s="27">
        <f t="shared" si="539"/>
        <v>0</v>
      </c>
      <c r="AD700" s="41">
        <f>IF(AND(S700="0",O700="Paid"),(M700*15%)-AC700,0)</f>
        <v>4336.5</v>
      </c>
      <c r="AE700" s="42"/>
      <c r="AF700" s="27"/>
      <c r="AG700" s="43">
        <f t="shared" ref="AG700:AG703" si="546">IF(O700="Paid",IF(A700="Alwataniya",(M700*21%)-((M700*21%)*5%),IF((A700="GIG"),(M700*25%)-((M700*25%)*5%),IF((A700="Allianz"),(M700*27%)-((M700*27%)*5%),0))),0)</f>
        <v>7415.415</v>
      </c>
      <c r="AH700" s="29"/>
      <c r="AI700" s="29"/>
      <c r="AJ700" s="29"/>
      <c r="AK700" s="29"/>
      <c r="AL700" s="27"/>
      <c r="AM700" s="44"/>
      <c r="AN700" s="47"/>
      <c r="AO700" s="46">
        <f t="shared" ref="AO700:AO701" si="547">IF(T700&lt;&gt;0,M700*15%,0)</f>
        <v>0</v>
      </c>
      <c r="AP700" s="47"/>
      <c r="AQ700" s="43">
        <f t="shared" ref="AQ700:AQ705" si="548">IF(U700="Motor Plus",(M700*27%),IF(U700="Motor One",(M700*22%),(IF(U700="Golden",(M700*25%),(IF(U700="Classic",(M700*15%),(IF(U700="Wethaq",(M700*28%),IF(U700="Alwataniya",(M700*21%))*0))))))))</f>
        <v>7805.7</v>
      </c>
      <c r="AR700" s="43">
        <f t="shared" si="448"/>
        <v>390.285</v>
      </c>
      <c r="AS700" s="43">
        <f t="shared" si="449"/>
        <v>1365.9975</v>
      </c>
      <c r="AT700" s="48">
        <f t="shared" si="450"/>
        <v>6049.4175</v>
      </c>
      <c r="AU700" s="49">
        <f t="shared" si="535"/>
        <v>6049.4175</v>
      </c>
      <c r="AV700" s="48"/>
      <c r="AW700" s="34">
        <f t="shared" si="540"/>
        <v>26420.19</v>
      </c>
      <c r="AX700" s="50">
        <f t="shared" si="413"/>
        <v>1712.9175</v>
      </c>
      <c r="AY700" s="43">
        <f t="shared" ref="AY700:AY701" si="549">IF(T700&lt;&gt;0,(AU700-AO700),0)*30%</f>
        <v>0</v>
      </c>
      <c r="AZ700" s="43"/>
      <c r="BA700" s="48">
        <f t="shared" ref="BA700:BA709" si="550">IF(S700&lt;&gt;0,AU700-AO700-AM700,(AG700-AD700-AE700-AS700))</f>
        <v>6049.4175</v>
      </c>
      <c r="BB700" s="27"/>
      <c r="BC700" s="27"/>
      <c r="BD700" s="51"/>
      <c r="BE700" s="52"/>
      <c r="BF700" s="27" t="s">
        <v>2338</v>
      </c>
      <c r="BG700" s="58" t="s">
        <v>2340</v>
      </c>
      <c r="BH700" s="53" t="str">
        <f>'[1]2023'!Q896</f>
        <v>#REF!</v>
      </c>
      <c r="BI700" s="27"/>
      <c r="BJ700" s="27"/>
      <c r="BK700" s="27" t="s">
        <v>76</v>
      </c>
      <c r="BL700" s="27"/>
    </row>
    <row r="701" ht="14.25" customHeight="1">
      <c r="A701" s="26" t="s">
        <v>55</v>
      </c>
      <c r="B701" s="26" t="s">
        <v>56</v>
      </c>
      <c r="C701" s="26" t="s">
        <v>57</v>
      </c>
      <c r="D701" s="26" t="s">
        <v>81</v>
      </c>
      <c r="E701" s="27" t="s">
        <v>2341</v>
      </c>
      <c r="F701" s="28" t="s">
        <v>2342</v>
      </c>
      <c r="G701" s="29">
        <v>45114.0</v>
      </c>
      <c r="H701" s="30">
        <v>45114.0</v>
      </c>
      <c r="I701" s="30">
        <v>45479.0</v>
      </c>
      <c r="J701" s="31">
        <v>0.0</v>
      </c>
      <c r="K701" s="26" t="s">
        <v>887</v>
      </c>
      <c r="L701" s="32" t="s">
        <v>75</v>
      </c>
      <c r="M701" s="33">
        <v>20475.0</v>
      </c>
      <c r="N701" s="34">
        <v>21824.03</v>
      </c>
      <c r="O701" s="27" t="s">
        <v>76</v>
      </c>
      <c r="P701" s="35" t="s">
        <v>89</v>
      </c>
      <c r="Q701" s="35" t="s">
        <v>65</v>
      </c>
      <c r="R701" s="36">
        <v>45114.0</v>
      </c>
      <c r="S701" s="35" t="s">
        <v>86</v>
      </c>
      <c r="T701" s="35">
        <v>0.0</v>
      </c>
      <c r="U701" s="37" t="s">
        <v>67</v>
      </c>
      <c r="V701" s="38"/>
      <c r="W701" s="38"/>
      <c r="X701" s="27"/>
      <c r="Y701" s="39"/>
      <c r="Z701" s="39"/>
      <c r="AA701" s="39"/>
      <c r="AB701" s="40"/>
      <c r="AC701" s="27">
        <f t="shared" si="539"/>
        <v>0</v>
      </c>
      <c r="AD701" s="41"/>
      <c r="AE701" s="42"/>
      <c r="AF701" s="27"/>
      <c r="AG701" s="43">
        <f t="shared" si="546"/>
        <v>5251.8375</v>
      </c>
      <c r="AH701" s="29"/>
      <c r="AI701" s="29"/>
      <c r="AJ701" s="29"/>
      <c r="AK701" s="29"/>
      <c r="AL701" s="27"/>
      <c r="AM701" s="44"/>
      <c r="AN701" s="47"/>
      <c r="AO701" s="46">
        <f t="shared" si="547"/>
        <v>0</v>
      </c>
      <c r="AP701" s="47"/>
      <c r="AQ701" s="43">
        <f t="shared" si="548"/>
        <v>5528.25</v>
      </c>
      <c r="AR701" s="43">
        <f t="shared" si="448"/>
        <v>276.4125</v>
      </c>
      <c r="AS701" s="43">
        <f t="shared" si="449"/>
        <v>967.44375</v>
      </c>
      <c r="AT701" s="48">
        <f t="shared" si="450"/>
        <v>4284.39375</v>
      </c>
      <c r="AU701" s="49">
        <f t="shared" si="535"/>
        <v>4284.39375</v>
      </c>
      <c r="AV701" s="48"/>
      <c r="AW701" s="34">
        <f t="shared" si="540"/>
        <v>21824.03</v>
      </c>
      <c r="AX701" s="50">
        <f t="shared" si="413"/>
        <v>4284.39375</v>
      </c>
      <c r="AY701" s="43">
        <f t="shared" si="549"/>
        <v>0</v>
      </c>
      <c r="AZ701" s="43"/>
      <c r="BA701" s="48">
        <f t="shared" si="550"/>
        <v>4284.39375</v>
      </c>
      <c r="BB701" s="27"/>
      <c r="BC701" s="27"/>
      <c r="BD701" s="51"/>
      <c r="BE701" s="52"/>
      <c r="BF701" s="27" t="s">
        <v>2341</v>
      </c>
      <c r="BG701" s="53">
        <v>0.0</v>
      </c>
      <c r="BH701" s="53" t="str">
        <f>'[1]2023'!Q898</f>
        <v>#REF!</v>
      </c>
      <c r="BI701" s="27"/>
      <c r="BJ701" s="27"/>
      <c r="BK701" s="27" t="s">
        <v>76</v>
      </c>
      <c r="BL701" s="27"/>
    </row>
    <row r="702" ht="14.25" customHeight="1">
      <c r="A702" s="26" t="s">
        <v>55</v>
      </c>
      <c r="B702" s="26" t="s">
        <v>56</v>
      </c>
      <c r="C702" s="26" t="s">
        <v>57</v>
      </c>
      <c r="D702" s="26" t="s">
        <v>81</v>
      </c>
      <c r="E702" s="27" t="s">
        <v>2343</v>
      </c>
      <c r="F702" s="28" t="s">
        <v>2344</v>
      </c>
      <c r="G702" s="29">
        <v>45114.0</v>
      </c>
      <c r="H702" s="30">
        <v>45114.0</v>
      </c>
      <c r="I702" s="30">
        <v>45479.0</v>
      </c>
      <c r="J702" s="31">
        <v>0.0</v>
      </c>
      <c r="K702" s="26" t="s">
        <v>887</v>
      </c>
      <c r="L702" s="32" t="s">
        <v>75</v>
      </c>
      <c r="M702" s="33">
        <v>9956.25</v>
      </c>
      <c r="N702" s="34">
        <v>10684.67</v>
      </c>
      <c r="O702" s="27" t="s">
        <v>76</v>
      </c>
      <c r="P702" s="35" t="s">
        <v>122</v>
      </c>
      <c r="Q702" s="35" t="s">
        <v>65</v>
      </c>
      <c r="R702" s="36">
        <v>45114.0</v>
      </c>
      <c r="S702" s="35" t="s">
        <v>86</v>
      </c>
      <c r="T702" s="35">
        <v>0.0</v>
      </c>
      <c r="U702" s="37" t="s">
        <v>67</v>
      </c>
      <c r="V702" s="38"/>
      <c r="W702" s="38"/>
      <c r="X702" s="27"/>
      <c r="Y702" s="39"/>
      <c r="Z702" s="39"/>
      <c r="AA702" s="39"/>
      <c r="AB702" s="40"/>
      <c r="AC702" s="27">
        <f t="shared" si="539"/>
        <v>0</v>
      </c>
      <c r="AD702" s="41"/>
      <c r="AE702" s="42"/>
      <c r="AF702" s="27"/>
      <c r="AG702" s="43">
        <f t="shared" si="546"/>
        <v>2553.778125</v>
      </c>
      <c r="AH702" s="29"/>
      <c r="AI702" s="29"/>
      <c r="AJ702" s="29"/>
      <c r="AK702" s="29"/>
      <c r="AL702" s="27"/>
      <c r="AM702" s="44"/>
      <c r="AN702" s="47"/>
      <c r="AO702" s="46"/>
      <c r="AP702" s="47"/>
      <c r="AQ702" s="43">
        <f t="shared" si="548"/>
        <v>2688.1875</v>
      </c>
      <c r="AR702" s="43">
        <f t="shared" si="448"/>
        <v>134.409375</v>
      </c>
      <c r="AS702" s="43">
        <f t="shared" si="449"/>
        <v>470.4328125</v>
      </c>
      <c r="AT702" s="48">
        <f t="shared" si="450"/>
        <v>2083.345313</v>
      </c>
      <c r="AU702" s="49">
        <f t="shared" si="535"/>
        <v>2083.345313</v>
      </c>
      <c r="AV702" s="48"/>
      <c r="AW702" s="34">
        <f t="shared" si="540"/>
        <v>10684.67</v>
      </c>
      <c r="AX702" s="50">
        <f t="shared" si="413"/>
        <v>2083.345313</v>
      </c>
      <c r="AY702" s="43"/>
      <c r="AZ702" s="47"/>
      <c r="BA702" s="48">
        <f t="shared" si="550"/>
        <v>2083.345313</v>
      </c>
      <c r="BB702" s="27"/>
      <c r="BC702" s="27"/>
      <c r="BD702" s="51"/>
      <c r="BE702" s="52"/>
      <c r="BF702" s="27" t="s">
        <v>2343</v>
      </c>
      <c r="BG702" s="53">
        <v>0.0</v>
      </c>
      <c r="BH702" s="53" t="str">
        <f>'[1]2023'!Q1019</f>
        <v>#REF!</v>
      </c>
      <c r="BI702" s="27"/>
      <c r="BJ702" s="27"/>
      <c r="BK702" s="27" t="s">
        <v>76</v>
      </c>
      <c r="BL702" s="27"/>
    </row>
    <row r="703" ht="14.25" customHeight="1">
      <c r="A703" s="26" t="s">
        <v>55</v>
      </c>
      <c r="B703" s="26" t="s">
        <v>56</v>
      </c>
      <c r="C703" s="26" t="s">
        <v>57</v>
      </c>
      <c r="D703" s="26" t="s">
        <v>81</v>
      </c>
      <c r="E703" s="27" t="s">
        <v>2345</v>
      </c>
      <c r="F703" s="28" t="s">
        <v>2346</v>
      </c>
      <c r="G703" s="29">
        <v>45115.0</v>
      </c>
      <c r="H703" s="30">
        <v>45115.0</v>
      </c>
      <c r="I703" s="30">
        <v>45480.0</v>
      </c>
      <c r="J703" s="31">
        <v>0.0</v>
      </c>
      <c r="K703" s="26" t="s">
        <v>455</v>
      </c>
      <c r="L703" s="69">
        <v>44995.0</v>
      </c>
      <c r="M703" s="33">
        <v>17552.5</v>
      </c>
      <c r="N703" s="34">
        <v>18729.11</v>
      </c>
      <c r="O703" s="27" t="s">
        <v>76</v>
      </c>
      <c r="P703" s="35" t="s">
        <v>142</v>
      </c>
      <c r="Q703" s="35" t="s">
        <v>90</v>
      </c>
      <c r="R703" s="36">
        <v>45115.0</v>
      </c>
      <c r="S703" s="35" t="s">
        <v>86</v>
      </c>
      <c r="T703" s="35">
        <v>0.0</v>
      </c>
      <c r="U703" s="37" t="s">
        <v>67</v>
      </c>
      <c r="V703" s="38"/>
      <c r="W703" s="38"/>
      <c r="X703" s="27"/>
      <c r="Y703" s="39"/>
      <c r="Z703" s="79" t="s">
        <v>232</v>
      </c>
      <c r="AA703" s="39"/>
      <c r="AB703" s="40"/>
      <c r="AC703" s="27">
        <f t="shared" si="539"/>
        <v>0</v>
      </c>
      <c r="AD703" s="41">
        <f t="shared" ref="AD703:AD709" si="551">IF(AND(S703="0",O703="Paid"),(M703*15%)-AC703,0)</f>
        <v>2632.875</v>
      </c>
      <c r="AE703" s="42"/>
      <c r="AF703" s="29">
        <v>44967.0</v>
      </c>
      <c r="AG703" s="43">
        <f t="shared" si="546"/>
        <v>4502.21625</v>
      </c>
      <c r="AH703" s="29"/>
      <c r="AI703" s="29"/>
      <c r="AJ703" s="29"/>
      <c r="AK703" s="29"/>
      <c r="AL703" s="27"/>
      <c r="AM703" s="44"/>
      <c r="AN703" s="68"/>
      <c r="AO703" s="46"/>
      <c r="AP703" s="47"/>
      <c r="AQ703" s="43">
        <f t="shared" si="548"/>
        <v>4739.175</v>
      </c>
      <c r="AR703" s="43">
        <f t="shared" si="448"/>
        <v>236.95875</v>
      </c>
      <c r="AS703" s="43">
        <f t="shared" si="449"/>
        <v>829.355625</v>
      </c>
      <c r="AT703" s="48">
        <f t="shared" si="450"/>
        <v>3672.860625</v>
      </c>
      <c r="AU703" s="49">
        <f t="shared" ref="AU703:AU709" si="552">AQ703-AR703-AS703-AC703-AO703</f>
        <v>3672.860625</v>
      </c>
      <c r="AV703" s="48"/>
      <c r="AW703" s="34">
        <f t="shared" si="540"/>
        <v>16096.235</v>
      </c>
      <c r="AX703" s="50">
        <f t="shared" si="413"/>
        <v>1039.985625</v>
      </c>
      <c r="AY703" s="43"/>
      <c r="AZ703" s="47"/>
      <c r="BA703" s="48">
        <f t="shared" si="550"/>
        <v>3672.860625</v>
      </c>
      <c r="BB703" s="27"/>
      <c r="BC703" s="27"/>
      <c r="BD703" s="51"/>
      <c r="BE703" s="52"/>
      <c r="BF703" s="27" t="s">
        <v>2345</v>
      </c>
      <c r="BG703" s="53">
        <v>0.0</v>
      </c>
      <c r="BH703" s="53" t="str">
        <f>'[1]2023'!Q1034</f>
        <v>#REF!</v>
      </c>
      <c r="BI703" s="27"/>
      <c r="BJ703" s="27"/>
      <c r="BK703" s="27" t="s">
        <v>76</v>
      </c>
      <c r="BL703" s="27"/>
    </row>
    <row r="704" ht="14.25" customHeight="1">
      <c r="A704" s="26" t="s">
        <v>111</v>
      </c>
      <c r="B704" s="26" t="s">
        <v>56</v>
      </c>
      <c r="C704" s="26" t="s">
        <v>57</v>
      </c>
      <c r="D704" s="26" t="s">
        <v>71</v>
      </c>
      <c r="E704" s="27" t="s">
        <v>2347</v>
      </c>
      <c r="F704" s="28" t="s">
        <v>2348</v>
      </c>
      <c r="G704" s="29">
        <v>45115.0</v>
      </c>
      <c r="H704" s="30">
        <v>45115.0</v>
      </c>
      <c r="I704" s="30">
        <v>45480.0</v>
      </c>
      <c r="J704" s="31" t="s">
        <v>2349</v>
      </c>
      <c r="K704" s="26" t="s">
        <v>455</v>
      </c>
      <c r="L704" s="69">
        <v>45207.0</v>
      </c>
      <c r="M704" s="33">
        <v>19308.46</v>
      </c>
      <c r="N704" s="34">
        <v>20800.0</v>
      </c>
      <c r="O704" s="27" t="s">
        <v>76</v>
      </c>
      <c r="P704" s="35" t="s">
        <v>142</v>
      </c>
      <c r="Q704" s="35" t="s">
        <v>108</v>
      </c>
      <c r="R704" s="36">
        <v>45124.0</v>
      </c>
      <c r="S704" s="35" t="s">
        <v>86</v>
      </c>
      <c r="T704" s="35">
        <v>0.0</v>
      </c>
      <c r="U704" s="37" t="s">
        <v>115</v>
      </c>
      <c r="V704" s="38">
        <v>800000.0</v>
      </c>
      <c r="W704" s="38"/>
      <c r="X704" s="27"/>
      <c r="Y704" s="39"/>
      <c r="Z704" s="79" t="s">
        <v>2350</v>
      </c>
      <c r="AA704" s="39"/>
      <c r="AB704" s="40"/>
      <c r="AC704" s="27">
        <f t="shared" si="539"/>
        <v>0</v>
      </c>
      <c r="AD704" s="41">
        <f t="shared" si="551"/>
        <v>2896.269</v>
      </c>
      <c r="AE704" s="42">
        <v>400.0</v>
      </c>
      <c r="AF704" s="29">
        <v>45177.0</v>
      </c>
      <c r="AG704" s="43">
        <f t="shared" ref="AG704:AG705" si="553">IF(O704="Paid",IF(A704="Alwataniya",(M704*21%)-((M704*21%)*5%),IF((A704="GIG"),(M704*25%)-((M704*25%)*5%),IF((A704="Allianz"),(M704*27%)-((M704*27%)*20%),0))),0)</f>
        <v>4585.75925</v>
      </c>
      <c r="AH704" s="29">
        <v>45207.0</v>
      </c>
      <c r="AI704" s="29" t="s">
        <v>457</v>
      </c>
      <c r="AJ704" s="29"/>
      <c r="AK704" s="29" t="s">
        <v>458</v>
      </c>
      <c r="AL704" s="27"/>
      <c r="AM704" s="44"/>
      <c r="AN704" s="47"/>
      <c r="AO704" s="46"/>
      <c r="AP704" s="47"/>
      <c r="AQ704" s="43">
        <f t="shared" si="548"/>
        <v>4827.115</v>
      </c>
      <c r="AR704" s="43">
        <f t="shared" si="448"/>
        <v>241.35575</v>
      </c>
      <c r="AS704" s="43">
        <f t="shared" si="449"/>
        <v>844.745125</v>
      </c>
      <c r="AT704" s="48">
        <f t="shared" si="450"/>
        <v>3741.014125</v>
      </c>
      <c r="AU704" s="49">
        <f t="shared" si="552"/>
        <v>3741.014125</v>
      </c>
      <c r="AV704" s="48"/>
      <c r="AW704" s="34">
        <f t="shared" si="540"/>
        <v>17503.731</v>
      </c>
      <c r="AX704" s="50">
        <f t="shared" si="413"/>
        <v>444.745125</v>
      </c>
      <c r="AY704" s="43"/>
      <c r="AZ704" s="47"/>
      <c r="BA704" s="48">
        <f t="shared" si="550"/>
        <v>3741.014125</v>
      </c>
      <c r="BB704" s="27"/>
      <c r="BC704" s="27"/>
      <c r="BD704" s="51"/>
      <c r="BE704" s="52"/>
      <c r="BF704" s="27" t="s">
        <v>2347</v>
      </c>
      <c r="BG704" s="53">
        <v>0.0</v>
      </c>
      <c r="BH704" s="53" t="str">
        <f>'[1]2023'!Q1048</f>
        <v>#REF!</v>
      </c>
      <c r="BI704" s="27"/>
      <c r="BJ704" s="27"/>
      <c r="BK704" s="27" t="s">
        <v>76</v>
      </c>
      <c r="BL704" s="27"/>
    </row>
    <row r="705" ht="14.25" customHeight="1">
      <c r="A705" s="26" t="s">
        <v>111</v>
      </c>
      <c r="B705" s="26" t="s">
        <v>56</v>
      </c>
      <c r="C705" s="26" t="s">
        <v>57</v>
      </c>
      <c r="D705" s="26" t="s">
        <v>58</v>
      </c>
      <c r="E705" s="27" t="s">
        <v>2351</v>
      </c>
      <c r="F705" s="28" t="s">
        <v>2352</v>
      </c>
      <c r="G705" s="29">
        <v>45115.0</v>
      </c>
      <c r="H705" s="30">
        <v>45115.0</v>
      </c>
      <c r="I705" s="30">
        <v>45480.0</v>
      </c>
      <c r="J705" s="31" t="s">
        <v>1645</v>
      </c>
      <c r="K705" s="26" t="s">
        <v>455</v>
      </c>
      <c r="L705" s="32" t="s">
        <v>2353</v>
      </c>
      <c r="M705" s="33">
        <v>13537.78</v>
      </c>
      <c r="N705" s="34">
        <v>14460.0</v>
      </c>
      <c r="O705" s="27" t="s">
        <v>76</v>
      </c>
      <c r="P705" s="35" t="s">
        <v>89</v>
      </c>
      <c r="Q705" s="35" t="s">
        <v>114</v>
      </c>
      <c r="R705" s="36">
        <v>45124.0</v>
      </c>
      <c r="S705" s="35" t="s">
        <v>1103</v>
      </c>
      <c r="T705" s="35">
        <v>0.0</v>
      </c>
      <c r="U705" s="37" t="s">
        <v>115</v>
      </c>
      <c r="V705" s="38">
        <v>1700000.0</v>
      </c>
      <c r="W705" s="38"/>
      <c r="X705" s="27"/>
      <c r="Y705" s="39"/>
      <c r="Z705" s="39"/>
      <c r="AA705" s="39"/>
      <c r="AB705" s="40"/>
      <c r="AC705" s="27">
        <f t="shared" si="539"/>
        <v>0</v>
      </c>
      <c r="AD705" s="41">
        <f t="shared" si="551"/>
        <v>0</v>
      </c>
      <c r="AE705" s="42"/>
      <c r="AF705" s="27"/>
      <c r="AG705" s="43">
        <f t="shared" si="553"/>
        <v>3215.22275</v>
      </c>
      <c r="AH705" s="29" t="s">
        <v>457</v>
      </c>
      <c r="AI705" s="29">
        <v>45086.0</v>
      </c>
      <c r="AJ705" s="29"/>
      <c r="AK705" s="29">
        <v>45025.0</v>
      </c>
      <c r="AL705" s="27"/>
      <c r="AM705" s="44">
        <f>IF((BD705&lt;=2),AU705*10%,(IF((BD705&lt;=3),AU705*20%,IF((BD705&lt;=4),AU705*20%,IF((BD705&gt;=5),AU705*30%,(IF((BD705="lead"),AU705*30%,0)))))))</f>
        <v>524.588975</v>
      </c>
      <c r="AN705" s="176">
        <v>44995.0</v>
      </c>
      <c r="AO705" s="46"/>
      <c r="AP705" s="47"/>
      <c r="AQ705" s="84">
        <f t="shared" si="548"/>
        <v>3384.445</v>
      </c>
      <c r="AR705" s="43">
        <f t="shared" si="448"/>
        <v>169.22225</v>
      </c>
      <c r="AS705" s="43">
        <f t="shared" si="449"/>
        <v>592.277875</v>
      </c>
      <c r="AT705" s="48">
        <f t="shared" si="450"/>
        <v>2622.944875</v>
      </c>
      <c r="AU705" s="49">
        <f t="shared" si="552"/>
        <v>2622.944875</v>
      </c>
      <c r="AV705" s="106">
        <f>AU705*10%</f>
        <v>262.2944875</v>
      </c>
      <c r="AW705" s="34">
        <f t="shared" si="540"/>
        <v>14460</v>
      </c>
      <c r="AX705" s="50">
        <f t="shared" si="413"/>
        <v>1836.061413</v>
      </c>
      <c r="AY705" s="43"/>
      <c r="AZ705" s="47"/>
      <c r="BA705" s="48">
        <f t="shared" si="550"/>
        <v>2098.3559</v>
      </c>
      <c r="BB705" s="27"/>
      <c r="BC705" s="27"/>
      <c r="BD705" s="51">
        <v>3.0</v>
      </c>
      <c r="BE705" s="52"/>
      <c r="BF705" s="27" t="s">
        <v>2351</v>
      </c>
      <c r="BG705" s="53">
        <v>0.0</v>
      </c>
      <c r="BH705" s="53" t="str">
        <f>'[1]2023'!Q1052</f>
        <v>#REF!</v>
      </c>
      <c r="BI705" s="27"/>
      <c r="BJ705" s="27"/>
      <c r="BK705" s="27" t="s">
        <v>76</v>
      </c>
      <c r="BL705" s="27"/>
    </row>
    <row r="706" ht="14.25" customHeight="1">
      <c r="A706" s="26" t="s">
        <v>55</v>
      </c>
      <c r="B706" s="26" t="s">
        <v>56</v>
      </c>
      <c r="C706" s="26" t="s">
        <v>57</v>
      </c>
      <c r="D706" s="26" t="s">
        <v>81</v>
      </c>
      <c r="E706" s="27" t="s">
        <v>2354</v>
      </c>
      <c r="F706" s="28" t="s">
        <v>2355</v>
      </c>
      <c r="G706" s="29">
        <v>45116.0</v>
      </c>
      <c r="H706" s="30">
        <v>45116.0</v>
      </c>
      <c r="I706" s="30">
        <v>45481.0</v>
      </c>
      <c r="J706" s="31">
        <v>0.0</v>
      </c>
      <c r="K706" s="26" t="s">
        <v>887</v>
      </c>
      <c r="L706" s="32" t="s">
        <v>63</v>
      </c>
      <c r="M706" s="33">
        <v>0.0</v>
      </c>
      <c r="N706" s="34">
        <v>0.0</v>
      </c>
      <c r="O706" s="27" t="s">
        <v>64</v>
      </c>
      <c r="P706" s="35">
        <v>0.0</v>
      </c>
      <c r="Q706" s="35">
        <v>0.0</v>
      </c>
      <c r="R706" s="36">
        <v>45116.0</v>
      </c>
      <c r="S706" s="35" t="s">
        <v>86</v>
      </c>
      <c r="T706" s="35">
        <v>0.0</v>
      </c>
      <c r="U706" s="37" t="s">
        <v>67</v>
      </c>
      <c r="V706" s="38"/>
      <c r="W706" s="38"/>
      <c r="X706" s="27"/>
      <c r="Y706" s="39"/>
      <c r="Z706" s="39"/>
      <c r="AA706" s="39"/>
      <c r="AB706" s="40"/>
      <c r="AC706" s="27">
        <f t="shared" si="539"/>
        <v>0</v>
      </c>
      <c r="AD706" s="41">
        <f t="shared" si="551"/>
        <v>0</v>
      </c>
      <c r="AE706" s="42"/>
      <c r="AF706" s="27"/>
      <c r="AG706" s="43">
        <f t="shared" ref="AG706:AG709" si="554">IF(O706="Paid",IF(A706="Alwataniya",(M706*21%)-((M706*21%)*5%),IF((A706="GIG"),(M706*25%)-((M706*25%)*5%),IF((A706="Allianz"),(M706*27%)-((M706*27%)*5%),0))),0)</f>
        <v>0</v>
      </c>
      <c r="AH706" s="29"/>
      <c r="AI706" s="29"/>
      <c r="AJ706" s="29"/>
      <c r="AK706" s="29"/>
      <c r="AL706" s="27"/>
      <c r="AM706" s="44"/>
      <c r="AN706" s="68"/>
      <c r="AO706" s="46"/>
      <c r="AP706" s="68"/>
      <c r="AQ706" s="43" t="b">
        <f t="shared" ref="AQ706:AQ708" si="555">IF(O706="Paid",IF(U706="Motor Plus",(M706*27%),IF(U706="Motor One",(M706*22%),(IF(U706="Golden",(M706*25%),(IF(U706="Classic",(M706*15%),(IF(U706="Wethaq",(M706*28%),IF(U706="Alwataniya",(M706*21%))*0)))))))))</f>
        <v>0</v>
      </c>
      <c r="AR706" s="43">
        <f t="shared" si="448"/>
        <v>0</v>
      </c>
      <c r="AS706" s="43">
        <f t="shared" si="449"/>
        <v>0</v>
      </c>
      <c r="AT706" s="48">
        <f t="shared" si="450"/>
        <v>0</v>
      </c>
      <c r="AU706" s="49">
        <f t="shared" si="552"/>
        <v>0</v>
      </c>
      <c r="AV706" s="48"/>
      <c r="AW706" s="34">
        <f t="shared" si="540"/>
        <v>0</v>
      </c>
      <c r="AX706" s="50">
        <f t="shared" si="413"/>
        <v>0</v>
      </c>
      <c r="AY706" s="43"/>
      <c r="AZ706" s="43"/>
      <c r="BA706" s="48">
        <f t="shared" si="550"/>
        <v>0</v>
      </c>
      <c r="BB706" s="27"/>
      <c r="BC706" s="27"/>
      <c r="BD706" s="51"/>
      <c r="BE706" s="52"/>
      <c r="BF706" s="27" t="s">
        <v>2354</v>
      </c>
      <c r="BG706" s="53">
        <v>0.0</v>
      </c>
      <c r="BH706" s="53" t="str">
        <f>'[1]2023'!Q901</f>
        <v>#REF!</v>
      </c>
      <c r="BI706" s="27"/>
      <c r="BJ706" s="27"/>
      <c r="BK706" s="27" t="s">
        <v>64</v>
      </c>
      <c r="BL706" s="27"/>
    </row>
    <row r="707" ht="14.25" customHeight="1">
      <c r="A707" s="26" t="s">
        <v>55</v>
      </c>
      <c r="B707" s="26" t="s">
        <v>56</v>
      </c>
      <c r="C707" s="26" t="s">
        <v>57</v>
      </c>
      <c r="D707" s="26" t="s">
        <v>81</v>
      </c>
      <c r="E707" s="27" t="s">
        <v>2356</v>
      </c>
      <c r="F707" s="28" t="s">
        <v>2357</v>
      </c>
      <c r="G707" s="29">
        <v>45116.0</v>
      </c>
      <c r="H707" s="30">
        <v>45116.0</v>
      </c>
      <c r="I707" s="30">
        <v>45481.0</v>
      </c>
      <c r="J707" s="31">
        <v>0.0</v>
      </c>
      <c r="K707" s="26" t="s">
        <v>887</v>
      </c>
      <c r="L707" s="32" t="s">
        <v>63</v>
      </c>
      <c r="M707" s="33">
        <v>0.0</v>
      </c>
      <c r="N707" s="34">
        <v>0.0</v>
      </c>
      <c r="O707" s="27" t="s">
        <v>64</v>
      </c>
      <c r="P707" s="35">
        <v>0.0</v>
      </c>
      <c r="Q707" s="35">
        <v>0.0</v>
      </c>
      <c r="R707" s="36">
        <v>45116.0</v>
      </c>
      <c r="S707" s="35" t="s">
        <v>86</v>
      </c>
      <c r="T707" s="35">
        <v>0.0</v>
      </c>
      <c r="U707" s="37" t="s">
        <v>67</v>
      </c>
      <c r="V707" s="38"/>
      <c r="W707" s="38"/>
      <c r="X707" s="27"/>
      <c r="Y707" s="39"/>
      <c r="Z707" s="39"/>
      <c r="AA707" s="39"/>
      <c r="AB707" s="40"/>
      <c r="AC707" s="27">
        <f t="shared" si="539"/>
        <v>0</v>
      </c>
      <c r="AD707" s="41">
        <f t="shared" si="551"/>
        <v>0</v>
      </c>
      <c r="AE707" s="42"/>
      <c r="AF707" s="27"/>
      <c r="AG707" s="43">
        <f t="shared" si="554"/>
        <v>0</v>
      </c>
      <c r="AH707" s="29"/>
      <c r="AI707" s="29"/>
      <c r="AJ707" s="29"/>
      <c r="AK707" s="29"/>
      <c r="AL707" s="27"/>
      <c r="AM707" s="44"/>
      <c r="AN707" s="47"/>
      <c r="AO707" s="46"/>
      <c r="AP707" s="47"/>
      <c r="AQ707" s="43" t="b">
        <f t="shared" si="555"/>
        <v>0</v>
      </c>
      <c r="AR707" s="43">
        <f t="shared" si="448"/>
        <v>0</v>
      </c>
      <c r="AS707" s="43">
        <f t="shared" si="449"/>
        <v>0</v>
      </c>
      <c r="AT707" s="48">
        <f t="shared" si="450"/>
        <v>0</v>
      </c>
      <c r="AU707" s="49">
        <f t="shared" si="552"/>
        <v>0</v>
      </c>
      <c r="AV707" s="48"/>
      <c r="AW707" s="34">
        <f t="shared" si="540"/>
        <v>0</v>
      </c>
      <c r="AX707" s="50">
        <f t="shared" si="413"/>
        <v>0</v>
      </c>
      <c r="AY707" s="43"/>
      <c r="AZ707" s="43"/>
      <c r="BA707" s="48">
        <f t="shared" si="550"/>
        <v>0</v>
      </c>
      <c r="BB707" s="27"/>
      <c r="BC707" s="27"/>
      <c r="BD707" s="51"/>
      <c r="BE707" s="52"/>
      <c r="BF707" s="27" t="s">
        <v>2356</v>
      </c>
      <c r="BG707" s="53">
        <v>0.0</v>
      </c>
      <c r="BH707" s="53" t="str">
        <f>'[1]2023'!Q906</f>
        <v>#REF!</v>
      </c>
      <c r="BI707" s="27"/>
      <c r="BJ707" s="27"/>
      <c r="BK707" s="27" t="s">
        <v>64</v>
      </c>
      <c r="BL707" s="27"/>
    </row>
    <row r="708" ht="14.25" customHeight="1">
      <c r="A708" s="26" t="s">
        <v>55</v>
      </c>
      <c r="B708" s="26" t="s">
        <v>56</v>
      </c>
      <c r="C708" s="26" t="s">
        <v>57</v>
      </c>
      <c r="D708" s="26" t="s">
        <v>58</v>
      </c>
      <c r="E708" s="27" t="s">
        <v>2358</v>
      </c>
      <c r="F708" s="28" t="s">
        <v>2359</v>
      </c>
      <c r="G708" s="29">
        <v>45116.0</v>
      </c>
      <c r="H708" s="30">
        <v>45116.0</v>
      </c>
      <c r="I708" s="30">
        <v>45481.0</v>
      </c>
      <c r="J708" s="31">
        <v>0.0</v>
      </c>
      <c r="K708" s="26" t="s">
        <v>887</v>
      </c>
      <c r="L708" s="32" t="s">
        <v>63</v>
      </c>
      <c r="M708" s="33">
        <v>0.0</v>
      </c>
      <c r="N708" s="34">
        <v>0.0</v>
      </c>
      <c r="O708" s="27" t="s">
        <v>64</v>
      </c>
      <c r="P708" s="35">
        <v>0.0</v>
      </c>
      <c r="Q708" s="35">
        <v>0.0</v>
      </c>
      <c r="R708" s="36">
        <v>45116.0</v>
      </c>
      <c r="S708" s="35" t="s">
        <v>86</v>
      </c>
      <c r="T708" s="35">
        <v>0.0</v>
      </c>
      <c r="U708" s="37">
        <v>0.0</v>
      </c>
      <c r="V708" s="38"/>
      <c r="W708" s="38"/>
      <c r="X708" s="27"/>
      <c r="Y708" s="39"/>
      <c r="Z708" s="39"/>
      <c r="AA708" s="39"/>
      <c r="AB708" s="27"/>
      <c r="AC708" s="27">
        <f t="shared" si="539"/>
        <v>0</v>
      </c>
      <c r="AD708" s="41">
        <f t="shared" si="551"/>
        <v>0</v>
      </c>
      <c r="AE708" s="42"/>
      <c r="AF708" s="27"/>
      <c r="AG708" s="43">
        <f t="shared" si="554"/>
        <v>0</v>
      </c>
      <c r="AH708" s="29"/>
      <c r="AI708" s="29"/>
      <c r="AJ708" s="29"/>
      <c r="AK708" s="29"/>
      <c r="AL708" s="27"/>
      <c r="AM708" s="44"/>
      <c r="AN708" s="47"/>
      <c r="AO708" s="46"/>
      <c r="AP708" s="47"/>
      <c r="AQ708" s="43" t="b">
        <f t="shared" si="555"/>
        <v>0</v>
      </c>
      <c r="AR708" s="43">
        <f t="shared" si="448"/>
        <v>0</v>
      </c>
      <c r="AS708" s="43">
        <f t="shared" si="449"/>
        <v>0</v>
      </c>
      <c r="AT708" s="48">
        <f t="shared" si="450"/>
        <v>0</v>
      </c>
      <c r="AU708" s="49">
        <f t="shared" si="552"/>
        <v>0</v>
      </c>
      <c r="AV708" s="48"/>
      <c r="AW708" s="34">
        <f t="shared" si="540"/>
        <v>0</v>
      </c>
      <c r="AX708" s="50">
        <f t="shared" si="413"/>
        <v>0</v>
      </c>
      <c r="AY708" s="43"/>
      <c r="AZ708" s="47"/>
      <c r="BA708" s="48">
        <f t="shared" si="550"/>
        <v>0</v>
      </c>
      <c r="BB708" s="27"/>
      <c r="BC708" s="27"/>
      <c r="BD708" s="51"/>
      <c r="BE708" s="52"/>
      <c r="BF708" s="27" t="s">
        <v>2358</v>
      </c>
      <c r="BG708" s="53">
        <v>0.0</v>
      </c>
      <c r="BH708" s="53" t="str">
        <f>'[1]2023'!Q1148</f>
        <v>#REF!</v>
      </c>
      <c r="BI708" s="27"/>
      <c r="BJ708" s="27"/>
      <c r="BK708" s="27" t="s">
        <v>64</v>
      </c>
      <c r="BL708" s="27"/>
    </row>
    <row r="709" ht="14.25" customHeight="1">
      <c r="A709" s="26" t="s">
        <v>55</v>
      </c>
      <c r="B709" s="26" t="s">
        <v>56</v>
      </c>
      <c r="C709" s="26" t="s">
        <v>57</v>
      </c>
      <c r="D709" s="26" t="s">
        <v>81</v>
      </c>
      <c r="E709" s="27" t="s">
        <v>2360</v>
      </c>
      <c r="F709" s="28" t="s">
        <v>2361</v>
      </c>
      <c r="G709" s="29">
        <v>45116.0</v>
      </c>
      <c r="H709" s="30">
        <v>45116.0</v>
      </c>
      <c r="I709" s="30">
        <v>45481.0</v>
      </c>
      <c r="J709" s="31" t="s">
        <v>2362</v>
      </c>
      <c r="K709" s="26" t="s">
        <v>475</v>
      </c>
      <c r="L709" s="69">
        <v>45025.0</v>
      </c>
      <c r="M709" s="33">
        <v>15974.25</v>
      </c>
      <c r="N709" s="34">
        <v>17137.6</v>
      </c>
      <c r="O709" s="27" t="s">
        <v>76</v>
      </c>
      <c r="P709" s="35" t="s">
        <v>122</v>
      </c>
      <c r="Q709" s="35">
        <v>0.0</v>
      </c>
      <c r="R709" s="36">
        <v>45116.0</v>
      </c>
      <c r="S709" s="35" t="s">
        <v>86</v>
      </c>
      <c r="T709" s="35">
        <v>0.0</v>
      </c>
      <c r="U709" s="37" t="s">
        <v>67</v>
      </c>
      <c r="V709" s="38"/>
      <c r="W709" s="38"/>
      <c r="X709" s="27"/>
      <c r="Y709" s="39"/>
      <c r="Z709" s="39"/>
      <c r="AA709" s="39"/>
      <c r="AB709" s="27"/>
      <c r="AC709" s="27">
        <f t="shared" si="539"/>
        <v>0</v>
      </c>
      <c r="AD709" s="41">
        <f t="shared" si="551"/>
        <v>2396.1375</v>
      </c>
      <c r="AE709" s="42"/>
      <c r="AF709" s="27"/>
      <c r="AG709" s="43">
        <f t="shared" si="554"/>
        <v>4097.395125</v>
      </c>
      <c r="AH709" s="29"/>
      <c r="AI709" s="29"/>
      <c r="AJ709" s="29"/>
      <c r="AK709" s="29"/>
      <c r="AL709" s="27"/>
      <c r="AM709" s="44"/>
      <c r="AN709" s="47"/>
      <c r="AO709" s="46"/>
      <c r="AP709" s="47"/>
      <c r="AQ709" s="43">
        <f>IF(U709="Motor Plus",(M709*27%),IF(U709="Motor One",(M709*22%),(IF(U709="Golden",(M709*25%),(IF(U709="Classic",(M709*15%),(IF(U709="Wethaq",(M709*28%),IF(U709="Alwataniya",(M709*21%))*0))))))))</f>
        <v>4313.0475</v>
      </c>
      <c r="AR709" s="43">
        <f t="shared" si="448"/>
        <v>215.652375</v>
      </c>
      <c r="AS709" s="43">
        <f t="shared" si="449"/>
        <v>754.7833125</v>
      </c>
      <c r="AT709" s="48">
        <f t="shared" si="450"/>
        <v>3342.611813</v>
      </c>
      <c r="AU709" s="49">
        <f t="shared" si="552"/>
        <v>3342.611813</v>
      </c>
      <c r="AV709" s="48"/>
      <c r="AW709" s="34">
        <f t="shared" si="540"/>
        <v>14741.4625</v>
      </c>
      <c r="AX709" s="50">
        <f t="shared" si="413"/>
        <v>946.4743125</v>
      </c>
      <c r="AY709" s="43"/>
      <c r="AZ709" s="47"/>
      <c r="BA709" s="48">
        <f t="shared" si="550"/>
        <v>3342.611813</v>
      </c>
      <c r="BB709" s="27"/>
      <c r="BC709" s="27"/>
      <c r="BD709" s="51"/>
      <c r="BE709" s="52"/>
      <c r="BF709" s="27"/>
      <c r="BG709" s="53">
        <v>0.0</v>
      </c>
      <c r="BH709" s="53" t="str">
        <f>'[1]2023'!Q1274</f>
        <v>#REF!</v>
      </c>
      <c r="BI709" s="27"/>
      <c r="BJ709" s="27"/>
      <c r="BK709" s="27" t="s">
        <v>76</v>
      </c>
      <c r="BL709" s="27"/>
    </row>
    <row r="710" ht="14.25" customHeight="1">
      <c r="A710" s="26" t="s">
        <v>68</v>
      </c>
      <c r="B710" s="26" t="s">
        <v>56</v>
      </c>
      <c r="C710" s="26" t="s">
        <v>57</v>
      </c>
      <c r="D710" s="26" t="s">
        <v>58</v>
      </c>
      <c r="E710" s="27" t="s">
        <v>2363</v>
      </c>
      <c r="F710" s="28" t="s">
        <v>2364</v>
      </c>
      <c r="G710" s="29">
        <v>45117.0</v>
      </c>
      <c r="H710" s="30">
        <v>45117.0</v>
      </c>
      <c r="I710" s="30">
        <v>45482.0</v>
      </c>
      <c r="J710" s="31" t="s">
        <v>2041</v>
      </c>
      <c r="K710" s="26" t="s">
        <v>887</v>
      </c>
      <c r="L710" s="69">
        <v>44995.0</v>
      </c>
      <c r="M710" s="33">
        <v>10913.13</v>
      </c>
      <c r="N710" s="34">
        <v>11720.0</v>
      </c>
      <c r="O710" s="27" t="s">
        <v>76</v>
      </c>
      <c r="P710" s="35" t="s">
        <v>162</v>
      </c>
      <c r="Q710" s="35">
        <v>0.0</v>
      </c>
      <c r="R710" s="36">
        <v>45136.0</v>
      </c>
      <c r="S710" s="35" t="s">
        <v>78</v>
      </c>
      <c r="T710" s="54" t="s">
        <v>510</v>
      </c>
      <c r="U710" s="37" t="s">
        <v>68</v>
      </c>
      <c r="V710" s="38"/>
      <c r="W710" s="38"/>
      <c r="X710" s="27"/>
      <c r="Y710" s="39"/>
      <c r="Z710" s="39"/>
      <c r="AA710" s="39"/>
      <c r="AB710" s="40"/>
      <c r="AC710" s="27">
        <f t="shared" si="539"/>
        <v>0</v>
      </c>
      <c r="AD710" s="41"/>
      <c r="AE710" s="42"/>
      <c r="AF710" s="27"/>
      <c r="AG710" s="177">
        <f>IF(O710="Paid",IF(A710="Wethaq",(M710*23%)-((M710*23%)*5%)))</f>
        <v>2384.518905</v>
      </c>
      <c r="AH710" s="29"/>
      <c r="AI710" s="29" t="s">
        <v>1324</v>
      </c>
      <c r="AJ710" s="55">
        <v>0.23</v>
      </c>
      <c r="AK710" s="29" t="s">
        <v>1325</v>
      </c>
      <c r="AL710" s="27"/>
      <c r="AM710" s="44"/>
      <c r="AN710" s="104"/>
      <c r="AO710" s="95">
        <f>M710*AJ710-((M710*AJ710)*22.5%)</f>
        <v>1945.265423</v>
      </c>
      <c r="AP710" s="47" t="s">
        <v>1325</v>
      </c>
      <c r="AQ710" s="43">
        <f>IF(U710="Motor Plus",(M710*27%),IF(U710="Motor One",(M710*22%),(IF(U710="Golden",(M710*25%),(IF(U710="Classic",(M710*15%),(IF(U710="Wethaq",(M710*23%),IF(U710="Alwataniya",(M710*21%))*0))))))))</f>
        <v>2510.0199</v>
      </c>
      <c r="AR710" s="43">
        <f t="shared" si="448"/>
        <v>125.500995</v>
      </c>
      <c r="AS710" s="43">
        <f t="shared" si="449"/>
        <v>439.2534825</v>
      </c>
      <c r="AT710" s="48">
        <f t="shared" si="450"/>
        <v>1945.265423</v>
      </c>
      <c r="AU710" s="49" t="str">
        <f t="shared" ref="AU710:AU711" si="556">AQ710-AR710-AS710-AC710-#REF!</f>
        <v>#REF!</v>
      </c>
      <c r="AV710" s="48"/>
      <c r="AW710" s="34">
        <f t="shared" si="540"/>
        <v>11720</v>
      </c>
      <c r="AX710" s="50">
        <f t="shared" si="413"/>
        <v>0</v>
      </c>
      <c r="AY710" s="43"/>
      <c r="AZ710" s="47"/>
      <c r="BA710" s="48" t="str">
        <f t="shared" ref="BA710:BA711" si="557">IF(S710&lt;&gt;0,AU710-#REF!-AM710,(AG710-AD710-AE710-AS710))</f>
        <v>#REF!</v>
      </c>
      <c r="BB710" s="27"/>
      <c r="BC710" s="27"/>
      <c r="BD710" s="51"/>
      <c r="BE710" s="52"/>
      <c r="BF710" s="27" t="s">
        <v>2365</v>
      </c>
      <c r="BG710" s="53">
        <v>0.0</v>
      </c>
      <c r="BH710" s="53" t="str">
        <f>'[1]2023'!Q955</f>
        <v>#REF!</v>
      </c>
      <c r="BI710" s="27"/>
      <c r="BJ710" s="27"/>
      <c r="BK710" s="27" t="s">
        <v>76</v>
      </c>
      <c r="BL710" s="27"/>
    </row>
    <row r="711" ht="14.25" customHeight="1">
      <c r="A711" s="26" t="s">
        <v>1634</v>
      </c>
      <c r="B711" s="26" t="s">
        <v>69</v>
      </c>
      <c r="C711" s="26" t="s">
        <v>70</v>
      </c>
      <c r="D711" s="26" t="s">
        <v>71</v>
      </c>
      <c r="E711" s="27" t="s">
        <v>2366</v>
      </c>
      <c r="F711" s="26" t="s">
        <v>2367</v>
      </c>
      <c r="G711" s="29">
        <v>45118.0</v>
      </c>
      <c r="H711" s="30">
        <v>45118.0</v>
      </c>
      <c r="I711" s="30">
        <v>45483.0</v>
      </c>
      <c r="J711" s="31">
        <v>0.0</v>
      </c>
      <c r="K711" s="26" t="s">
        <v>2368</v>
      </c>
      <c r="L711" s="73" t="s">
        <v>63</v>
      </c>
      <c r="M711" s="33">
        <v>9376.0</v>
      </c>
      <c r="N711" s="34">
        <v>0.0</v>
      </c>
      <c r="O711" s="27" t="s">
        <v>76</v>
      </c>
      <c r="P711" s="35" t="s">
        <v>77</v>
      </c>
      <c r="Q711" s="35">
        <v>0.0</v>
      </c>
      <c r="R711" s="36">
        <v>45118.0</v>
      </c>
      <c r="S711" s="35" t="s">
        <v>78</v>
      </c>
      <c r="T711" s="54" t="s">
        <v>79</v>
      </c>
      <c r="U711" s="37" t="s">
        <v>69</v>
      </c>
      <c r="V711" s="38"/>
      <c r="W711" s="38"/>
      <c r="X711" s="27"/>
      <c r="Y711" s="39"/>
      <c r="Z711" s="39"/>
      <c r="AA711" s="39"/>
      <c r="AB711" s="27"/>
      <c r="AC711" s="27">
        <f t="shared" si="539"/>
        <v>0</v>
      </c>
      <c r="AD711" s="41"/>
      <c r="AE711" s="42"/>
      <c r="AF711" s="27"/>
      <c r="AG711" s="84">
        <f>IF(O711="Paid",IF(A711="Egyptian",(M711*16.5%)-((M711*16.5%)*5%)))</f>
        <v>1469.688</v>
      </c>
      <c r="AH711" s="29"/>
      <c r="AI711" s="29" t="s">
        <v>2369</v>
      </c>
      <c r="AJ711" s="40">
        <v>0.165</v>
      </c>
      <c r="AK711" s="29" t="s">
        <v>2370</v>
      </c>
      <c r="AL711" s="27"/>
      <c r="AM711" s="44"/>
      <c r="AN711" s="104"/>
      <c r="AO711" s="46">
        <f>((M711*AJ711)-((M711*AJ711)*22.5%))*80%</f>
        <v>959.1648</v>
      </c>
      <c r="AP711" s="57">
        <v>44995.0</v>
      </c>
      <c r="AQ711" s="43">
        <f>M711*AJ711</f>
        <v>1547.04</v>
      </c>
      <c r="AR711" s="43">
        <f t="shared" si="448"/>
        <v>77.352</v>
      </c>
      <c r="AS711" s="43">
        <f t="shared" si="449"/>
        <v>270.732</v>
      </c>
      <c r="AT711" s="48">
        <f t="shared" si="450"/>
        <v>1198.956</v>
      </c>
      <c r="AU711" s="49" t="str">
        <f t="shared" si="556"/>
        <v>#REF!</v>
      </c>
      <c r="AV711" s="48"/>
      <c r="AW711" s="34">
        <f t="shared" si="540"/>
        <v>0</v>
      </c>
      <c r="AX711" s="50">
        <f t="shared" si="413"/>
        <v>239.7912</v>
      </c>
      <c r="AY711" s="43"/>
      <c r="AZ711" s="47"/>
      <c r="BA711" s="48" t="str">
        <f t="shared" si="557"/>
        <v>#REF!</v>
      </c>
      <c r="BB711" s="27"/>
      <c r="BC711" s="27"/>
      <c r="BD711" s="51"/>
      <c r="BE711" s="52"/>
      <c r="BF711" s="27"/>
      <c r="BG711" s="53">
        <v>0.0</v>
      </c>
      <c r="BH711" s="53" t="str">
        <f>'[1]2023'!Q1307</f>
        <v>#REF!</v>
      </c>
      <c r="BI711" s="27"/>
      <c r="BJ711" s="27"/>
      <c r="BK711" s="27" t="s">
        <v>76</v>
      </c>
      <c r="BL711" s="27">
        <v>6549.35</v>
      </c>
    </row>
    <row r="712" ht="14.25" customHeight="1">
      <c r="A712" s="26" t="s">
        <v>55</v>
      </c>
      <c r="B712" s="26" t="s">
        <v>56</v>
      </c>
      <c r="C712" s="26" t="s">
        <v>57</v>
      </c>
      <c r="D712" s="26" t="s">
        <v>81</v>
      </c>
      <c r="E712" s="27" t="s">
        <v>2371</v>
      </c>
      <c r="F712" s="28" t="s">
        <v>2372</v>
      </c>
      <c r="G712" s="29">
        <v>45118.0</v>
      </c>
      <c r="H712" s="30">
        <v>45118.0</v>
      </c>
      <c r="I712" s="30">
        <v>45483.0</v>
      </c>
      <c r="J712" s="31" t="s">
        <v>2373</v>
      </c>
      <c r="K712" s="26" t="s">
        <v>2374</v>
      </c>
      <c r="L712" s="89">
        <v>45225.0</v>
      </c>
      <c r="M712" s="33">
        <v>16209.38</v>
      </c>
      <c r="N712" s="34">
        <v>17387.79</v>
      </c>
      <c r="O712" s="27" t="s">
        <v>76</v>
      </c>
      <c r="P712" s="35" t="s">
        <v>122</v>
      </c>
      <c r="Q712" s="35">
        <v>0.0</v>
      </c>
      <c r="R712" s="36">
        <v>45118.0</v>
      </c>
      <c r="S712" s="35" t="s">
        <v>86</v>
      </c>
      <c r="T712" s="35">
        <v>0.0</v>
      </c>
      <c r="U712" s="37">
        <v>0.0</v>
      </c>
      <c r="V712" s="38">
        <v>750000.0</v>
      </c>
      <c r="W712" s="78">
        <v>19343.0</v>
      </c>
      <c r="X712" s="27">
        <v>2020.0</v>
      </c>
      <c r="Y712" s="79" t="s">
        <v>2375</v>
      </c>
      <c r="Z712" s="39"/>
      <c r="AA712" s="39"/>
      <c r="AB712" s="27"/>
      <c r="AC712" s="27">
        <f t="shared" si="539"/>
        <v>0</v>
      </c>
      <c r="AD712" s="41"/>
      <c r="AE712" s="42"/>
      <c r="AF712" s="27"/>
      <c r="AG712" s="43">
        <f>IF(O712="Paid",IF(A712="Alwataniya",(M712*21%)-((M712*21%)*5%),IF((A712="GIG"),(M712*25%)-((M712*25%)*5%),IF((A712="Allianz"),(M712*27%)-((M712*27%)*5%),0))),0)</f>
        <v>4157.70597</v>
      </c>
      <c r="AH712" s="29"/>
      <c r="AI712" s="29"/>
      <c r="AJ712" s="29"/>
      <c r="AK712" s="29"/>
      <c r="AL712" s="27"/>
      <c r="AM712" s="44"/>
      <c r="AN712" s="47"/>
      <c r="AO712" s="46"/>
      <c r="AP712" s="47"/>
      <c r="AQ712" s="43">
        <f>IF(O712="Paid",IF(U712="Motor Plus",(M712*27%),IF(U712="Motor One",(M712*22%),(IF(U712="Golden",(M712*25%),(IF(U712="Classic",(M712*15%),(IF(U712="Wethaq",(M712*28%),IF(U712="Alwataniya",(M712*21%))*0)))))))))</f>
        <v>0</v>
      </c>
      <c r="AR712" s="43">
        <f t="shared" si="448"/>
        <v>0</v>
      </c>
      <c r="AS712" s="43">
        <f t="shared" si="449"/>
        <v>0</v>
      </c>
      <c r="AT712" s="48">
        <f t="shared" si="450"/>
        <v>0</v>
      </c>
      <c r="AU712" s="49">
        <f>AQ712-AR712-AS712-AC712-AO712</f>
        <v>0</v>
      </c>
      <c r="AV712" s="48"/>
      <c r="AW712" s="34">
        <f t="shared" si="540"/>
        <v>17387.79</v>
      </c>
      <c r="AX712" s="50">
        <f t="shared" si="413"/>
        <v>4157.70597</v>
      </c>
      <c r="AY712" s="43"/>
      <c r="AZ712" s="47"/>
      <c r="BA712" s="48">
        <f t="shared" ref="BA712:BA756" si="558">IF(S712&lt;&gt;0,AU712-AO712-AM712,(AG712-AD712-AE712-AS712))</f>
        <v>0</v>
      </c>
      <c r="BB712" s="27"/>
      <c r="BC712" s="27"/>
      <c r="BD712" s="51"/>
      <c r="BE712" s="52"/>
      <c r="BF712" s="27"/>
      <c r="BG712" s="53">
        <v>0.0</v>
      </c>
      <c r="BH712" s="53" t="str">
        <f>'[1]2023'!Q1527</f>
        <v>#REF!</v>
      </c>
      <c r="BI712" s="27"/>
      <c r="BJ712" s="27"/>
      <c r="BK712" s="27" t="s">
        <v>76</v>
      </c>
      <c r="BL712" s="27"/>
    </row>
    <row r="713" ht="14.25" customHeight="1">
      <c r="A713" s="26" t="s">
        <v>55</v>
      </c>
      <c r="B713" s="26" t="s">
        <v>1099</v>
      </c>
      <c r="C713" s="26" t="s">
        <v>57</v>
      </c>
      <c r="D713" s="26" t="s">
        <v>71</v>
      </c>
      <c r="E713" s="27" t="s">
        <v>2376</v>
      </c>
      <c r="F713" s="26" t="s">
        <v>2377</v>
      </c>
      <c r="G713" s="29">
        <v>45120.0</v>
      </c>
      <c r="H713" s="30">
        <v>45120.0</v>
      </c>
      <c r="I713" s="30">
        <v>45485.0</v>
      </c>
      <c r="J713" s="31">
        <v>0.0</v>
      </c>
      <c r="K713" s="26" t="s">
        <v>887</v>
      </c>
      <c r="L713" s="32" t="s">
        <v>1706</v>
      </c>
      <c r="M713" s="33">
        <v>8538.02</v>
      </c>
      <c r="N713" s="34">
        <v>8812.56</v>
      </c>
      <c r="O713" s="27" t="s">
        <v>76</v>
      </c>
      <c r="P713" s="35" t="s">
        <v>95</v>
      </c>
      <c r="Q713" s="35">
        <v>0.0</v>
      </c>
      <c r="R713" s="36">
        <v>45120.0</v>
      </c>
      <c r="S713" s="35" t="s">
        <v>86</v>
      </c>
      <c r="T713" s="35">
        <v>0.0</v>
      </c>
      <c r="U713" s="37" t="s">
        <v>1099</v>
      </c>
      <c r="V713" s="38"/>
      <c r="W713" s="38"/>
      <c r="X713" s="27"/>
      <c r="Y713" s="39"/>
      <c r="Z713" s="39"/>
      <c r="AA713" s="39"/>
      <c r="AB713" s="40"/>
      <c r="AC713" s="27">
        <f t="shared" si="539"/>
        <v>0</v>
      </c>
      <c r="AD713" s="41"/>
      <c r="AE713" s="42"/>
      <c r="AF713" s="27"/>
      <c r="AG713" s="84">
        <f>IF(O713="Paid",IF(A713="Alwataniya",(M713*21%)-((M713*21%)*5%),IF((A713="GIG"),(M713*25%)-((M713*25%)*5%),IF((A713="Allianz"),(M713*12%)-((M713*12%)*5%),0))),0)</f>
        <v>973.33428</v>
      </c>
      <c r="AH713" s="29"/>
      <c r="AI713" s="29"/>
      <c r="AJ713" s="29"/>
      <c r="AK713" s="29"/>
      <c r="AL713" s="27"/>
      <c r="AM713" s="44"/>
      <c r="AN713" s="47"/>
      <c r="AO713" s="46"/>
      <c r="AP713" s="47"/>
      <c r="AQ713" s="43">
        <f>M713*AJ713</f>
        <v>0</v>
      </c>
      <c r="AR713" s="43">
        <f t="shared" si="448"/>
        <v>0</v>
      </c>
      <c r="AS713" s="43">
        <f t="shared" si="449"/>
        <v>0</v>
      </c>
      <c r="AT713" s="48">
        <f t="shared" si="450"/>
        <v>0</v>
      </c>
      <c r="AU713" s="49">
        <f t="shared" ref="AU713:AU715" si="559">AQ713-AR713-AS713-AC713</f>
        <v>0</v>
      </c>
      <c r="AV713" s="48"/>
      <c r="AW713" s="34">
        <f t="shared" si="540"/>
        <v>8812.56</v>
      </c>
      <c r="AX713" s="113">
        <f t="shared" si="413"/>
        <v>973.33428</v>
      </c>
      <c r="AY713" s="43"/>
      <c r="AZ713" s="43"/>
      <c r="BA713" s="48">
        <f t="shared" si="558"/>
        <v>0</v>
      </c>
      <c r="BB713" s="27"/>
      <c r="BC713" s="27"/>
      <c r="BD713" s="51"/>
      <c r="BE713" s="52"/>
      <c r="BF713" s="27" t="s">
        <v>2376</v>
      </c>
      <c r="BG713" s="58" t="s">
        <v>2378</v>
      </c>
      <c r="BH713" s="53" t="str">
        <f>'[1]2023'!Q928</f>
        <v>#REF!</v>
      </c>
      <c r="BI713" s="27"/>
      <c r="BJ713" s="27"/>
      <c r="BK713" s="27" t="s">
        <v>76</v>
      </c>
      <c r="BL713" s="27"/>
    </row>
    <row r="714" ht="14.25" customHeight="1">
      <c r="A714" s="26" t="s">
        <v>68</v>
      </c>
      <c r="B714" s="26" t="s">
        <v>56</v>
      </c>
      <c r="C714" s="26" t="s">
        <v>57</v>
      </c>
      <c r="D714" s="26" t="s">
        <v>71</v>
      </c>
      <c r="E714" s="27" t="s">
        <v>2379</v>
      </c>
      <c r="F714" s="28" t="s">
        <v>2380</v>
      </c>
      <c r="G714" s="29" t="s">
        <v>1964</v>
      </c>
      <c r="H714" s="30">
        <v>45120.0</v>
      </c>
      <c r="I714" s="30">
        <v>45485.0</v>
      </c>
      <c r="J714" s="31" t="s">
        <v>2381</v>
      </c>
      <c r="K714" s="26" t="s">
        <v>887</v>
      </c>
      <c r="L714" s="69">
        <v>44993.0</v>
      </c>
      <c r="M714" s="33">
        <v>11447.38</v>
      </c>
      <c r="N714" s="34">
        <v>12375.0</v>
      </c>
      <c r="O714" s="27" t="s">
        <v>76</v>
      </c>
      <c r="P714" s="35" t="s">
        <v>142</v>
      </c>
      <c r="Q714" s="35" t="s">
        <v>90</v>
      </c>
      <c r="R714" s="36" t="e">
        <v>#VALUE!</v>
      </c>
      <c r="S714" s="35" t="s">
        <v>86</v>
      </c>
      <c r="T714" s="54" t="s">
        <v>456</v>
      </c>
      <c r="U714" s="37" t="s">
        <v>68</v>
      </c>
      <c r="V714" s="38">
        <v>550000.0</v>
      </c>
      <c r="W714" s="38"/>
      <c r="X714" s="27"/>
      <c r="Y714" s="39"/>
      <c r="Z714" s="39" t="s">
        <v>2382</v>
      </c>
      <c r="AA714" s="39"/>
      <c r="AB714" s="40"/>
      <c r="AC714" s="27">
        <f t="shared" si="539"/>
        <v>0</v>
      </c>
      <c r="AD714" s="41">
        <f>IF(AND(S714="0",O714="Paid"),(M714*15%)-AC714,0)</f>
        <v>1717.107</v>
      </c>
      <c r="AE714" s="42">
        <v>400.0</v>
      </c>
      <c r="AF714" s="27" t="s">
        <v>75</v>
      </c>
      <c r="AG714" s="43">
        <f>M714*33.25%-(M714*33.25%)*5%</f>
        <v>3615.941158</v>
      </c>
      <c r="AH714" s="29">
        <v>45086.0</v>
      </c>
      <c r="AI714" s="27" t="s">
        <v>464</v>
      </c>
      <c r="AJ714" s="40">
        <v>0.3325</v>
      </c>
      <c r="AK714" s="29" t="s">
        <v>465</v>
      </c>
      <c r="AL714" s="27"/>
      <c r="AM714" s="27"/>
      <c r="AN714" s="47"/>
      <c r="AO714" s="76"/>
      <c r="AP714" s="178" t="s">
        <v>922</v>
      </c>
      <c r="AQ714" s="43">
        <f>IF(U714="Motor Plus",(M714*27%),IF(U714="Motor One",(M714*22%),(IF(U714="Golden",(M714*25%),(IF(U714="Classic",(M714*15%),(IF(U714="Wethaq",(M714*28%),IF(U714="Alwataniya",(M714*21%))*0))))))))</f>
        <v>3205.2664</v>
      </c>
      <c r="AR714" s="43">
        <f t="shared" si="448"/>
        <v>160.26332</v>
      </c>
      <c r="AS714" s="43">
        <f t="shared" si="449"/>
        <v>560.92162</v>
      </c>
      <c r="AT714" s="48">
        <f t="shared" si="450"/>
        <v>2484.08146</v>
      </c>
      <c r="AU714" s="49">
        <f t="shared" si="559"/>
        <v>2484.08146</v>
      </c>
      <c r="AV714" s="48"/>
      <c r="AW714" s="34">
        <f t="shared" si="540"/>
        <v>10257.893</v>
      </c>
      <c r="AX714" s="50">
        <f t="shared" si="413"/>
        <v>937.9125375</v>
      </c>
      <c r="AY714" s="43"/>
      <c r="AZ714" s="47"/>
      <c r="BA714" s="48">
        <f t="shared" si="558"/>
        <v>2484.08146</v>
      </c>
      <c r="BB714" s="27"/>
      <c r="BC714" s="27"/>
      <c r="BD714" s="51"/>
      <c r="BE714" s="52"/>
      <c r="BF714" s="27" t="s">
        <v>2379</v>
      </c>
      <c r="BG714" s="58" t="s">
        <v>2383</v>
      </c>
      <c r="BH714" s="53" t="str">
        <f>'[1]2023'!Q971</f>
        <v>#REF!</v>
      </c>
      <c r="BI714" s="27"/>
      <c r="BJ714" s="27"/>
      <c r="BK714" s="27" t="s">
        <v>76</v>
      </c>
      <c r="BL714" s="27"/>
    </row>
    <row r="715" ht="14.25" customHeight="1">
      <c r="A715" s="26" t="s">
        <v>68</v>
      </c>
      <c r="B715" s="26" t="s">
        <v>56</v>
      </c>
      <c r="C715" s="26" t="s">
        <v>57</v>
      </c>
      <c r="D715" s="26" t="s">
        <v>71</v>
      </c>
      <c r="E715" s="27" t="s">
        <v>2384</v>
      </c>
      <c r="F715" s="28" t="s">
        <v>2385</v>
      </c>
      <c r="G715" s="29" t="s">
        <v>1964</v>
      </c>
      <c r="H715" s="30">
        <v>45120.0</v>
      </c>
      <c r="I715" s="30">
        <v>45485.0</v>
      </c>
      <c r="J715" s="31" t="s">
        <v>2386</v>
      </c>
      <c r="K715" s="26" t="s">
        <v>887</v>
      </c>
      <c r="L715" s="69">
        <v>45133.0</v>
      </c>
      <c r="M715" s="33">
        <v>14639.78</v>
      </c>
      <c r="N715" s="34">
        <v>15750.0</v>
      </c>
      <c r="O715" s="27" t="s">
        <v>76</v>
      </c>
      <c r="P715" s="35" t="s">
        <v>430</v>
      </c>
      <c r="Q715" s="35">
        <v>0.0</v>
      </c>
      <c r="R715" s="36" t="e">
        <v>#VALUE!</v>
      </c>
      <c r="S715" s="35" t="s">
        <v>78</v>
      </c>
      <c r="T715" s="54" t="s">
        <v>1271</v>
      </c>
      <c r="U715" s="37" t="s">
        <v>68</v>
      </c>
      <c r="V715" s="38">
        <v>700000.0</v>
      </c>
      <c r="W715" s="38"/>
      <c r="X715" s="27"/>
      <c r="Y715" s="39"/>
      <c r="Z715" s="39" t="s">
        <v>2382</v>
      </c>
      <c r="AA715" s="39"/>
      <c r="AB715" s="40"/>
      <c r="AC715" s="27">
        <f t="shared" si="539"/>
        <v>0</v>
      </c>
      <c r="AD715" s="41"/>
      <c r="AE715" s="42"/>
      <c r="AF715" s="27"/>
      <c r="AG715" s="43">
        <f>M715*18.77%-(M715*18.77%)*5%</f>
        <v>2610.492371</v>
      </c>
      <c r="AH715" s="29">
        <v>45086.0</v>
      </c>
      <c r="AI715" s="27" t="s">
        <v>464</v>
      </c>
      <c r="AJ715" s="145">
        <v>0.1877</v>
      </c>
      <c r="AK715" s="29" t="s">
        <v>465</v>
      </c>
      <c r="AL715" s="27"/>
      <c r="AM715" s="27"/>
      <c r="AN715" s="47"/>
      <c r="AO715" s="76">
        <f>(M715*11.58%)-AC715</f>
        <v>1695.286524</v>
      </c>
      <c r="AP715" s="63" t="s">
        <v>886</v>
      </c>
      <c r="AQ715" s="43">
        <f t="shared" ref="AQ715:AQ716" si="560">M715*AJ715</f>
        <v>2747.886706</v>
      </c>
      <c r="AR715" s="43">
        <f t="shared" si="448"/>
        <v>137.3943353</v>
      </c>
      <c r="AS715" s="43">
        <f t="shared" si="449"/>
        <v>480.8801736</v>
      </c>
      <c r="AT715" s="48">
        <f t="shared" si="450"/>
        <v>2129.612197</v>
      </c>
      <c r="AU715" s="49">
        <f t="shared" si="559"/>
        <v>2129.612197</v>
      </c>
      <c r="AV715" s="48"/>
      <c r="AW715" s="34">
        <f t="shared" si="540"/>
        <v>15750</v>
      </c>
      <c r="AX715" s="50">
        <f t="shared" si="413"/>
        <v>434.3256732</v>
      </c>
      <c r="AY715" s="43"/>
      <c r="AZ715" s="47"/>
      <c r="BA715" s="48">
        <f t="shared" si="558"/>
        <v>434.3256732</v>
      </c>
      <c r="BB715" s="27"/>
      <c r="BC715" s="27"/>
      <c r="BD715" s="51"/>
      <c r="BE715" s="52"/>
      <c r="BF715" s="27" t="s">
        <v>2384</v>
      </c>
      <c r="BG715" s="58" t="s">
        <v>562</v>
      </c>
      <c r="BH715" s="53" t="str">
        <f>'[1]2023'!Q973</f>
        <v>#REF!</v>
      </c>
      <c r="BI715" s="27"/>
      <c r="BJ715" s="27"/>
      <c r="BK715" s="27" t="s">
        <v>76</v>
      </c>
      <c r="BL715" s="64" t="s">
        <v>2387</v>
      </c>
    </row>
    <row r="716" ht="14.25" customHeight="1">
      <c r="A716" s="26" t="s">
        <v>68</v>
      </c>
      <c r="B716" s="26" t="s">
        <v>56</v>
      </c>
      <c r="C716" s="26" t="s">
        <v>57</v>
      </c>
      <c r="D716" s="26" t="s">
        <v>71</v>
      </c>
      <c r="E716" s="27" t="s">
        <v>2388</v>
      </c>
      <c r="F716" s="28" t="s">
        <v>2389</v>
      </c>
      <c r="G716" s="29" t="s">
        <v>1964</v>
      </c>
      <c r="H716" s="30">
        <v>45120.0</v>
      </c>
      <c r="I716" s="30">
        <v>45485.0</v>
      </c>
      <c r="J716" s="31" t="s">
        <v>2390</v>
      </c>
      <c r="K716" s="26" t="s">
        <v>2368</v>
      </c>
      <c r="L716" s="32" t="s">
        <v>75</v>
      </c>
      <c r="M716" s="33">
        <v>20572.11</v>
      </c>
      <c r="N716" s="34">
        <v>22000.0</v>
      </c>
      <c r="O716" s="27" t="s">
        <v>76</v>
      </c>
      <c r="P716" s="35" t="s">
        <v>430</v>
      </c>
      <c r="Q716" s="35">
        <v>0.0</v>
      </c>
      <c r="R716" s="36" t="e">
        <v>#VALUE!</v>
      </c>
      <c r="S716" s="35" t="s">
        <v>676</v>
      </c>
      <c r="T716" s="54" t="s">
        <v>2391</v>
      </c>
      <c r="U716" s="37" t="s">
        <v>68</v>
      </c>
      <c r="V716" s="38">
        <v>1100000.0</v>
      </c>
      <c r="W716" s="38"/>
      <c r="X716" s="27"/>
      <c r="Y716" s="39"/>
      <c r="Z716" s="79" t="s">
        <v>2392</v>
      </c>
      <c r="AA716" s="39"/>
      <c r="AB716" s="40"/>
      <c r="AC716" s="27">
        <f t="shared" si="539"/>
        <v>0</v>
      </c>
      <c r="AD716" s="41"/>
      <c r="AE716" s="42"/>
      <c r="AF716" s="27"/>
      <c r="AG716" s="43">
        <f t="shared" ref="AG716:AG717" si="561">IF(O716="Paid",IF(A716="Wethaq",(M716*28%)-((M716*28%)*5%)))</f>
        <v>5472.18126</v>
      </c>
      <c r="AH716" s="29">
        <v>45115.0</v>
      </c>
      <c r="AI716" s="29">
        <v>45115.0</v>
      </c>
      <c r="AJ716" s="166">
        <v>0.28</v>
      </c>
      <c r="AK716" s="29">
        <v>44993.0</v>
      </c>
      <c r="AL716" s="27"/>
      <c r="AM716" s="27">
        <f>IF((BD716&lt;=2),AU716*10%,(IF((BD716&lt;=3),AU716*20%,IF((BD716&lt;=4),AU716*20%,IF((BD716&gt;=5),AU716*30%,(IF((BD716="lead"),AU716*30%,0)))))))</f>
        <v>413.499411</v>
      </c>
      <c r="AN716" s="63" t="s">
        <v>886</v>
      </c>
      <c r="AO716" s="46">
        <f>IF(T716&lt;&gt;0,M716*15%,0)</f>
        <v>3085.8165</v>
      </c>
      <c r="AP716" s="63" t="s">
        <v>886</v>
      </c>
      <c r="AQ716" s="43">
        <f t="shared" si="560"/>
        <v>5760.1908</v>
      </c>
      <c r="AR716" s="43">
        <f t="shared" si="448"/>
        <v>288.00954</v>
      </c>
      <c r="AS716" s="43">
        <f t="shared" si="449"/>
        <v>1008.03339</v>
      </c>
      <c r="AT716" s="48">
        <f t="shared" si="450"/>
        <v>4464.14787</v>
      </c>
      <c r="AU716" s="49">
        <f>AQ716-AR716-AS716-AC716-AO716</f>
        <v>1378.33137</v>
      </c>
      <c r="AV716" s="134">
        <v>96.0</v>
      </c>
      <c r="AW716" s="34">
        <f t="shared" si="540"/>
        <v>22000</v>
      </c>
      <c r="AX716" s="50">
        <f t="shared" si="413"/>
        <v>868.831959</v>
      </c>
      <c r="AY716" s="43"/>
      <c r="AZ716" s="47"/>
      <c r="BA716" s="48">
        <f t="shared" si="558"/>
        <v>-2120.984541</v>
      </c>
      <c r="BB716" s="27"/>
      <c r="BC716" s="27"/>
      <c r="BD716" s="51" t="s">
        <v>1296</v>
      </c>
      <c r="BE716" s="52" t="s">
        <v>887</v>
      </c>
      <c r="BF716" s="27" t="s">
        <v>2388</v>
      </c>
      <c r="BG716" s="53">
        <v>0.0</v>
      </c>
      <c r="BH716" s="53" t="str">
        <f>'[1]2023'!Q976</f>
        <v>#REF!</v>
      </c>
      <c r="BI716" s="27"/>
      <c r="BJ716" s="27"/>
      <c r="BK716" s="27" t="s">
        <v>76</v>
      </c>
      <c r="BL716" s="27"/>
    </row>
    <row r="717" ht="14.25" customHeight="1">
      <c r="A717" s="26" t="s">
        <v>68</v>
      </c>
      <c r="B717" s="26" t="s">
        <v>56</v>
      </c>
      <c r="C717" s="26" t="s">
        <v>57</v>
      </c>
      <c r="D717" s="26" t="s">
        <v>71</v>
      </c>
      <c r="E717" s="27" t="s">
        <v>2393</v>
      </c>
      <c r="F717" s="28" t="s">
        <v>2394</v>
      </c>
      <c r="G717" s="29" t="s">
        <v>1964</v>
      </c>
      <c r="H717" s="30">
        <v>45120.0</v>
      </c>
      <c r="I717" s="30">
        <v>45485.0</v>
      </c>
      <c r="J717" s="31" t="s">
        <v>2395</v>
      </c>
      <c r="K717" s="26" t="s">
        <v>2368</v>
      </c>
      <c r="L717" s="32" t="s">
        <v>75</v>
      </c>
      <c r="M717" s="33">
        <v>101183.41</v>
      </c>
      <c r="N717" s="34">
        <v>107820.0</v>
      </c>
      <c r="O717" s="27" t="s">
        <v>76</v>
      </c>
      <c r="P717" s="35" t="s">
        <v>89</v>
      </c>
      <c r="Q717" s="35">
        <v>0.0</v>
      </c>
      <c r="R717" s="36" t="e">
        <v>#VALUE!</v>
      </c>
      <c r="S717" s="35" t="s">
        <v>78</v>
      </c>
      <c r="T717" s="35">
        <v>0.0</v>
      </c>
      <c r="U717" s="37" t="s">
        <v>67</v>
      </c>
      <c r="V717" s="38">
        <v>5990000.0</v>
      </c>
      <c r="W717" s="38"/>
      <c r="X717" s="27"/>
      <c r="Y717" s="39"/>
      <c r="Z717" s="79" t="s">
        <v>2396</v>
      </c>
      <c r="AA717" s="39"/>
      <c r="AB717" s="40"/>
      <c r="AC717" s="27">
        <f t="shared" si="539"/>
        <v>0</v>
      </c>
      <c r="AD717" s="41">
        <f t="shared" ref="AD717:AD721" si="562">IF(AND(S717="0",O717="Paid"),(M717*15%)-AC717,0)</f>
        <v>0</v>
      </c>
      <c r="AE717" s="42"/>
      <c r="AF717" s="27"/>
      <c r="AG717" s="43">
        <f t="shared" si="561"/>
        <v>26914.78706</v>
      </c>
      <c r="AH717" s="29">
        <v>45115.0</v>
      </c>
      <c r="AI717" s="29">
        <v>45115.0</v>
      </c>
      <c r="AJ717" s="55">
        <v>0.28</v>
      </c>
      <c r="AK717" s="29">
        <v>44993.0</v>
      </c>
      <c r="AL717" s="27"/>
      <c r="AM717" s="44"/>
      <c r="AN717" s="68"/>
      <c r="AO717" s="46"/>
      <c r="AP717" s="47"/>
      <c r="AQ717" s="43">
        <f>IF(U717="Motor Plus",(M717*27%),IF(U717="Motor One",(M717*22%),(IF(U717="Golden",(M717*25%),(IF(U717="Classic",(M717*15%),(IF(U717="Wethaq",(M717*28%),IF(U717="Alwataniya",(M717*21%))*0))))))))</f>
        <v>27319.5207</v>
      </c>
      <c r="AR717" s="43">
        <f t="shared" si="448"/>
        <v>1365.976035</v>
      </c>
      <c r="AS717" s="43">
        <f t="shared" si="449"/>
        <v>4780.916123</v>
      </c>
      <c r="AT717" s="48">
        <f t="shared" si="450"/>
        <v>21172.62854</v>
      </c>
      <c r="AU717" s="49">
        <f t="shared" ref="AU717:AU718" si="563">AQ717-AR717-AS717-AC717</f>
        <v>21172.62854</v>
      </c>
      <c r="AV717" s="48"/>
      <c r="AW717" s="34">
        <f t="shared" si="540"/>
        <v>107820</v>
      </c>
      <c r="AX717" s="50">
        <f t="shared" si="413"/>
        <v>22133.87094</v>
      </c>
      <c r="AY717" s="43"/>
      <c r="AZ717" s="47"/>
      <c r="BA717" s="48">
        <f t="shared" si="558"/>
        <v>21172.62854</v>
      </c>
      <c r="BB717" s="27"/>
      <c r="BC717" s="27"/>
      <c r="BD717" s="51"/>
      <c r="BE717" s="52"/>
      <c r="BF717" s="27" t="s">
        <v>2393</v>
      </c>
      <c r="BG717" s="58" t="s">
        <v>2397</v>
      </c>
      <c r="BH717" s="53" t="str">
        <f>'[1]2023'!Q979</f>
        <v>#REF!</v>
      </c>
      <c r="BI717" s="27"/>
      <c r="BJ717" s="27"/>
      <c r="BK717" s="27" t="s">
        <v>76</v>
      </c>
      <c r="BL717" s="27"/>
    </row>
    <row r="718" ht="14.25" customHeight="1">
      <c r="A718" s="26" t="s">
        <v>55</v>
      </c>
      <c r="B718" s="26" t="s">
        <v>56</v>
      </c>
      <c r="C718" s="26" t="s">
        <v>57</v>
      </c>
      <c r="D718" s="26" t="s">
        <v>58</v>
      </c>
      <c r="E718" s="27" t="s">
        <v>2398</v>
      </c>
      <c r="F718" s="28" t="s">
        <v>2399</v>
      </c>
      <c r="G718" s="29">
        <v>45120.0</v>
      </c>
      <c r="H718" s="30">
        <v>45120.0</v>
      </c>
      <c r="I718" s="30">
        <v>45485.0</v>
      </c>
      <c r="J718" s="31" t="s">
        <v>2400</v>
      </c>
      <c r="K718" s="26" t="s">
        <v>887</v>
      </c>
      <c r="L718" s="32" t="s">
        <v>63</v>
      </c>
      <c r="M718" s="33">
        <v>0.0</v>
      </c>
      <c r="N718" s="34">
        <v>0.0</v>
      </c>
      <c r="O718" s="27" t="s">
        <v>64</v>
      </c>
      <c r="P718" s="35">
        <v>0.0</v>
      </c>
      <c r="Q718" s="35">
        <v>0.0</v>
      </c>
      <c r="R718" s="36">
        <v>45120.0</v>
      </c>
      <c r="S718" s="35" t="s">
        <v>86</v>
      </c>
      <c r="T718" s="35">
        <v>0.0</v>
      </c>
      <c r="U718" s="37" t="s">
        <v>812</v>
      </c>
      <c r="V718" s="38"/>
      <c r="W718" s="38"/>
      <c r="X718" s="27"/>
      <c r="Y718" s="39"/>
      <c r="Z718" s="39"/>
      <c r="AA718" s="39"/>
      <c r="AB718" s="40"/>
      <c r="AC718" s="27">
        <f t="shared" si="539"/>
        <v>0</v>
      </c>
      <c r="AD718" s="41">
        <f t="shared" si="562"/>
        <v>0</v>
      </c>
      <c r="AE718" s="42"/>
      <c r="AF718" s="27"/>
      <c r="AG718" s="43">
        <f t="shared" ref="AG718:AG727" si="564">IF(O718="Paid",IF(A718="Alwataniya",(M718*21%)-((M718*21%)*5%),IF((A718="GIG"),(M718*25%)-((M718*25%)*5%),IF((A718="Allianz"),(M718*27%)-((M718*27%)*5%),0))),0)</f>
        <v>0</v>
      </c>
      <c r="AH718" s="29"/>
      <c r="AI718" s="29"/>
      <c r="AJ718" s="29"/>
      <c r="AK718" s="29"/>
      <c r="AL718" s="27"/>
      <c r="AM718" s="27"/>
      <c r="AN718" s="47"/>
      <c r="AO718" s="46"/>
      <c r="AP718" s="47"/>
      <c r="AQ718" s="43" t="b">
        <f>IF(O718="Paid",IF(U718="Motor Plus",(M718*27%),IF(U718="Motor One",(M718*22%),(IF(U718="Golden",(M718*25%),(IF(U718="Classic",(M718*15%),(IF(U718="Wethaq",(M718*28%),IF(U718="Alwataniya",(M718*21%))*0)))))))))</f>
        <v>0</v>
      </c>
      <c r="AR718" s="43">
        <f t="shared" si="448"/>
        <v>0</v>
      </c>
      <c r="AS718" s="43">
        <f t="shared" si="449"/>
        <v>0</v>
      </c>
      <c r="AT718" s="48">
        <f t="shared" si="450"/>
        <v>0</v>
      </c>
      <c r="AU718" s="49">
        <f t="shared" si="563"/>
        <v>0</v>
      </c>
      <c r="AV718" s="48"/>
      <c r="AW718" s="34">
        <f t="shared" si="540"/>
        <v>0</v>
      </c>
      <c r="AX718" s="50">
        <f t="shared" si="413"/>
        <v>0</v>
      </c>
      <c r="AY718" s="43"/>
      <c r="AZ718" s="47"/>
      <c r="BA718" s="48">
        <f t="shared" si="558"/>
        <v>0</v>
      </c>
      <c r="BB718" s="27"/>
      <c r="BC718" s="27"/>
      <c r="BD718" s="51"/>
      <c r="BE718" s="52"/>
      <c r="BF718" s="27" t="s">
        <v>2401</v>
      </c>
      <c r="BG718" s="58" t="s">
        <v>2402</v>
      </c>
      <c r="BH718" s="53" t="str">
        <f>'[1]2023'!Q1037</f>
        <v>#REF!</v>
      </c>
      <c r="BI718" s="27"/>
      <c r="BJ718" s="27"/>
      <c r="BK718" s="27" t="s">
        <v>64</v>
      </c>
      <c r="BL718" s="27"/>
    </row>
    <row r="719" ht="14.25" customHeight="1">
      <c r="A719" s="26" t="s">
        <v>55</v>
      </c>
      <c r="B719" s="26" t="s">
        <v>56</v>
      </c>
      <c r="C719" s="26" t="s">
        <v>57</v>
      </c>
      <c r="D719" s="26" t="s">
        <v>81</v>
      </c>
      <c r="E719" s="27" t="s">
        <v>2403</v>
      </c>
      <c r="F719" s="28" t="s">
        <v>2404</v>
      </c>
      <c r="G719" s="29" t="s">
        <v>1964</v>
      </c>
      <c r="H719" s="30">
        <v>45120.0</v>
      </c>
      <c r="I719" s="30">
        <v>45485.0</v>
      </c>
      <c r="J719" s="31">
        <v>0.0</v>
      </c>
      <c r="K719" s="26" t="s">
        <v>455</v>
      </c>
      <c r="L719" s="32" t="s">
        <v>480</v>
      </c>
      <c r="M719" s="33">
        <v>20625.0</v>
      </c>
      <c r="N719" s="34">
        <v>21982.88</v>
      </c>
      <c r="O719" s="27" t="s">
        <v>76</v>
      </c>
      <c r="P719" s="35" t="s">
        <v>95</v>
      </c>
      <c r="Q719" s="35">
        <v>0.0</v>
      </c>
      <c r="R719" s="36" t="e">
        <v>#VALUE!</v>
      </c>
      <c r="S719" s="35" t="s">
        <v>86</v>
      </c>
      <c r="T719" s="35">
        <v>0.0</v>
      </c>
      <c r="U719" s="37" t="s">
        <v>67</v>
      </c>
      <c r="V719" s="38"/>
      <c r="W719" s="38"/>
      <c r="X719" s="27"/>
      <c r="Y719" s="39"/>
      <c r="Z719" s="39"/>
      <c r="AA719" s="39"/>
      <c r="AB719" s="40"/>
      <c r="AC719" s="27">
        <f t="shared" si="539"/>
        <v>0</v>
      </c>
      <c r="AD719" s="41">
        <f t="shared" si="562"/>
        <v>3093.75</v>
      </c>
      <c r="AE719" s="42"/>
      <c r="AF719" s="27"/>
      <c r="AG719" s="43">
        <f t="shared" si="564"/>
        <v>5290.3125</v>
      </c>
      <c r="AH719" s="29"/>
      <c r="AI719" s="29"/>
      <c r="AJ719" s="29"/>
      <c r="AK719" s="29"/>
      <c r="AL719" s="27"/>
      <c r="AM719" s="27"/>
      <c r="AN719" s="47"/>
      <c r="AO719" s="46"/>
      <c r="AP719" s="47"/>
      <c r="AQ719" s="43">
        <f>IF(U719="Motor Plus",(M719*27%),IF(U719="Motor One",(M719*22%),(IF(U719="Golden",(M719*25%),(IF(U719="Classic",(M719*15%),(IF(U719="Wethaq",(M719*28%),IF(U719="Alwataniya",(M719*21%))*0))))))))</f>
        <v>5568.75</v>
      </c>
      <c r="AR719" s="43">
        <f t="shared" si="448"/>
        <v>278.4375</v>
      </c>
      <c r="AS719" s="43">
        <f t="shared" si="449"/>
        <v>974.53125</v>
      </c>
      <c r="AT719" s="48">
        <f t="shared" si="450"/>
        <v>4315.78125</v>
      </c>
      <c r="AU719" s="49">
        <f t="shared" ref="AU719:AU721" si="565">AQ719-AR719-AS719-AC719-AO719</f>
        <v>4315.78125</v>
      </c>
      <c r="AV719" s="48"/>
      <c r="AW719" s="34">
        <f t="shared" si="540"/>
        <v>18889.13</v>
      </c>
      <c r="AX719" s="50">
        <f t="shared" si="413"/>
        <v>1222.03125</v>
      </c>
      <c r="AY719" s="43"/>
      <c r="AZ719" s="47"/>
      <c r="BA719" s="48">
        <f t="shared" si="558"/>
        <v>4315.78125</v>
      </c>
      <c r="BB719" s="27"/>
      <c r="BC719" s="27"/>
      <c r="BD719" s="51"/>
      <c r="BE719" s="52"/>
      <c r="BF719" s="27" t="s">
        <v>2403</v>
      </c>
      <c r="BG719" s="53">
        <v>0.0</v>
      </c>
      <c r="BH719" s="53" t="str">
        <f>'[1]2023'!Q1070</f>
        <v>#REF!</v>
      </c>
      <c r="BI719" s="27"/>
      <c r="BJ719" s="27"/>
      <c r="BK719" s="27" t="s">
        <v>76</v>
      </c>
      <c r="BL719" s="27"/>
    </row>
    <row r="720" ht="14.25" customHeight="1">
      <c r="A720" s="26" t="s">
        <v>55</v>
      </c>
      <c r="B720" s="26" t="s">
        <v>56</v>
      </c>
      <c r="C720" s="26" t="s">
        <v>57</v>
      </c>
      <c r="D720" s="26" t="s">
        <v>81</v>
      </c>
      <c r="E720" s="27" t="s">
        <v>2405</v>
      </c>
      <c r="F720" s="28" t="s">
        <v>2406</v>
      </c>
      <c r="G720" s="29">
        <v>45121.0</v>
      </c>
      <c r="H720" s="30">
        <v>45121.0</v>
      </c>
      <c r="I720" s="30">
        <v>45486.0</v>
      </c>
      <c r="J720" s="31">
        <v>0.0</v>
      </c>
      <c r="K720" s="26" t="s">
        <v>887</v>
      </c>
      <c r="L720" s="32" t="s">
        <v>63</v>
      </c>
      <c r="M720" s="33">
        <v>0.0</v>
      </c>
      <c r="N720" s="34">
        <v>0.0</v>
      </c>
      <c r="O720" s="27" t="s">
        <v>64</v>
      </c>
      <c r="P720" s="35">
        <v>0.0</v>
      </c>
      <c r="Q720" s="35">
        <v>0.0</v>
      </c>
      <c r="R720" s="36">
        <v>45121.0</v>
      </c>
      <c r="S720" s="35" t="s">
        <v>86</v>
      </c>
      <c r="T720" s="35">
        <v>0.0</v>
      </c>
      <c r="U720" s="37" t="s">
        <v>157</v>
      </c>
      <c r="V720" s="38"/>
      <c r="W720" s="38"/>
      <c r="X720" s="27"/>
      <c r="Y720" s="39"/>
      <c r="Z720" s="39"/>
      <c r="AA720" s="39"/>
      <c r="AB720" s="40"/>
      <c r="AC720" s="27">
        <f t="shared" si="539"/>
        <v>0</v>
      </c>
      <c r="AD720" s="41">
        <f t="shared" si="562"/>
        <v>0</v>
      </c>
      <c r="AE720" s="42"/>
      <c r="AF720" s="27"/>
      <c r="AG720" s="43">
        <f t="shared" si="564"/>
        <v>0</v>
      </c>
      <c r="AH720" s="29"/>
      <c r="AI720" s="29"/>
      <c r="AJ720" s="29"/>
      <c r="AK720" s="29"/>
      <c r="AL720" s="27"/>
      <c r="AM720" s="27"/>
      <c r="AN720" s="47"/>
      <c r="AO720" s="46"/>
      <c r="AP720" s="47"/>
      <c r="AQ720" s="43" t="b">
        <f t="shared" ref="AQ720:AQ721" si="566">IF(O720="Paid",IF(U720="Motor Plus",(M720*27%),IF(U720="Motor One",(M720*22%),(IF(U720="Golden",(M720*25%),(IF(U720="Classic",(M720*15%),(IF(U720="Wethaq",(M720*28%),IF(U720="Alwataniya",(M720*21%))*0)))))))))</f>
        <v>0</v>
      </c>
      <c r="AR720" s="43">
        <f t="shared" si="448"/>
        <v>0</v>
      </c>
      <c r="AS720" s="43">
        <f t="shared" si="449"/>
        <v>0</v>
      </c>
      <c r="AT720" s="48">
        <f t="shared" si="450"/>
        <v>0</v>
      </c>
      <c r="AU720" s="49">
        <f t="shared" si="565"/>
        <v>0</v>
      </c>
      <c r="AV720" s="48"/>
      <c r="AW720" s="34">
        <f t="shared" si="540"/>
        <v>0</v>
      </c>
      <c r="AX720" s="50">
        <f t="shared" si="413"/>
        <v>0</v>
      </c>
      <c r="AY720" s="43"/>
      <c r="AZ720" s="43"/>
      <c r="BA720" s="48">
        <f t="shared" si="558"/>
        <v>0</v>
      </c>
      <c r="BB720" s="27"/>
      <c r="BC720" s="27"/>
      <c r="BD720" s="51"/>
      <c r="BE720" s="52"/>
      <c r="BF720" s="27" t="s">
        <v>2405</v>
      </c>
      <c r="BG720" s="53">
        <v>0.0</v>
      </c>
      <c r="BH720" s="53" t="str">
        <f>'[1]2023'!Q910</f>
        <v>#REF!</v>
      </c>
      <c r="BI720" s="27"/>
      <c r="BJ720" s="27"/>
      <c r="BK720" s="27" t="s">
        <v>64</v>
      </c>
      <c r="BL720" s="27"/>
    </row>
    <row r="721" ht="14.25" customHeight="1">
      <c r="A721" s="26" t="s">
        <v>55</v>
      </c>
      <c r="B721" s="26" t="s">
        <v>56</v>
      </c>
      <c r="C721" s="26" t="s">
        <v>57</v>
      </c>
      <c r="D721" s="26" t="s">
        <v>81</v>
      </c>
      <c r="E721" s="27" t="s">
        <v>2407</v>
      </c>
      <c r="F721" s="28" t="s">
        <v>2408</v>
      </c>
      <c r="G721" s="29">
        <v>45121.0</v>
      </c>
      <c r="H721" s="30">
        <v>45121.0</v>
      </c>
      <c r="I721" s="30">
        <v>45486.0</v>
      </c>
      <c r="J721" s="31">
        <v>0.0</v>
      </c>
      <c r="K721" s="26" t="s">
        <v>887</v>
      </c>
      <c r="L721" s="32" t="s">
        <v>63</v>
      </c>
      <c r="M721" s="33">
        <v>0.0</v>
      </c>
      <c r="N721" s="34">
        <v>0.0</v>
      </c>
      <c r="O721" s="27" t="s">
        <v>64</v>
      </c>
      <c r="P721" s="35">
        <v>0.0</v>
      </c>
      <c r="Q721" s="35">
        <v>0.0</v>
      </c>
      <c r="R721" s="36">
        <v>45121.0</v>
      </c>
      <c r="S721" s="35" t="s">
        <v>86</v>
      </c>
      <c r="T721" s="35">
        <v>0.0</v>
      </c>
      <c r="U721" s="37" t="s">
        <v>67</v>
      </c>
      <c r="V721" s="38"/>
      <c r="W721" s="38"/>
      <c r="X721" s="27"/>
      <c r="Y721" s="39"/>
      <c r="Z721" s="39"/>
      <c r="AA721" s="39"/>
      <c r="AB721" s="40"/>
      <c r="AC721" s="27">
        <f t="shared" si="539"/>
        <v>0</v>
      </c>
      <c r="AD721" s="41">
        <f t="shared" si="562"/>
        <v>0</v>
      </c>
      <c r="AE721" s="42"/>
      <c r="AF721" s="27"/>
      <c r="AG721" s="43">
        <f t="shared" si="564"/>
        <v>0</v>
      </c>
      <c r="AH721" s="29"/>
      <c r="AI721" s="29"/>
      <c r="AJ721" s="29"/>
      <c r="AK721" s="29"/>
      <c r="AL721" s="27"/>
      <c r="AM721" s="27"/>
      <c r="AN721" s="47"/>
      <c r="AO721" s="46"/>
      <c r="AP721" s="47"/>
      <c r="AQ721" s="43" t="b">
        <f t="shared" si="566"/>
        <v>0</v>
      </c>
      <c r="AR721" s="43">
        <f t="shared" si="448"/>
        <v>0</v>
      </c>
      <c r="AS721" s="43">
        <f t="shared" si="449"/>
        <v>0</v>
      </c>
      <c r="AT721" s="48">
        <f t="shared" si="450"/>
        <v>0</v>
      </c>
      <c r="AU721" s="49">
        <f t="shared" si="565"/>
        <v>0</v>
      </c>
      <c r="AV721" s="48"/>
      <c r="AW721" s="34">
        <f t="shared" si="540"/>
        <v>0</v>
      </c>
      <c r="AX721" s="50">
        <f t="shared" si="413"/>
        <v>0</v>
      </c>
      <c r="AY721" s="43"/>
      <c r="AZ721" s="43"/>
      <c r="BA721" s="48">
        <f t="shared" si="558"/>
        <v>0</v>
      </c>
      <c r="BB721" s="27"/>
      <c r="BC721" s="27"/>
      <c r="BD721" s="51"/>
      <c r="BE721" s="52"/>
      <c r="BF721" s="27" t="s">
        <v>2407</v>
      </c>
      <c r="BG721" s="53">
        <v>0.0</v>
      </c>
      <c r="BH721" s="53" t="str">
        <f>'[1]2023'!Q914</f>
        <v>#REF!</v>
      </c>
      <c r="BI721" s="27"/>
      <c r="BJ721" s="27"/>
      <c r="BK721" s="27" t="s">
        <v>64</v>
      </c>
      <c r="BL721" s="27"/>
    </row>
    <row r="722" ht="14.25" customHeight="1">
      <c r="A722" s="26" t="s">
        <v>55</v>
      </c>
      <c r="B722" s="26" t="s">
        <v>56</v>
      </c>
      <c r="C722" s="26" t="s">
        <v>57</v>
      </c>
      <c r="D722" s="26" t="s">
        <v>81</v>
      </c>
      <c r="E722" s="27" t="s">
        <v>2409</v>
      </c>
      <c r="F722" s="28" t="s">
        <v>2410</v>
      </c>
      <c r="G722" s="29" t="s">
        <v>2411</v>
      </c>
      <c r="H722" s="30">
        <v>45122.0</v>
      </c>
      <c r="I722" s="30">
        <v>45487.0</v>
      </c>
      <c r="J722" s="31">
        <v>0.0</v>
      </c>
      <c r="K722" s="26" t="s">
        <v>887</v>
      </c>
      <c r="L722" s="32" t="s">
        <v>75</v>
      </c>
      <c r="M722" s="33">
        <v>19500.0</v>
      </c>
      <c r="N722" s="34">
        <v>20791.5</v>
      </c>
      <c r="O722" s="27" t="s">
        <v>76</v>
      </c>
      <c r="P722" s="35" t="s">
        <v>430</v>
      </c>
      <c r="Q722" s="35" t="s">
        <v>65</v>
      </c>
      <c r="R722" s="36" t="e">
        <v>#VALUE!</v>
      </c>
      <c r="S722" s="35" t="s">
        <v>78</v>
      </c>
      <c r="T722" s="54" t="s">
        <v>604</v>
      </c>
      <c r="U722" s="37" t="s">
        <v>67</v>
      </c>
      <c r="V722" s="38"/>
      <c r="W722" s="38"/>
      <c r="X722" s="27"/>
      <c r="Y722" s="39"/>
      <c r="Z722" s="39"/>
      <c r="AA722" s="39"/>
      <c r="AB722" s="40"/>
      <c r="AC722" s="27">
        <f t="shared" si="539"/>
        <v>0</v>
      </c>
      <c r="AD722" s="41"/>
      <c r="AE722" s="42"/>
      <c r="AF722" s="27"/>
      <c r="AG722" s="43">
        <f t="shared" si="564"/>
        <v>5001.75</v>
      </c>
      <c r="AH722" s="29"/>
      <c r="AI722" s="29"/>
      <c r="AJ722" s="55">
        <v>0.17</v>
      </c>
      <c r="AK722" s="29"/>
      <c r="AL722" s="27"/>
      <c r="AM722" s="27"/>
      <c r="AN722" s="47"/>
      <c r="AO722" s="46">
        <f>M722*10%</f>
        <v>1950</v>
      </c>
      <c r="AP722" s="63" t="s">
        <v>886</v>
      </c>
      <c r="AQ722" s="43">
        <f t="shared" ref="AQ722:AQ732" si="567">IF(U722="Motor Plus",(M722*27%),IF(U722="Motor One",(M722*22%),(IF(U722="Golden",(M722*25%),(IF(U722="Classic",(M722*15%),(IF(U722="Wethaq",(M722*28%),IF(U722="Alwataniya",(M722*21%))*0))))))))</f>
        <v>5265</v>
      </c>
      <c r="AR722" s="43">
        <f t="shared" si="448"/>
        <v>263.25</v>
      </c>
      <c r="AS722" s="43">
        <f t="shared" si="449"/>
        <v>921.375</v>
      </c>
      <c r="AT722" s="48">
        <f t="shared" si="450"/>
        <v>4080.375</v>
      </c>
      <c r="AU722" s="49">
        <f t="shared" ref="AU722:AU732" si="568">AQ722-AR722-AS722-AC722</f>
        <v>4080.375</v>
      </c>
      <c r="AV722" s="48"/>
      <c r="AW722" s="34">
        <f t="shared" si="540"/>
        <v>20791.5</v>
      </c>
      <c r="AX722" s="50">
        <f t="shared" si="413"/>
        <v>2130.375</v>
      </c>
      <c r="AY722" s="43"/>
      <c r="AZ722" s="47"/>
      <c r="BA722" s="48">
        <f t="shared" si="558"/>
        <v>2130.375</v>
      </c>
      <c r="BB722" s="27"/>
      <c r="BC722" s="27"/>
      <c r="BD722" s="51"/>
      <c r="BE722" s="52"/>
      <c r="BF722" s="27" t="s">
        <v>2409</v>
      </c>
      <c r="BG722" s="58" t="s">
        <v>2412</v>
      </c>
      <c r="BH722" s="53" t="str">
        <f>'[1]2023'!Q993</f>
        <v>#REF!</v>
      </c>
      <c r="BI722" s="27"/>
      <c r="BJ722" s="27"/>
      <c r="BK722" s="27" t="s">
        <v>76</v>
      </c>
      <c r="BL722" s="64" t="s">
        <v>2413</v>
      </c>
    </row>
    <row r="723" ht="14.25" customHeight="1">
      <c r="A723" s="26" t="s">
        <v>55</v>
      </c>
      <c r="B723" s="26" t="s">
        <v>56</v>
      </c>
      <c r="C723" s="26" t="s">
        <v>57</v>
      </c>
      <c r="D723" s="26" t="s">
        <v>81</v>
      </c>
      <c r="E723" s="27" t="s">
        <v>2414</v>
      </c>
      <c r="F723" s="28" t="s">
        <v>2415</v>
      </c>
      <c r="G723" s="29" t="s">
        <v>2411</v>
      </c>
      <c r="H723" s="30">
        <v>45122.0</v>
      </c>
      <c r="I723" s="30">
        <v>45487.0</v>
      </c>
      <c r="J723" s="31">
        <v>0.0</v>
      </c>
      <c r="K723" s="26" t="s">
        <v>887</v>
      </c>
      <c r="L723" s="102">
        <v>45177.0</v>
      </c>
      <c r="M723" s="33">
        <v>31687.5</v>
      </c>
      <c r="N723" s="34">
        <v>33699.08</v>
      </c>
      <c r="O723" s="27" t="s">
        <v>76</v>
      </c>
      <c r="P723" s="35" t="s">
        <v>430</v>
      </c>
      <c r="Q723" s="35" t="s">
        <v>108</v>
      </c>
      <c r="R723" s="36" t="e">
        <v>#VALUE!</v>
      </c>
      <c r="S723" s="35" t="s">
        <v>86</v>
      </c>
      <c r="T723" s="35">
        <v>0.0</v>
      </c>
      <c r="U723" s="37" t="s">
        <v>67</v>
      </c>
      <c r="V723" s="38"/>
      <c r="W723" s="38"/>
      <c r="X723" s="27"/>
      <c r="Y723" s="39"/>
      <c r="Z723" s="39"/>
      <c r="AA723" s="39"/>
      <c r="AB723" s="27"/>
      <c r="AC723" s="27">
        <f t="shared" si="539"/>
        <v>0</v>
      </c>
      <c r="AD723" s="41">
        <f>IF(AND(S723="0",O723="Paid"),(M723*15%)-AC723,0)</f>
        <v>4753.125</v>
      </c>
      <c r="AE723" s="42"/>
      <c r="AF723" s="27" t="s">
        <v>1980</v>
      </c>
      <c r="AG723" s="43">
        <f t="shared" si="564"/>
        <v>8127.84375</v>
      </c>
      <c r="AH723" s="29"/>
      <c r="AI723" s="29"/>
      <c r="AJ723" s="29"/>
      <c r="AK723" s="29"/>
      <c r="AL723" s="27"/>
      <c r="AM723" s="27"/>
      <c r="AN723" s="47"/>
      <c r="AO723" s="46"/>
      <c r="AP723" s="47"/>
      <c r="AQ723" s="43">
        <f t="shared" si="567"/>
        <v>8555.625</v>
      </c>
      <c r="AR723" s="43">
        <f t="shared" si="448"/>
        <v>427.78125</v>
      </c>
      <c r="AS723" s="43">
        <f t="shared" si="449"/>
        <v>1497.234375</v>
      </c>
      <c r="AT723" s="48">
        <f t="shared" si="450"/>
        <v>6630.609375</v>
      </c>
      <c r="AU723" s="49">
        <f t="shared" si="568"/>
        <v>6630.609375</v>
      </c>
      <c r="AV723" s="48"/>
      <c r="AW723" s="34">
        <f t="shared" si="540"/>
        <v>28945.955</v>
      </c>
      <c r="AX723" s="50">
        <f t="shared" si="413"/>
        <v>1877.484375</v>
      </c>
      <c r="AY723" s="43"/>
      <c r="AZ723" s="47"/>
      <c r="BA723" s="48">
        <f t="shared" si="558"/>
        <v>6630.609375</v>
      </c>
      <c r="BB723" s="27"/>
      <c r="BC723" s="27"/>
      <c r="BD723" s="51"/>
      <c r="BE723" s="52"/>
      <c r="BF723" s="27" t="s">
        <v>2414</v>
      </c>
      <c r="BG723" s="53">
        <v>0.0</v>
      </c>
      <c r="BH723" s="53" t="str">
        <f>'[1]2023'!Q1092</f>
        <v>#REF!</v>
      </c>
      <c r="BI723" s="27"/>
      <c r="BJ723" s="27"/>
      <c r="BK723" s="27" t="s">
        <v>76</v>
      </c>
      <c r="BL723" s="27"/>
    </row>
    <row r="724" ht="14.25" customHeight="1">
      <c r="A724" s="26" t="s">
        <v>55</v>
      </c>
      <c r="B724" s="26" t="s">
        <v>56</v>
      </c>
      <c r="C724" s="26" t="s">
        <v>57</v>
      </c>
      <c r="D724" s="26" t="s">
        <v>58</v>
      </c>
      <c r="E724" s="27" t="s">
        <v>2416</v>
      </c>
      <c r="F724" s="28" t="s">
        <v>2417</v>
      </c>
      <c r="G724" s="29" t="s">
        <v>2418</v>
      </c>
      <c r="H724" s="30">
        <v>45123.0</v>
      </c>
      <c r="I724" s="30">
        <v>45488.0</v>
      </c>
      <c r="J724" s="31">
        <v>0.0</v>
      </c>
      <c r="K724" s="26" t="s">
        <v>440</v>
      </c>
      <c r="L724" s="73" t="s">
        <v>75</v>
      </c>
      <c r="M724" s="33">
        <v>2448.38</v>
      </c>
      <c r="N724" s="34">
        <v>2592.84</v>
      </c>
      <c r="O724" s="27" t="s">
        <v>76</v>
      </c>
      <c r="P724" s="35" t="s">
        <v>89</v>
      </c>
      <c r="Q724" s="35" t="s">
        <v>108</v>
      </c>
      <c r="R724" s="36" t="e">
        <v>#VALUE!</v>
      </c>
      <c r="S724" s="35" t="s">
        <v>86</v>
      </c>
      <c r="T724" s="35">
        <v>0.0</v>
      </c>
      <c r="U724" s="37" t="s">
        <v>67</v>
      </c>
      <c r="V724" s="38"/>
      <c r="W724" s="38"/>
      <c r="X724" s="27"/>
      <c r="Y724" s="39"/>
      <c r="Z724" s="39"/>
      <c r="AA724" s="39"/>
      <c r="AB724" s="40"/>
      <c r="AC724" s="27">
        <f t="shared" si="539"/>
        <v>0</v>
      </c>
      <c r="AD724" s="41">
        <f>IF(AND(S724="0",O724="Paid"),M724*15%,0)</f>
        <v>367.257</v>
      </c>
      <c r="AE724" s="42"/>
      <c r="AF724" s="77"/>
      <c r="AG724" s="43">
        <f t="shared" si="564"/>
        <v>628.00947</v>
      </c>
      <c r="AH724" s="29"/>
      <c r="AI724" s="29"/>
      <c r="AJ724" s="29"/>
      <c r="AK724" s="29"/>
      <c r="AL724" s="27"/>
      <c r="AM724" s="27"/>
      <c r="AN724" s="63"/>
      <c r="AO724" s="46"/>
      <c r="AP724" s="47"/>
      <c r="AQ724" s="43">
        <f t="shared" si="567"/>
        <v>661.0626</v>
      </c>
      <c r="AR724" s="43">
        <f t="shared" si="448"/>
        <v>33.05313</v>
      </c>
      <c r="AS724" s="43">
        <f t="shared" si="449"/>
        <v>115.685955</v>
      </c>
      <c r="AT724" s="48">
        <f t="shared" si="450"/>
        <v>512.323515</v>
      </c>
      <c r="AU724" s="49">
        <f t="shared" si="568"/>
        <v>512.323515</v>
      </c>
      <c r="AV724" s="48"/>
      <c r="AW724" s="34">
        <f t="shared" si="540"/>
        <v>2225.583</v>
      </c>
      <c r="AX724" s="50">
        <f t="shared" si="413"/>
        <v>145.066515</v>
      </c>
      <c r="AY724" s="43"/>
      <c r="AZ724" s="43"/>
      <c r="BA724" s="48">
        <f t="shared" si="558"/>
        <v>512.323515</v>
      </c>
      <c r="BB724" s="27"/>
      <c r="BC724" s="27"/>
      <c r="BD724" s="51"/>
      <c r="BE724" s="52"/>
      <c r="BF724" s="27" t="s">
        <v>2416</v>
      </c>
      <c r="BG724" s="53">
        <v>0.0</v>
      </c>
      <c r="BH724" s="53" t="str">
        <f>'[1]2023'!Q806</f>
        <v>#REF!</v>
      </c>
      <c r="BI724" s="27"/>
      <c r="BJ724" s="27"/>
      <c r="BK724" s="27" t="s">
        <v>76</v>
      </c>
      <c r="BL724" s="27"/>
    </row>
    <row r="725" ht="14.25" customHeight="1">
      <c r="A725" s="26" t="s">
        <v>55</v>
      </c>
      <c r="B725" s="26" t="s">
        <v>56</v>
      </c>
      <c r="C725" s="26" t="s">
        <v>57</v>
      </c>
      <c r="D725" s="26" t="s">
        <v>81</v>
      </c>
      <c r="E725" s="27" t="s">
        <v>2419</v>
      </c>
      <c r="F725" s="28" t="s">
        <v>2417</v>
      </c>
      <c r="G725" s="29" t="s">
        <v>2418</v>
      </c>
      <c r="H725" s="30">
        <v>45123.0</v>
      </c>
      <c r="I725" s="30">
        <v>45488.0</v>
      </c>
      <c r="J725" s="31">
        <v>0.0</v>
      </c>
      <c r="K725" s="26" t="s">
        <v>887</v>
      </c>
      <c r="L725" s="32" t="s">
        <v>75</v>
      </c>
      <c r="M725" s="33">
        <v>36575.0</v>
      </c>
      <c r="N725" s="34">
        <v>38874.93</v>
      </c>
      <c r="O725" s="27" t="s">
        <v>76</v>
      </c>
      <c r="P725" s="35" t="s">
        <v>89</v>
      </c>
      <c r="Q725" s="35" t="s">
        <v>108</v>
      </c>
      <c r="R725" s="36" t="e">
        <v>#VALUE!</v>
      </c>
      <c r="S725" s="35" t="s">
        <v>86</v>
      </c>
      <c r="T725" s="35">
        <v>0.0</v>
      </c>
      <c r="U725" s="37" t="s">
        <v>67</v>
      </c>
      <c r="V725" s="38"/>
      <c r="W725" s="38"/>
      <c r="X725" s="27"/>
      <c r="Y725" s="39"/>
      <c r="Z725" s="39"/>
      <c r="AA725" s="39"/>
      <c r="AB725" s="40"/>
      <c r="AC725" s="27">
        <f t="shared" si="539"/>
        <v>0</v>
      </c>
      <c r="AD725" s="41">
        <f t="shared" ref="AD725:AD737" si="569">IF(AND(S725="0",O725="Paid"),(M725*15%)-AC725,0)</f>
        <v>5486.25</v>
      </c>
      <c r="AE725" s="42"/>
      <c r="AF725" s="27" t="s">
        <v>2099</v>
      </c>
      <c r="AG725" s="43">
        <f t="shared" si="564"/>
        <v>9381.4875</v>
      </c>
      <c r="AH725" s="29"/>
      <c r="AI725" s="29"/>
      <c r="AJ725" s="29"/>
      <c r="AK725" s="29"/>
      <c r="AL725" s="27"/>
      <c r="AM725" s="27"/>
      <c r="AN725" s="63"/>
      <c r="AO725" s="46"/>
      <c r="AP725" s="47"/>
      <c r="AQ725" s="43">
        <f t="shared" si="567"/>
        <v>9875.25</v>
      </c>
      <c r="AR725" s="43">
        <f t="shared" si="448"/>
        <v>493.7625</v>
      </c>
      <c r="AS725" s="43">
        <f t="shared" si="449"/>
        <v>1728.16875</v>
      </c>
      <c r="AT725" s="48">
        <f t="shared" si="450"/>
        <v>7653.31875</v>
      </c>
      <c r="AU725" s="49">
        <f t="shared" si="568"/>
        <v>7653.31875</v>
      </c>
      <c r="AV725" s="48"/>
      <c r="AW725" s="34">
        <f t="shared" si="540"/>
        <v>33388.68</v>
      </c>
      <c r="AX725" s="50">
        <f t="shared" si="413"/>
        <v>2167.06875</v>
      </c>
      <c r="AY725" s="43"/>
      <c r="AZ725" s="43"/>
      <c r="BA725" s="48">
        <f t="shared" si="558"/>
        <v>7653.31875</v>
      </c>
      <c r="BB725" s="27"/>
      <c r="BC725" s="27"/>
      <c r="BD725" s="51"/>
      <c r="BE725" s="52"/>
      <c r="BF725" s="27" t="s">
        <v>2419</v>
      </c>
      <c r="BG725" s="53">
        <v>0.0</v>
      </c>
      <c r="BH725" s="53" t="str">
        <f>'[1]2023'!Q867</f>
        <v>#REF!</v>
      </c>
      <c r="BI725" s="27"/>
      <c r="BJ725" s="27"/>
      <c r="BK725" s="27" t="s">
        <v>76</v>
      </c>
      <c r="BL725" s="27"/>
    </row>
    <row r="726" ht="14.25" customHeight="1">
      <c r="A726" s="26" t="s">
        <v>55</v>
      </c>
      <c r="B726" s="26" t="s">
        <v>56</v>
      </c>
      <c r="C726" s="26" t="s">
        <v>57</v>
      </c>
      <c r="D726" s="26" t="s">
        <v>81</v>
      </c>
      <c r="E726" s="27" t="s">
        <v>2420</v>
      </c>
      <c r="F726" s="28" t="s">
        <v>2421</v>
      </c>
      <c r="G726" s="29" t="s">
        <v>2418</v>
      </c>
      <c r="H726" s="30">
        <v>45123.0</v>
      </c>
      <c r="I726" s="30">
        <v>45488.0</v>
      </c>
      <c r="J726" s="31">
        <v>0.0</v>
      </c>
      <c r="K726" s="26" t="s">
        <v>887</v>
      </c>
      <c r="L726" s="73" t="s">
        <v>483</v>
      </c>
      <c r="M726" s="33">
        <v>23010.0</v>
      </c>
      <c r="N726" s="34">
        <v>24508.59</v>
      </c>
      <c r="O726" s="27" t="s">
        <v>76</v>
      </c>
      <c r="P726" s="35" t="s">
        <v>142</v>
      </c>
      <c r="Q726" s="35" t="s">
        <v>90</v>
      </c>
      <c r="R726" s="36" t="e">
        <v>#VALUE!</v>
      </c>
      <c r="S726" s="35" t="s">
        <v>86</v>
      </c>
      <c r="T726" s="35">
        <v>0.0</v>
      </c>
      <c r="U726" s="37" t="s">
        <v>67</v>
      </c>
      <c r="V726" s="38"/>
      <c r="W726" s="38"/>
      <c r="X726" s="27"/>
      <c r="Y726" s="39"/>
      <c r="Z726" s="79" t="s">
        <v>208</v>
      </c>
      <c r="AA726" s="39"/>
      <c r="AB726" s="40"/>
      <c r="AC726" s="27">
        <f t="shared" si="539"/>
        <v>0</v>
      </c>
      <c r="AD726" s="41">
        <f t="shared" si="569"/>
        <v>3451.5</v>
      </c>
      <c r="AE726" s="42"/>
      <c r="AF726" s="29" t="s">
        <v>483</v>
      </c>
      <c r="AG726" s="43">
        <f t="shared" si="564"/>
        <v>5902.065</v>
      </c>
      <c r="AH726" s="29"/>
      <c r="AI726" s="29"/>
      <c r="AJ726" s="29"/>
      <c r="AK726" s="29"/>
      <c r="AL726" s="27"/>
      <c r="AM726" s="27"/>
      <c r="AN726" s="47"/>
      <c r="AO726" s="46"/>
      <c r="AP726" s="47"/>
      <c r="AQ726" s="43">
        <f t="shared" si="567"/>
        <v>6212.7</v>
      </c>
      <c r="AR726" s="43">
        <f t="shared" si="448"/>
        <v>310.635</v>
      </c>
      <c r="AS726" s="43">
        <f t="shared" si="449"/>
        <v>1087.2225</v>
      </c>
      <c r="AT726" s="48">
        <f t="shared" si="450"/>
        <v>4814.8425</v>
      </c>
      <c r="AU726" s="49">
        <f t="shared" si="568"/>
        <v>4814.8425</v>
      </c>
      <c r="AV726" s="48"/>
      <c r="AW726" s="34">
        <f t="shared" si="540"/>
        <v>21057.09</v>
      </c>
      <c r="AX726" s="50">
        <f t="shared" si="413"/>
        <v>1363.3425</v>
      </c>
      <c r="AY726" s="43"/>
      <c r="AZ726" s="43"/>
      <c r="BA726" s="48">
        <f t="shared" si="558"/>
        <v>4814.8425</v>
      </c>
      <c r="BB726" s="27"/>
      <c r="BC726" s="27"/>
      <c r="BD726" s="51"/>
      <c r="BE726" s="52"/>
      <c r="BF726" s="27" t="s">
        <v>2420</v>
      </c>
      <c r="BG726" s="53">
        <v>0.0</v>
      </c>
      <c r="BH726" s="53" t="str">
        <f>'[1]2023'!Q926</f>
        <v>#REF!</v>
      </c>
      <c r="BI726" s="27"/>
      <c r="BJ726" s="27"/>
      <c r="BK726" s="27" t="s">
        <v>76</v>
      </c>
      <c r="BL726" s="27"/>
    </row>
    <row r="727" ht="14.25" customHeight="1">
      <c r="A727" s="26" t="s">
        <v>55</v>
      </c>
      <c r="B727" s="26" t="s">
        <v>56</v>
      </c>
      <c r="C727" s="26" t="s">
        <v>57</v>
      </c>
      <c r="D727" s="26" t="s">
        <v>81</v>
      </c>
      <c r="E727" s="27" t="s">
        <v>2422</v>
      </c>
      <c r="F727" s="28" t="s">
        <v>2423</v>
      </c>
      <c r="G727" s="29" t="s">
        <v>2418</v>
      </c>
      <c r="H727" s="30">
        <v>45123.0</v>
      </c>
      <c r="I727" s="30">
        <v>45488.0</v>
      </c>
      <c r="J727" s="31">
        <v>0.0</v>
      </c>
      <c r="K727" s="26" t="s">
        <v>887</v>
      </c>
      <c r="L727" s="32" t="s">
        <v>75</v>
      </c>
      <c r="M727" s="33">
        <v>23010.0</v>
      </c>
      <c r="N727" s="34">
        <v>24508.59</v>
      </c>
      <c r="O727" s="27" t="s">
        <v>76</v>
      </c>
      <c r="P727" s="35" t="s">
        <v>89</v>
      </c>
      <c r="Q727" s="35" t="s">
        <v>85</v>
      </c>
      <c r="R727" s="36" t="e">
        <v>#VALUE!</v>
      </c>
      <c r="S727" s="35" t="s">
        <v>86</v>
      </c>
      <c r="T727" s="35">
        <v>0.0</v>
      </c>
      <c r="U727" s="37" t="s">
        <v>67</v>
      </c>
      <c r="V727" s="38"/>
      <c r="W727" s="38"/>
      <c r="X727" s="27"/>
      <c r="Y727" s="39"/>
      <c r="Z727" s="39"/>
      <c r="AA727" s="39"/>
      <c r="AB727" s="40"/>
      <c r="AC727" s="27">
        <f t="shared" si="539"/>
        <v>0</v>
      </c>
      <c r="AD727" s="41">
        <f t="shared" si="569"/>
        <v>3451.5</v>
      </c>
      <c r="AE727" s="42"/>
      <c r="AF727" s="29">
        <v>45115.0</v>
      </c>
      <c r="AG727" s="43">
        <f t="shared" si="564"/>
        <v>5902.065</v>
      </c>
      <c r="AH727" s="29"/>
      <c r="AI727" s="29"/>
      <c r="AJ727" s="29"/>
      <c r="AK727" s="29"/>
      <c r="AL727" s="27"/>
      <c r="AM727" s="44"/>
      <c r="AN727" s="68"/>
      <c r="AO727" s="46">
        <f>IF(T727&lt;&gt;0,M727*15%,0)</f>
        <v>0</v>
      </c>
      <c r="AP727" s="47"/>
      <c r="AQ727" s="43">
        <f t="shared" si="567"/>
        <v>6212.7</v>
      </c>
      <c r="AR727" s="43">
        <f t="shared" si="448"/>
        <v>310.635</v>
      </c>
      <c r="AS727" s="43">
        <f t="shared" si="449"/>
        <v>1087.2225</v>
      </c>
      <c r="AT727" s="48">
        <f t="shared" si="450"/>
        <v>4814.8425</v>
      </c>
      <c r="AU727" s="49">
        <f t="shared" si="568"/>
        <v>4814.8425</v>
      </c>
      <c r="AV727" s="48"/>
      <c r="AW727" s="34">
        <f t="shared" si="540"/>
        <v>21057.09</v>
      </c>
      <c r="AX727" s="50">
        <f t="shared" si="413"/>
        <v>1363.3425</v>
      </c>
      <c r="AY727" s="43">
        <f>IF(T727&lt;&gt;0,(AU727-AO727),0)*30%</f>
        <v>0</v>
      </c>
      <c r="AZ727" s="43"/>
      <c r="BA727" s="48">
        <f t="shared" si="558"/>
        <v>4814.8425</v>
      </c>
      <c r="BB727" s="27"/>
      <c r="BC727" s="27"/>
      <c r="BD727" s="51"/>
      <c r="BE727" s="52"/>
      <c r="BF727" s="27" t="s">
        <v>2422</v>
      </c>
      <c r="BG727" s="53">
        <v>0.0</v>
      </c>
      <c r="BH727" s="53" t="str">
        <f>'[1]2023'!Q935</f>
        <v>#REF!</v>
      </c>
      <c r="BI727" s="27"/>
      <c r="BJ727" s="27"/>
      <c r="BK727" s="27" t="s">
        <v>76</v>
      </c>
      <c r="BL727" s="27"/>
    </row>
    <row r="728" ht="14.25" customHeight="1">
      <c r="A728" s="26" t="s">
        <v>111</v>
      </c>
      <c r="B728" s="26" t="s">
        <v>56</v>
      </c>
      <c r="C728" s="26" t="s">
        <v>57</v>
      </c>
      <c r="D728" s="26" t="s">
        <v>71</v>
      </c>
      <c r="E728" s="27" t="s">
        <v>2424</v>
      </c>
      <c r="F728" s="28" t="s">
        <v>2425</v>
      </c>
      <c r="G728" s="29" t="s">
        <v>2418</v>
      </c>
      <c r="H728" s="30">
        <v>45123.0</v>
      </c>
      <c r="I728" s="30">
        <v>45488.0</v>
      </c>
      <c r="J728" s="31" t="s">
        <v>2426</v>
      </c>
      <c r="K728" s="26" t="s">
        <v>887</v>
      </c>
      <c r="L728" s="32" t="s">
        <v>2427</v>
      </c>
      <c r="M728" s="33">
        <v>15055.64</v>
      </c>
      <c r="N728" s="34">
        <v>16275.0</v>
      </c>
      <c r="O728" s="27" t="s">
        <v>76</v>
      </c>
      <c r="P728" s="35" t="s">
        <v>89</v>
      </c>
      <c r="Q728" s="35" t="s">
        <v>114</v>
      </c>
      <c r="R728" s="36" t="e">
        <v>#VALUE!</v>
      </c>
      <c r="S728" s="35" t="s">
        <v>66</v>
      </c>
      <c r="T728" s="35">
        <v>0.0</v>
      </c>
      <c r="U728" s="37" t="s">
        <v>149</v>
      </c>
      <c r="V728" s="38">
        <v>750000.0</v>
      </c>
      <c r="W728" s="38"/>
      <c r="X728" s="27"/>
      <c r="Y728" s="39"/>
      <c r="Z728" s="79" t="s">
        <v>2428</v>
      </c>
      <c r="AA728" s="39"/>
      <c r="AB728" s="40"/>
      <c r="AC728" s="27">
        <f t="shared" si="539"/>
        <v>0</v>
      </c>
      <c r="AD728" s="41">
        <f t="shared" si="569"/>
        <v>0</v>
      </c>
      <c r="AE728" s="42"/>
      <c r="AF728" s="27"/>
      <c r="AG728" s="43">
        <f>IF(O728="Paid",IF(A728="Alwataniya",(M728*21%)-((M728*21%)*5%),IF((A728="GIG"),(M728*15%)-((M728*15%)*5%),IF((A728="Allianz"),(M728*27%)-((M728*27%)*20%),0))),0)</f>
        <v>2145.4287</v>
      </c>
      <c r="AH728" s="29" t="s">
        <v>2017</v>
      </c>
      <c r="AI728" s="29">
        <v>45177.0</v>
      </c>
      <c r="AJ728" s="55"/>
      <c r="AK728" s="29" t="s">
        <v>922</v>
      </c>
      <c r="AL728" s="27"/>
      <c r="AM728" s="46">
        <f>((M728*15%)-AC728-((M728*15%)*22.5%))*30%</f>
        <v>525.065445</v>
      </c>
      <c r="AN728" s="45" t="s">
        <v>1730</v>
      </c>
      <c r="AO728" s="46"/>
      <c r="AP728" s="47"/>
      <c r="AQ728" s="43">
        <f t="shared" si="567"/>
        <v>2258.346</v>
      </c>
      <c r="AR728" s="43">
        <f t="shared" si="448"/>
        <v>112.9173</v>
      </c>
      <c r="AS728" s="43">
        <f t="shared" si="449"/>
        <v>395.21055</v>
      </c>
      <c r="AT728" s="48">
        <f t="shared" si="450"/>
        <v>1750.21815</v>
      </c>
      <c r="AU728" s="49">
        <f t="shared" si="568"/>
        <v>1750.21815</v>
      </c>
      <c r="AV728" s="48"/>
      <c r="AW728" s="34">
        <f t="shared" si="540"/>
        <v>16275</v>
      </c>
      <c r="AX728" s="50">
        <f t="shared" si="413"/>
        <v>1225.152705</v>
      </c>
      <c r="AY728" s="43"/>
      <c r="AZ728" s="47"/>
      <c r="BA728" s="48">
        <f t="shared" si="558"/>
        <v>1225.152705</v>
      </c>
      <c r="BB728" s="27"/>
      <c r="BC728" s="27"/>
      <c r="BD728" s="51"/>
      <c r="BE728" s="52"/>
      <c r="BF728" s="27" t="s">
        <v>2429</v>
      </c>
      <c r="BG728" s="58" t="s">
        <v>2430</v>
      </c>
      <c r="BH728" s="53" t="str">
        <f>'[1]2023'!Q972</f>
        <v>#REF!</v>
      </c>
      <c r="BI728" s="27"/>
      <c r="BJ728" s="27"/>
      <c r="BK728" s="27" t="s">
        <v>76</v>
      </c>
      <c r="BL728" s="27"/>
    </row>
    <row r="729" ht="14.25" customHeight="1">
      <c r="A729" s="26" t="s">
        <v>68</v>
      </c>
      <c r="B729" s="26" t="s">
        <v>56</v>
      </c>
      <c r="C729" s="26" t="s">
        <v>57</v>
      </c>
      <c r="D729" s="26" t="s">
        <v>71</v>
      </c>
      <c r="E729" s="27" t="s">
        <v>2431</v>
      </c>
      <c r="F729" s="28" t="s">
        <v>2432</v>
      </c>
      <c r="G729" s="29" t="s">
        <v>2418</v>
      </c>
      <c r="H729" s="30">
        <v>45123.0</v>
      </c>
      <c r="I729" s="30">
        <v>45488.0</v>
      </c>
      <c r="J729" s="31" t="s">
        <v>2433</v>
      </c>
      <c r="K729" s="26" t="s">
        <v>887</v>
      </c>
      <c r="L729" s="69">
        <v>45126.0</v>
      </c>
      <c r="M729" s="33">
        <v>22558.03</v>
      </c>
      <c r="N729" s="34">
        <v>24200.0</v>
      </c>
      <c r="O729" s="27" t="s">
        <v>76</v>
      </c>
      <c r="P729" s="35" t="s">
        <v>430</v>
      </c>
      <c r="Q729" s="35">
        <v>0.0</v>
      </c>
      <c r="R729" s="36" t="e">
        <v>#VALUE!</v>
      </c>
      <c r="S729" s="35" t="s">
        <v>676</v>
      </c>
      <c r="T729" s="35">
        <v>0.0</v>
      </c>
      <c r="U729" s="37" t="s">
        <v>68</v>
      </c>
      <c r="V729" s="38">
        <v>1000000.0</v>
      </c>
      <c r="W729" s="38"/>
      <c r="X729" s="27"/>
      <c r="Y729" s="39"/>
      <c r="Z729" s="79" t="s">
        <v>1753</v>
      </c>
      <c r="AA729" s="39"/>
      <c r="AB729" s="40"/>
      <c r="AC729" s="27">
        <f t="shared" si="539"/>
        <v>0</v>
      </c>
      <c r="AD729" s="41">
        <f t="shared" si="569"/>
        <v>0</v>
      </c>
      <c r="AE729" s="42"/>
      <c r="AF729" s="27"/>
      <c r="AG729" s="43">
        <f>IF(O729="Paid",IF(A729="Wethaq",(M729*28.46%)-((M729*28.46%)*5%)))</f>
        <v>6099.014571</v>
      </c>
      <c r="AH729" s="29">
        <v>45115.0</v>
      </c>
      <c r="AI729" s="29">
        <v>45177.0</v>
      </c>
      <c r="AJ729" s="40">
        <v>0.2846</v>
      </c>
      <c r="AK729" s="29">
        <v>45115.0</v>
      </c>
      <c r="AL729" s="27"/>
      <c r="AM729" s="27">
        <f>IF((BD729&lt;=2),AU729*10%,(IF((BD729&lt;=3),AU729*20%,IF((BD729&lt;=4),AU729*20%,IF((BD729&gt;=5),AU729*30%,0)))))</f>
        <v>489.509251</v>
      </c>
      <c r="AN729" s="63" t="s">
        <v>886</v>
      </c>
      <c r="AO729" s="46"/>
      <c r="AP729" s="47"/>
      <c r="AQ729" s="43">
        <f t="shared" si="567"/>
        <v>6316.2484</v>
      </c>
      <c r="AR729" s="43">
        <f t="shared" si="448"/>
        <v>315.81242</v>
      </c>
      <c r="AS729" s="43">
        <f t="shared" si="449"/>
        <v>1105.34347</v>
      </c>
      <c r="AT729" s="48">
        <f t="shared" si="450"/>
        <v>4895.09251</v>
      </c>
      <c r="AU729" s="49">
        <f t="shared" si="568"/>
        <v>4895.09251</v>
      </c>
      <c r="AV729" s="134">
        <v>440.0</v>
      </c>
      <c r="AW729" s="34">
        <f t="shared" si="540"/>
        <v>24200</v>
      </c>
      <c r="AX729" s="50">
        <f t="shared" si="413"/>
        <v>4064.16185</v>
      </c>
      <c r="AY729" s="43"/>
      <c r="AZ729" s="47"/>
      <c r="BA729" s="48">
        <f t="shared" si="558"/>
        <v>4405.583259</v>
      </c>
      <c r="BB729" s="27"/>
      <c r="BC729" s="27"/>
      <c r="BD729" s="51"/>
      <c r="BE729" s="52" t="s">
        <v>887</v>
      </c>
      <c r="BF729" s="27" t="s">
        <v>2431</v>
      </c>
      <c r="BG729" s="58" t="s">
        <v>562</v>
      </c>
      <c r="BH729" s="53" t="str">
        <f>'[1]2023'!Q985</f>
        <v>#REF!</v>
      </c>
      <c r="BI729" s="27"/>
      <c r="BJ729" s="27"/>
      <c r="BK729" s="27" t="s">
        <v>76</v>
      </c>
      <c r="BL729" s="27"/>
    </row>
    <row r="730" ht="14.25" customHeight="1">
      <c r="A730" s="26" t="s">
        <v>55</v>
      </c>
      <c r="B730" s="26" t="s">
        <v>56</v>
      </c>
      <c r="C730" s="26" t="s">
        <v>57</v>
      </c>
      <c r="D730" s="26" t="s">
        <v>71</v>
      </c>
      <c r="E730" s="27" t="s">
        <v>2434</v>
      </c>
      <c r="F730" s="28" t="s">
        <v>2435</v>
      </c>
      <c r="G730" s="29" t="s">
        <v>2418</v>
      </c>
      <c r="H730" s="30">
        <v>45123.0</v>
      </c>
      <c r="I730" s="30">
        <v>45488.0</v>
      </c>
      <c r="J730" s="31" t="s">
        <v>2436</v>
      </c>
      <c r="K730" s="26" t="s">
        <v>887</v>
      </c>
      <c r="L730" s="32" t="s">
        <v>480</v>
      </c>
      <c r="M730" s="33">
        <v>99000.0</v>
      </c>
      <c r="N730" s="34">
        <v>104986.0</v>
      </c>
      <c r="O730" s="27" t="s">
        <v>76</v>
      </c>
      <c r="P730" s="35" t="s">
        <v>142</v>
      </c>
      <c r="Q730" s="35" t="s">
        <v>108</v>
      </c>
      <c r="R730" s="36" t="e">
        <v>#VALUE!</v>
      </c>
      <c r="S730" s="35" t="s">
        <v>86</v>
      </c>
      <c r="T730" s="35">
        <v>0.0</v>
      </c>
      <c r="U730" s="37" t="s">
        <v>67</v>
      </c>
      <c r="V730" s="38">
        <v>4000000.0</v>
      </c>
      <c r="W730" s="78"/>
      <c r="X730" s="27"/>
      <c r="Y730" s="39"/>
      <c r="Z730" s="79" t="s">
        <v>2437</v>
      </c>
      <c r="AA730" s="39"/>
      <c r="AB730" s="40"/>
      <c r="AC730" s="27">
        <f t="shared" si="539"/>
        <v>0</v>
      </c>
      <c r="AD730" s="41">
        <f t="shared" si="569"/>
        <v>14850</v>
      </c>
      <c r="AE730" s="42">
        <v>2000.0</v>
      </c>
      <c r="AF730" s="27" t="s">
        <v>2099</v>
      </c>
      <c r="AG730" s="43">
        <f t="shared" ref="AG730:AG734" si="570">IF(O730="Paid",IF(A730="Alwataniya",(M730*21%)-((M730*21%)*5%),IF((A730="GIG"),(M730*25%)-((M730*25%)*5%),IF((A730="Allianz"),(M730*27%)-((M730*27%)*5%),0))),0)</f>
        <v>25393.5</v>
      </c>
      <c r="AH730" s="29"/>
      <c r="AI730" s="29"/>
      <c r="AJ730" s="55"/>
      <c r="AK730" s="29"/>
      <c r="AL730" s="27"/>
      <c r="AM730" s="44"/>
      <c r="AN730" s="68"/>
      <c r="AO730" s="46"/>
      <c r="AP730" s="47"/>
      <c r="AQ730" s="43">
        <f t="shared" si="567"/>
        <v>26730</v>
      </c>
      <c r="AR730" s="43">
        <f t="shared" si="448"/>
        <v>1336.5</v>
      </c>
      <c r="AS730" s="43">
        <f t="shared" si="449"/>
        <v>4677.75</v>
      </c>
      <c r="AT730" s="48">
        <f t="shared" si="450"/>
        <v>20715.75</v>
      </c>
      <c r="AU730" s="49">
        <f t="shared" si="568"/>
        <v>20715.75</v>
      </c>
      <c r="AV730" s="48"/>
      <c r="AW730" s="34">
        <f t="shared" si="540"/>
        <v>88136</v>
      </c>
      <c r="AX730" s="50">
        <f t="shared" si="413"/>
        <v>3865.75</v>
      </c>
      <c r="AY730" s="43"/>
      <c r="AZ730" s="47"/>
      <c r="BA730" s="48">
        <f t="shared" si="558"/>
        <v>20715.75</v>
      </c>
      <c r="BB730" s="27"/>
      <c r="BC730" s="27"/>
      <c r="BD730" s="51"/>
      <c r="BE730" s="52"/>
      <c r="BF730" s="27" t="s">
        <v>2434</v>
      </c>
      <c r="BG730" s="53">
        <v>0.0</v>
      </c>
      <c r="BH730" s="53" t="str">
        <f>'[1]2023'!Q1003</f>
        <v>#REF!</v>
      </c>
      <c r="BI730" s="27"/>
      <c r="BJ730" s="27"/>
      <c r="BK730" s="27" t="s">
        <v>76</v>
      </c>
      <c r="BL730" s="27"/>
    </row>
    <row r="731" ht="14.25" customHeight="1">
      <c r="A731" s="26" t="s">
        <v>55</v>
      </c>
      <c r="B731" s="26" t="s">
        <v>56</v>
      </c>
      <c r="C731" s="26" t="s">
        <v>57</v>
      </c>
      <c r="D731" s="26" t="s">
        <v>81</v>
      </c>
      <c r="E731" s="27" t="s">
        <v>2438</v>
      </c>
      <c r="F731" s="28" t="s">
        <v>2439</v>
      </c>
      <c r="G731" s="29" t="s">
        <v>2440</v>
      </c>
      <c r="H731" s="30">
        <v>45124.0</v>
      </c>
      <c r="I731" s="30">
        <v>45489.0</v>
      </c>
      <c r="J731" s="31">
        <v>0.0</v>
      </c>
      <c r="K731" s="26" t="s">
        <v>887</v>
      </c>
      <c r="L731" s="32" t="s">
        <v>75</v>
      </c>
      <c r="M731" s="33">
        <v>14048.13</v>
      </c>
      <c r="N731" s="34">
        <v>15017.98</v>
      </c>
      <c r="O731" s="27" t="s">
        <v>76</v>
      </c>
      <c r="P731" s="35" t="s">
        <v>122</v>
      </c>
      <c r="Q731" s="35">
        <v>0.0</v>
      </c>
      <c r="R731" s="36" t="e">
        <v>#VALUE!</v>
      </c>
      <c r="S731" s="35" t="s">
        <v>86</v>
      </c>
      <c r="T731" s="35">
        <v>0.0</v>
      </c>
      <c r="U731" s="37" t="s">
        <v>67</v>
      </c>
      <c r="V731" s="38"/>
      <c r="W731" s="38"/>
      <c r="X731" s="27"/>
      <c r="Y731" s="39"/>
      <c r="Z731" s="39"/>
      <c r="AA731" s="39"/>
      <c r="AB731" s="40"/>
      <c r="AC731" s="27">
        <f t="shared" si="539"/>
        <v>0</v>
      </c>
      <c r="AD731" s="41">
        <f t="shared" si="569"/>
        <v>2107.2195</v>
      </c>
      <c r="AE731" s="42"/>
      <c r="AF731" s="27"/>
      <c r="AG731" s="43">
        <f t="shared" si="570"/>
        <v>3603.345345</v>
      </c>
      <c r="AH731" s="29"/>
      <c r="AI731" s="29"/>
      <c r="AJ731" s="29"/>
      <c r="AK731" s="29"/>
      <c r="AL731" s="27"/>
      <c r="AM731" s="44"/>
      <c r="AN731" s="47"/>
      <c r="AO731" s="46"/>
      <c r="AP731" s="47"/>
      <c r="AQ731" s="43">
        <f t="shared" si="567"/>
        <v>3792.9951</v>
      </c>
      <c r="AR731" s="43">
        <f t="shared" si="448"/>
        <v>189.649755</v>
      </c>
      <c r="AS731" s="43">
        <f t="shared" si="449"/>
        <v>663.7741425</v>
      </c>
      <c r="AT731" s="48">
        <f t="shared" si="450"/>
        <v>2939.571203</v>
      </c>
      <c r="AU731" s="49">
        <f t="shared" si="568"/>
        <v>2939.571203</v>
      </c>
      <c r="AV731" s="48"/>
      <c r="AW731" s="34">
        <f t="shared" si="540"/>
        <v>12910.7605</v>
      </c>
      <c r="AX731" s="50">
        <f t="shared" si="413"/>
        <v>832.3517025</v>
      </c>
      <c r="AY731" s="43"/>
      <c r="AZ731" s="43"/>
      <c r="BA731" s="48">
        <f t="shared" si="558"/>
        <v>2939.571203</v>
      </c>
      <c r="BB731" s="27"/>
      <c r="BC731" s="27"/>
      <c r="BD731" s="51"/>
      <c r="BE731" s="52"/>
      <c r="BF731" s="27" t="s">
        <v>2438</v>
      </c>
      <c r="BG731" s="53">
        <v>0.0</v>
      </c>
      <c r="BH731" s="53" t="str">
        <f>'[1]2023'!Q908</f>
        <v>#REF!</v>
      </c>
      <c r="BI731" s="27"/>
      <c r="BJ731" s="27"/>
      <c r="BK731" s="27" t="s">
        <v>76</v>
      </c>
      <c r="BL731" s="27"/>
    </row>
    <row r="732" ht="14.25" customHeight="1">
      <c r="A732" s="26" t="s">
        <v>55</v>
      </c>
      <c r="B732" s="26" t="s">
        <v>56</v>
      </c>
      <c r="C732" s="26" t="s">
        <v>57</v>
      </c>
      <c r="D732" s="26" t="s">
        <v>81</v>
      </c>
      <c r="E732" s="27" t="s">
        <v>2441</v>
      </c>
      <c r="F732" s="28" t="s">
        <v>2442</v>
      </c>
      <c r="G732" s="29" t="s">
        <v>2440</v>
      </c>
      <c r="H732" s="30">
        <v>45124.0</v>
      </c>
      <c r="I732" s="30">
        <v>45489.0</v>
      </c>
      <c r="J732" s="31">
        <v>0.0</v>
      </c>
      <c r="K732" s="26" t="s">
        <v>887</v>
      </c>
      <c r="L732" s="69">
        <v>44995.0</v>
      </c>
      <c r="M732" s="33">
        <v>38350.0</v>
      </c>
      <c r="N732" s="34">
        <v>40755.65</v>
      </c>
      <c r="O732" s="27" t="s">
        <v>76</v>
      </c>
      <c r="P732" s="35" t="s">
        <v>142</v>
      </c>
      <c r="Q732" s="35" t="s">
        <v>90</v>
      </c>
      <c r="R732" s="36" t="e">
        <v>#VALUE!</v>
      </c>
      <c r="S732" s="35" t="s">
        <v>86</v>
      </c>
      <c r="T732" s="35">
        <v>0.0</v>
      </c>
      <c r="U732" s="37" t="s">
        <v>67</v>
      </c>
      <c r="V732" s="38"/>
      <c r="W732" s="38"/>
      <c r="X732" s="27"/>
      <c r="Y732" s="39"/>
      <c r="Z732" s="79" t="s">
        <v>407</v>
      </c>
      <c r="AA732" s="39"/>
      <c r="AB732" s="40"/>
      <c r="AC732" s="27">
        <f t="shared" si="539"/>
        <v>0</v>
      </c>
      <c r="AD732" s="41">
        <f t="shared" si="569"/>
        <v>5752.5</v>
      </c>
      <c r="AE732" s="42"/>
      <c r="AF732" s="29">
        <v>44967.0</v>
      </c>
      <c r="AG732" s="43">
        <f t="shared" si="570"/>
        <v>9836.775</v>
      </c>
      <c r="AH732" s="29"/>
      <c r="AI732" s="29"/>
      <c r="AJ732" s="29"/>
      <c r="AK732" s="29"/>
      <c r="AL732" s="27"/>
      <c r="AM732" s="44"/>
      <c r="AN732" s="68"/>
      <c r="AO732" s="46"/>
      <c r="AP732" s="47"/>
      <c r="AQ732" s="43">
        <f t="shared" si="567"/>
        <v>10354.5</v>
      </c>
      <c r="AR732" s="43">
        <f t="shared" si="448"/>
        <v>517.725</v>
      </c>
      <c r="AS732" s="43">
        <f t="shared" si="449"/>
        <v>1812.0375</v>
      </c>
      <c r="AT732" s="48">
        <f t="shared" si="450"/>
        <v>8024.7375</v>
      </c>
      <c r="AU732" s="49">
        <f t="shared" si="568"/>
        <v>8024.7375</v>
      </c>
      <c r="AV732" s="48"/>
      <c r="AW732" s="34">
        <f t="shared" si="540"/>
        <v>35003.15</v>
      </c>
      <c r="AX732" s="50">
        <f t="shared" si="413"/>
        <v>2272.2375</v>
      </c>
      <c r="AY732" s="43"/>
      <c r="AZ732" s="47"/>
      <c r="BA732" s="48">
        <f t="shared" si="558"/>
        <v>8024.7375</v>
      </c>
      <c r="BB732" s="27"/>
      <c r="BC732" s="27"/>
      <c r="BD732" s="51"/>
      <c r="BE732" s="52"/>
      <c r="BF732" s="27" t="s">
        <v>2441</v>
      </c>
      <c r="BG732" s="53">
        <v>0.0</v>
      </c>
      <c r="BH732" s="53" t="str">
        <f>'[1]2023'!Q1051</f>
        <v>#REF!</v>
      </c>
      <c r="BI732" s="27"/>
      <c r="BJ732" s="27"/>
      <c r="BK732" s="27" t="s">
        <v>76</v>
      </c>
      <c r="BL732" s="27"/>
    </row>
    <row r="733" ht="14.25" customHeight="1">
      <c r="A733" s="26" t="s">
        <v>55</v>
      </c>
      <c r="B733" s="26" t="s">
        <v>56</v>
      </c>
      <c r="C733" s="26" t="s">
        <v>57</v>
      </c>
      <c r="D733" s="26" t="s">
        <v>81</v>
      </c>
      <c r="E733" s="27" t="s">
        <v>2443</v>
      </c>
      <c r="F733" s="28" t="s">
        <v>2444</v>
      </c>
      <c r="G733" s="29">
        <v>45125.0</v>
      </c>
      <c r="H733" s="30">
        <v>45125.0</v>
      </c>
      <c r="I733" s="30">
        <v>45490.0</v>
      </c>
      <c r="J733" s="31">
        <v>0.0</v>
      </c>
      <c r="K733" s="26" t="s">
        <v>887</v>
      </c>
      <c r="L733" s="32" t="s">
        <v>63</v>
      </c>
      <c r="M733" s="33">
        <v>0.0</v>
      </c>
      <c r="N733" s="34">
        <v>0.0</v>
      </c>
      <c r="O733" s="27" t="s">
        <v>64</v>
      </c>
      <c r="P733" s="35">
        <v>0.0</v>
      </c>
      <c r="Q733" s="35">
        <v>0.0</v>
      </c>
      <c r="R733" s="36">
        <v>45125.0</v>
      </c>
      <c r="S733" s="35" t="s">
        <v>86</v>
      </c>
      <c r="T733" s="35">
        <v>0.0</v>
      </c>
      <c r="U733" s="37" t="s">
        <v>67</v>
      </c>
      <c r="V733" s="38"/>
      <c r="W733" s="38"/>
      <c r="X733" s="27"/>
      <c r="Y733" s="39"/>
      <c r="Z733" s="39"/>
      <c r="AA733" s="39"/>
      <c r="AB733" s="40"/>
      <c r="AC733" s="27">
        <f t="shared" si="539"/>
        <v>0</v>
      </c>
      <c r="AD733" s="41">
        <f t="shared" si="569"/>
        <v>0</v>
      </c>
      <c r="AE733" s="42"/>
      <c r="AF733" s="27"/>
      <c r="AG733" s="43">
        <f t="shared" si="570"/>
        <v>0</v>
      </c>
      <c r="AH733" s="29"/>
      <c r="AI733" s="29"/>
      <c r="AJ733" s="29"/>
      <c r="AK733" s="29"/>
      <c r="AL733" s="27"/>
      <c r="AM733" s="27"/>
      <c r="AN733" s="47"/>
      <c r="AO733" s="46"/>
      <c r="AP733" s="68"/>
      <c r="AQ733" s="43" t="b">
        <f>IF(O733="Paid",IF(U733="Motor Plus",(M733*27%),IF(U733="Motor One",(M733*22%),(IF(U733="Golden",(M733*25%),(IF(U733="Classic",(M733*15%),(IF(U733="Wethaq",(M733*28%),IF(U733="Alwataniya",(M733*21%))*0)))))))))</f>
        <v>0</v>
      </c>
      <c r="AR733" s="43">
        <f t="shared" si="448"/>
        <v>0</v>
      </c>
      <c r="AS733" s="43">
        <f t="shared" si="449"/>
        <v>0</v>
      </c>
      <c r="AT733" s="48">
        <f t="shared" si="450"/>
        <v>0</v>
      </c>
      <c r="AU733" s="49">
        <f>AQ733-AR733-AS733-AC733-AO733</f>
        <v>0</v>
      </c>
      <c r="AV733" s="48"/>
      <c r="AW733" s="34">
        <f t="shared" si="540"/>
        <v>0</v>
      </c>
      <c r="AX733" s="50">
        <f t="shared" si="413"/>
        <v>0</v>
      </c>
      <c r="AY733" s="43"/>
      <c r="AZ733" s="43"/>
      <c r="BA733" s="48">
        <f t="shared" si="558"/>
        <v>0</v>
      </c>
      <c r="BB733" s="27"/>
      <c r="BC733" s="27"/>
      <c r="BD733" s="51"/>
      <c r="BE733" s="52"/>
      <c r="BF733" s="27" t="s">
        <v>2443</v>
      </c>
      <c r="BG733" s="53">
        <v>0.0</v>
      </c>
      <c r="BH733" s="53" t="str">
        <f>'[1]2023'!Q936</f>
        <v>#REF!</v>
      </c>
      <c r="BI733" s="27"/>
      <c r="BJ733" s="27"/>
      <c r="BK733" s="27" t="s">
        <v>64</v>
      </c>
      <c r="BL733" s="27"/>
    </row>
    <row r="734" ht="14.25" customHeight="1">
      <c r="A734" s="26" t="s">
        <v>55</v>
      </c>
      <c r="B734" s="26" t="s">
        <v>56</v>
      </c>
      <c r="C734" s="26" t="s">
        <v>57</v>
      </c>
      <c r="D734" s="26" t="s">
        <v>81</v>
      </c>
      <c r="E734" s="27" t="s">
        <v>2445</v>
      </c>
      <c r="F734" s="28" t="s">
        <v>2446</v>
      </c>
      <c r="G734" s="29" t="s">
        <v>2447</v>
      </c>
      <c r="H734" s="30">
        <v>45125.0</v>
      </c>
      <c r="I734" s="30">
        <v>45490.0</v>
      </c>
      <c r="J734" s="31">
        <v>0.0</v>
      </c>
      <c r="K734" s="26" t="s">
        <v>887</v>
      </c>
      <c r="L734" s="32" t="s">
        <v>75</v>
      </c>
      <c r="M734" s="33">
        <v>65312.5</v>
      </c>
      <c r="N734" s="34">
        <v>69309.95</v>
      </c>
      <c r="O734" s="27" t="s">
        <v>76</v>
      </c>
      <c r="P734" s="35" t="s">
        <v>122</v>
      </c>
      <c r="Q734" s="35">
        <v>0.0</v>
      </c>
      <c r="R734" s="36" t="e">
        <v>#VALUE!</v>
      </c>
      <c r="S734" s="35" t="s">
        <v>86</v>
      </c>
      <c r="T734" s="35">
        <v>0.0</v>
      </c>
      <c r="U734" s="37" t="s">
        <v>67</v>
      </c>
      <c r="V734" s="38"/>
      <c r="W734" s="38"/>
      <c r="X734" s="27"/>
      <c r="Y734" s="39"/>
      <c r="Z734" s="39"/>
      <c r="AA734" s="39"/>
      <c r="AB734" s="40"/>
      <c r="AC734" s="27">
        <f t="shared" si="539"/>
        <v>0</v>
      </c>
      <c r="AD734" s="41">
        <f t="shared" si="569"/>
        <v>9796.875</v>
      </c>
      <c r="AE734" s="42"/>
      <c r="AF734" s="27"/>
      <c r="AG734" s="43">
        <f t="shared" si="570"/>
        <v>16752.65625</v>
      </c>
      <c r="AH734" s="29"/>
      <c r="AI734" s="29"/>
      <c r="AJ734" s="55"/>
      <c r="AK734" s="29"/>
      <c r="AL734" s="27"/>
      <c r="AM734" s="27"/>
      <c r="AN734" s="47"/>
      <c r="AO734" s="46"/>
      <c r="AP734" s="47"/>
      <c r="AQ734" s="43">
        <f>IF(U734="Motor Plus",(M734*27%),IF(U734="Motor One",(M734*22%),(IF(U734="Golden",(M734*25%),(IF(U734="Classic",(M734*15%),(IF(U734="Wethaq",(M734*28%),IF(U734="Alwataniya",(M734*21%))*0))))))))</f>
        <v>17634.375</v>
      </c>
      <c r="AR734" s="43">
        <f t="shared" si="448"/>
        <v>881.71875</v>
      </c>
      <c r="AS734" s="43">
        <f t="shared" si="449"/>
        <v>3086.015625</v>
      </c>
      <c r="AT734" s="48">
        <f t="shared" si="450"/>
        <v>13666.64063</v>
      </c>
      <c r="AU734" s="49">
        <f t="shared" ref="AU734:AU739" si="571">AQ734-AR734-AS734-AC734</f>
        <v>13666.64063</v>
      </c>
      <c r="AV734" s="48"/>
      <c r="AW734" s="34">
        <f t="shared" si="540"/>
        <v>59513.075</v>
      </c>
      <c r="AX734" s="50">
        <f t="shared" si="413"/>
        <v>3869.765625</v>
      </c>
      <c r="AY734" s="43"/>
      <c r="AZ734" s="47"/>
      <c r="BA734" s="48">
        <f t="shared" si="558"/>
        <v>13666.64063</v>
      </c>
      <c r="BB734" s="27"/>
      <c r="BC734" s="27"/>
      <c r="BD734" s="51"/>
      <c r="BE734" s="52"/>
      <c r="BF734" s="27" t="s">
        <v>2445</v>
      </c>
      <c r="BG734" s="53">
        <v>0.0</v>
      </c>
      <c r="BH734" s="53" t="str">
        <f t="shared" ref="BH734:BH736" si="572">'[1]2023'!Q982</f>
        <v>#REF!</v>
      </c>
      <c r="BI734" s="27"/>
      <c r="BJ734" s="27"/>
      <c r="BK734" s="27" t="s">
        <v>76</v>
      </c>
      <c r="BL734" s="27"/>
    </row>
    <row r="735" ht="14.25" customHeight="1">
      <c r="A735" s="26" t="s">
        <v>111</v>
      </c>
      <c r="B735" s="26" t="s">
        <v>56</v>
      </c>
      <c r="C735" s="26" t="s">
        <v>57</v>
      </c>
      <c r="D735" s="26" t="s">
        <v>71</v>
      </c>
      <c r="E735" s="27" t="s">
        <v>2448</v>
      </c>
      <c r="F735" s="28" t="s">
        <v>2449</v>
      </c>
      <c r="G735" s="29" t="s">
        <v>2447</v>
      </c>
      <c r="H735" s="30">
        <v>45125.0</v>
      </c>
      <c r="I735" s="30">
        <v>45490.0</v>
      </c>
      <c r="J735" s="31" t="s">
        <v>2450</v>
      </c>
      <c r="K735" s="26" t="s">
        <v>887</v>
      </c>
      <c r="L735" s="73" t="s">
        <v>63</v>
      </c>
      <c r="M735" s="33">
        <v>46188.16</v>
      </c>
      <c r="N735" s="34">
        <v>49400.0</v>
      </c>
      <c r="O735" s="27" t="s">
        <v>64</v>
      </c>
      <c r="P735" s="35">
        <v>0.0</v>
      </c>
      <c r="Q735" s="35" t="s">
        <v>108</v>
      </c>
      <c r="R735" s="36" t="e">
        <v>#VALUE!</v>
      </c>
      <c r="S735" s="35" t="s">
        <v>86</v>
      </c>
      <c r="T735" s="35">
        <v>0.0</v>
      </c>
      <c r="U735" s="37" t="s">
        <v>115</v>
      </c>
      <c r="V735" s="38">
        <v>1900000.0</v>
      </c>
      <c r="W735" s="38"/>
      <c r="X735" s="27"/>
      <c r="Y735" s="39"/>
      <c r="Z735" s="79" t="s">
        <v>2451</v>
      </c>
      <c r="AA735" s="39"/>
      <c r="AB735" s="40"/>
      <c r="AC735" s="27">
        <f t="shared" si="539"/>
        <v>0</v>
      </c>
      <c r="AD735" s="41">
        <f t="shared" si="569"/>
        <v>0</v>
      </c>
      <c r="AE735" s="42"/>
      <c r="AF735" s="27"/>
      <c r="AG735" s="43">
        <f>IF(O735="Paid",IF(A735="Alwataniya",(M735*21%)-((M735*21%)*5%),IF((A735="GIG"),(M735*25%)-((M735*25%)*5%),IF((A735="Allianz"),(M735*27%)-((M735*27%)*20%),0))),0)</f>
        <v>0</v>
      </c>
      <c r="AH735" s="29"/>
      <c r="AI735" s="29"/>
      <c r="AJ735" s="55"/>
      <c r="AK735" s="29"/>
      <c r="AL735" s="27"/>
      <c r="AM735" s="27"/>
      <c r="AN735" s="47"/>
      <c r="AO735" s="46"/>
      <c r="AP735" s="47"/>
      <c r="AQ735" s="43" t="b">
        <f>IF(O735="Paid",IF(U735="Motor Plus",(M735*27%),IF(U735="Motor One",(M735*22%),(IF(U735="Golden",(M735*25%),(IF(U735="Classic",(M735*15%),(IF(U735="Wethaq",(M735*28%),IF(U735="Alwataniya",(M735*21%))*0)))))))))</f>
        <v>0</v>
      </c>
      <c r="AR735" s="43">
        <f t="shared" si="448"/>
        <v>0</v>
      </c>
      <c r="AS735" s="43">
        <f t="shared" si="449"/>
        <v>0</v>
      </c>
      <c r="AT735" s="48">
        <f t="shared" si="450"/>
        <v>0</v>
      </c>
      <c r="AU735" s="49">
        <f t="shared" si="571"/>
        <v>0</v>
      </c>
      <c r="AV735" s="48"/>
      <c r="AW735" s="34">
        <f t="shared" si="540"/>
        <v>49400</v>
      </c>
      <c r="AX735" s="50">
        <f t="shared" si="413"/>
        <v>0</v>
      </c>
      <c r="AY735" s="43"/>
      <c r="AZ735" s="47"/>
      <c r="BA735" s="48">
        <f t="shared" si="558"/>
        <v>0</v>
      </c>
      <c r="BB735" s="27"/>
      <c r="BC735" s="27"/>
      <c r="BD735" s="51"/>
      <c r="BE735" s="52"/>
      <c r="BF735" s="27" t="s">
        <v>2448</v>
      </c>
      <c r="BG735" s="58" t="s">
        <v>2452</v>
      </c>
      <c r="BH735" s="53" t="str">
        <f t="shared" si="572"/>
        <v>#REF!</v>
      </c>
      <c r="BI735" s="27"/>
      <c r="BJ735" s="27"/>
      <c r="BK735" s="27" t="s">
        <v>64</v>
      </c>
      <c r="BL735" s="27"/>
    </row>
    <row r="736" ht="14.25" customHeight="1">
      <c r="A736" s="26" t="s">
        <v>111</v>
      </c>
      <c r="B736" s="26" t="s">
        <v>56</v>
      </c>
      <c r="C736" s="26" t="s">
        <v>57</v>
      </c>
      <c r="D736" s="26" t="s">
        <v>71</v>
      </c>
      <c r="E736" s="27" t="s">
        <v>2453</v>
      </c>
      <c r="F736" s="28" t="s">
        <v>2454</v>
      </c>
      <c r="G736" s="29" t="s">
        <v>2447</v>
      </c>
      <c r="H736" s="30">
        <v>45125.0</v>
      </c>
      <c r="I736" s="30">
        <v>45490.0</v>
      </c>
      <c r="J736" s="31" t="s">
        <v>2455</v>
      </c>
      <c r="K736" s="26" t="s">
        <v>887</v>
      </c>
      <c r="L736" s="102">
        <v>45126.0</v>
      </c>
      <c r="M736" s="33">
        <v>13016.17</v>
      </c>
      <c r="N736" s="34">
        <v>14105.0</v>
      </c>
      <c r="O736" s="27" t="s">
        <v>76</v>
      </c>
      <c r="P736" s="35" t="s">
        <v>430</v>
      </c>
      <c r="Q736" s="35" t="s">
        <v>114</v>
      </c>
      <c r="R736" s="36" t="e">
        <v>#VALUE!</v>
      </c>
      <c r="S736" s="35" t="s">
        <v>66</v>
      </c>
      <c r="T736" s="35">
        <v>0.0</v>
      </c>
      <c r="U736" s="37" t="s">
        <v>149</v>
      </c>
      <c r="V736" s="38">
        <v>650000.0</v>
      </c>
      <c r="W736" s="38"/>
      <c r="X736" s="27"/>
      <c r="Y736" s="39"/>
      <c r="Z736" s="79" t="s">
        <v>2456</v>
      </c>
      <c r="AA736" s="39"/>
      <c r="AB736" s="40"/>
      <c r="AC736" s="27">
        <f t="shared" si="539"/>
        <v>0</v>
      </c>
      <c r="AD736" s="41">
        <f t="shared" si="569"/>
        <v>0</v>
      </c>
      <c r="AE736" s="42"/>
      <c r="AF736" s="27"/>
      <c r="AG736" s="43">
        <f>IF(O736="Paid",IF(A736="Alwataniya",(M736*21%)-((M736*21%)*5%),IF((A736="GIG"),(M736*15%)-((M736*15%)*5%),IF((A736="Allianz"),(M736*27%)-((M736*27%)*20%),0))),0)</f>
        <v>1854.804225</v>
      </c>
      <c r="AH736" s="29" t="s">
        <v>2457</v>
      </c>
      <c r="AI736" s="29">
        <v>45177.0</v>
      </c>
      <c r="AJ736" s="55"/>
      <c r="AK736" s="29" t="s">
        <v>922</v>
      </c>
      <c r="AL736" s="27"/>
      <c r="AM736" s="46">
        <f>((M736*15%)-AC736-((M736*15%)*22.5%))*30%</f>
        <v>453.9389288</v>
      </c>
      <c r="AN736" s="45" t="s">
        <v>1730</v>
      </c>
      <c r="AO736" s="46"/>
      <c r="AP736" s="68"/>
      <c r="AQ736" s="43">
        <f>IF(U736="Motor Plus",(M736*27%),IF(U736="Motor One",(M736*22%),(IF(U736="Golden",(M736*25%),(IF(U736="Classic",(M736*15%),(IF(U736="Wethaq",(M736*28%),IF(U736="Alwataniya",(M736*21%))*0))))))))</f>
        <v>1952.4255</v>
      </c>
      <c r="AR736" s="43">
        <f t="shared" si="448"/>
        <v>97.621275</v>
      </c>
      <c r="AS736" s="43">
        <f t="shared" si="449"/>
        <v>341.6744625</v>
      </c>
      <c r="AT736" s="48">
        <f t="shared" si="450"/>
        <v>1513.129763</v>
      </c>
      <c r="AU736" s="49">
        <f t="shared" si="571"/>
        <v>1513.129763</v>
      </c>
      <c r="AV736" s="48"/>
      <c r="AW736" s="34">
        <f t="shared" si="540"/>
        <v>14105</v>
      </c>
      <c r="AX736" s="50">
        <f t="shared" si="413"/>
        <v>1059.190834</v>
      </c>
      <c r="AY736" s="43"/>
      <c r="AZ736" s="47"/>
      <c r="BA736" s="48">
        <f t="shared" si="558"/>
        <v>1059.190834</v>
      </c>
      <c r="BB736" s="27"/>
      <c r="BC736" s="27"/>
      <c r="BD736" s="51"/>
      <c r="BE736" s="52"/>
      <c r="BF736" s="27" t="s">
        <v>2458</v>
      </c>
      <c r="BG736" s="53">
        <v>0.0</v>
      </c>
      <c r="BH736" s="53" t="str">
        <f t="shared" si="572"/>
        <v>#REF!</v>
      </c>
      <c r="BI736" s="27"/>
      <c r="BJ736" s="27"/>
      <c r="BK736" s="27" t="s">
        <v>76</v>
      </c>
      <c r="BL736" s="27"/>
    </row>
    <row r="737" ht="14.25" customHeight="1">
      <c r="A737" s="26" t="s">
        <v>55</v>
      </c>
      <c r="B737" s="26" t="s">
        <v>56</v>
      </c>
      <c r="C737" s="26" t="s">
        <v>57</v>
      </c>
      <c r="D737" s="26" t="s">
        <v>58</v>
      </c>
      <c r="E737" s="27" t="s">
        <v>2459</v>
      </c>
      <c r="F737" s="28" t="s">
        <v>2460</v>
      </c>
      <c r="G737" s="29" t="s">
        <v>2447</v>
      </c>
      <c r="H737" s="30">
        <v>45125.0</v>
      </c>
      <c r="I737" s="30">
        <v>45490.0</v>
      </c>
      <c r="J737" s="31" t="s">
        <v>2461</v>
      </c>
      <c r="K737" s="26" t="s">
        <v>887</v>
      </c>
      <c r="L737" s="32" t="s">
        <v>63</v>
      </c>
      <c r="M737" s="33">
        <v>5319.14</v>
      </c>
      <c r="N737" s="34">
        <v>5632.97</v>
      </c>
      <c r="O737" s="27" t="s">
        <v>64</v>
      </c>
      <c r="P737" s="35">
        <v>0.0</v>
      </c>
      <c r="Q737" s="35" t="s">
        <v>90</v>
      </c>
      <c r="R737" s="36" t="e">
        <v>#VALUE!</v>
      </c>
      <c r="S737" s="35" t="s">
        <v>86</v>
      </c>
      <c r="T737" s="35">
        <v>0.0</v>
      </c>
      <c r="U737" s="37" t="s">
        <v>67</v>
      </c>
      <c r="V737" s="38"/>
      <c r="W737" s="38"/>
      <c r="X737" s="27"/>
      <c r="Y737" s="39"/>
      <c r="Z737" s="39"/>
      <c r="AA737" s="39"/>
      <c r="AB737" s="40"/>
      <c r="AC737" s="27">
        <f t="shared" si="539"/>
        <v>0</v>
      </c>
      <c r="AD737" s="41">
        <f t="shared" si="569"/>
        <v>0</v>
      </c>
      <c r="AE737" s="42"/>
      <c r="AF737" s="27"/>
      <c r="AG737" s="43">
        <f>IF(O737="Paid",IF(A737="Alwataniya",(M737*21%)-((M737*21%)*5%),IF((A737="GIG"),(M737*25%)-((M737*25%)*5%),IF((A737="Allianz"),(M737*27%)-((M737*27%)*5%),0))),0)</f>
        <v>0</v>
      </c>
      <c r="AH737" s="29"/>
      <c r="AI737" s="29"/>
      <c r="AJ737" s="55"/>
      <c r="AK737" s="29"/>
      <c r="AL737" s="27"/>
      <c r="AM737" s="27"/>
      <c r="AN737" s="47"/>
      <c r="AO737" s="46"/>
      <c r="AP737" s="47"/>
      <c r="AQ737" s="43" t="b">
        <f>IF(O737="Paid",IF(U737="Motor Plus",(M737*27%),IF(U737="Motor One",(M737*22%),(IF(U737="Golden",(M737*25%),(IF(U737="Classic",(M737*15%),(IF(U737="Wethaq",(M737*28%),IF(U737="Alwataniya",(M737*21%))*0)))))))))</f>
        <v>0</v>
      </c>
      <c r="AR737" s="43">
        <f t="shared" si="448"/>
        <v>0</v>
      </c>
      <c r="AS737" s="43">
        <f t="shared" si="449"/>
        <v>0</v>
      </c>
      <c r="AT737" s="48">
        <f t="shared" si="450"/>
        <v>0</v>
      </c>
      <c r="AU737" s="49">
        <f t="shared" si="571"/>
        <v>0</v>
      </c>
      <c r="AV737" s="48"/>
      <c r="AW737" s="34">
        <f t="shared" si="540"/>
        <v>5632.97</v>
      </c>
      <c r="AX737" s="50">
        <f t="shared" si="413"/>
        <v>0</v>
      </c>
      <c r="AY737" s="43"/>
      <c r="AZ737" s="47"/>
      <c r="BA737" s="48">
        <f t="shared" si="558"/>
        <v>0</v>
      </c>
      <c r="BB737" s="27"/>
      <c r="BC737" s="27"/>
      <c r="BD737" s="51"/>
      <c r="BE737" s="52"/>
      <c r="BF737" s="27" t="s">
        <v>2459</v>
      </c>
      <c r="BG737" s="58" t="s">
        <v>2462</v>
      </c>
      <c r="BH737" s="53" t="str">
        <f>'[1]2023'!Q986</f>
        <v>#REF!</v>
      </c>
      <c r="BI737" s="27"/>
      <c r="BJ737" s="27"/>
      <c r="BK737" s="27" t="s">
        <v>64</v>
      </c>
      <c r="BL737" s="27"/>
    </row>
    <row r="738" ht="14.25" customHeight="1">
      <c r="A738" s="26" t="s">
        <v>111</v>
      </c>
      <c r="B738" s="26" t="s">
        <v>56</v>
      </c>
      <c r="C738" s="26" t="s">
        <v>57</v>
      </c>
      <c r="D738" s="26" t="s">
        <v>71</v>
      </c>
      <c r="E738" s="27" t="s">
        <v>2463</v>
      </c>
      <c r="F738" s="28" t="s">
        <v>2464</v>
      </c>
      <c r="G738" s="29" t="s">
        <v>2447</v>
      </c>
      <c r="H738" s="30">
        <v>45125.0</v>
      </c>
      <c r="I738" s="30">
        <v>45490.0</v>
      </c>
      <c r="J738" s="31" t="s">
        <v>2450</v>
      </c>
      <c r="K738" s="26" t="s">
        <v>887</v>
      </c>
      <c r="L738" s="69">
        <v>44993.0</v>
      </c>
      <c r="M738" s="33">
        <v>36413.0</v>
      </c>
      <c r="N738" s="34">
        <v>39000.0</v>
      </c>
      <c r="O738" s="27" t="s">
        <v>76</v>
      </c>
      <c r="P738" s="35" t="s">
        <v>142</v>
      </c>
      <c r="Q738" s="35" t="s">
        <v>108</v>
      </c>
      <c r="R738" s="36" t="e">
        <v>#VALUE!</v>
      </c>
      <c r="S738" s="35" t="s">
        <v>86</v>
      </c>
      <c r="T738" s="35">
        <v>0.0</v>
      </c>
      <c r="U738" s="37" t="s">
        <v>115</v>
      </c>
      <c r="V738" s="38">
        <v>1500000.0</v>
      </c>
      <c r="W738" s="38"/>
      <c r="X738" s="27"/>
      <c r="Y738" s="39"/>
      <c r="Z738" s="79" t="s">
        <v>2451</v>
      </c>
      <c r="AA738" s="39"/>
      <c r="AB738" s="40"/>
      <c r="AC738" s="27">
        <f t="shared" si="539"/>
        <v>0</v>
      </c>
      <c r="AD738" s="41">
        <f>IF(AND(S738="0",O738="Paid"),(M738*10%)-AC738,0)</f>
        <v>3641.3</v>
      </c>
      <c r="AE738" s="42">
        <v>750.0</v>
      </c>
      <c r="AF738" s="27" t="s">
        <v>2099</v>
      </c>
      <c r="AG738" s="43">
        <f>IF(O738="Paid",IF(A738="Alwataniya",(M738*21%)-((M738*21%)*5%),IF((A738="GIG"),(M738*25%)-((M738*25%)*5%),IF((A738="Allianz"),(M738*27%)-((M738*27%)*20%),0))),0)</f>
        <v>8648.0875</v>
      </c>
      <c r="AH738" s="29">
        <v>45085.0</v>
      </c>
      <c r="AI738" s="29" t="s">
        <v>2465</v>
      </c>
      <c r="AJ738" s="55"/>
      <c r="AK738" s="29">
        <v>45146.0</v>
      </c>
      <c r="AL738" s="27"/>
      <c r="AM738" s="27"/>
      <c r="AN738" s="47"/>
      <c r="AO738" s="46"/>
      <c r="AP738" s="47"/>
      <c r="AQ738" s="43">
        <f t="shared" ref="AQ738:AQ739" si="573">IF(U738="Motor Plus",(M738*27%),IF(U738="Motor One",(M738*22%),(IF(U738="Golden",(M738*25%),(IF(U738="Classic",(M738*15%),(IF(U738="Wethaq",(M738*28%),IF(U738="Alwataniya",(M738*21%))*0))))))))</f>
        <v>9103.25</v>
      </c>
      <c r="AR738" s="43">
        <f t="shared" si="448"/>
        <v>455.1625</v>
      </c>
      <c r="AS738" s="43">
        <f t="shared" si="449"/>
        <v>1593.06875</v>
      </c>
      <c r="AT738" s="48">
        <f t="shared" si="450"/>
        <v>7055.01875</v>
      </c>
      <c r="AU738" s="49">
        <f t="shared" si="571"/>
        <v>7055.01875</v>
      </c>
      <c r="AV738" s="48"/>
      <c r="AW738" s="34">
        <f t="shared" si="540"/>
        <v>34608.7</v>
      </c>
      <c r="AX738" s="50">
        <f t="shared" si="413"/>
        <v>2663.71875</v>
      </c>
      <c r="AY738" s="43"/>
      <c r="AZ738" s="47"/>
      <c r="BA738" s="48">
        <f t="shared" si="558"/>
        <v>7055.01875</v>
      </c>
      <c r="BB738" s="27"/>
      <c r="BC738" s="27"/>
      <c r="BD738" s="51"/>
      <c r="BE738" s="52"/>
      <c r="BF738" s="27" t="s">
        <v>2463</v>
      </c>
      <c r="BG738" s="58" t="s">
        <v>562</v>
      </c>
      <c r="BH738" s="53" t="str">
        <f>'[1]2023'!Q995</f>
        <v>#REF!</v>
      </c>
      <c r="BI738" s="27"/>
      <c r="BJ738" s="27"/>
      <c r="BK738" s="27" t="s">
        <v>76</v>
      </c>
      <c r="BL738" s="27"/>
    </row>
    <row r="739" ht="14.25" customHeight="1">
      <c r="A739" s="26" t="s">
        <v>55</v>
      </c>
      <c r="B739" s="26" t="s">
        <v>56</v>
      </c>
      <c r="C739" s="26" t="s">
        <v>57</v>
      </c>
      <c r="D739" s="26" t="s">
        <v>81</v>
      </c>
      <c r="E739" s="27" t="s">
        <v>2466</v>
      </c>
      <c r="F739" s="28" t="s">
        <v>2467</v>
      </c>
      <c r="G739" s="29" t="s">
        <v>2447</v>
      </c>
      <c r="H739" s="30">
        <v>45125.0</v>
      </c>
      <c r="I739" s="30">
        <v>45490.0</v>
      </c>
      <c r="J739" s="31">
        <v>0.0</v>
      </c>
      <c r="K739" s="26" t="s">
        <v>887</v>
      </c>
      <c r="L739" s="73" t="s">
        <v>75</v>
      </c>
      <c r="M739" s="33">
        <v>24780.0</v>
      </c>
      <c r="N739" s="34">
        <v>26383.02</v>
      </c>
      <c r="O739" s="27" t="s">
        <v>76</v>
      </c>
      <c r="P739" s="35" t="s">
        <v>430</v>
      </c>
      <c r="Q739" s="35" t="s">
        <v>85</v>
      </c>
      <c r="R739" s="36" t="e">
        <v>#VALUE!</v>
      </c>
      <c r="S739" s="35" t="s">
        <v>86</v>
      </c>
      <c r="T739" s="35">
        <v>0.0</v>
      </c>
      <c r="U739" s="37" t="s">
        <v>67</v>
      </c>
      <c r="V739" s="38"/>
      <c r="W739" s="38"/>
      <c r="X739" s="27"/>
      <c r="Y739" s="39"/>
      <c r="Z739" s="39"/>
      <c r="AA739" s="39"/>
      <c r="AB739" s="40"/>
      <c r="AC739" s="27">
        <f t="shared" si="539"/>
        <v>0</v>
      </c>
      <c r="AD739" s="41">
        <f t="shared" ref="AD739:AD754" si="574">IF(AND(S739="0",O739="Paid"),(M739*15%)-AC739,0)</f>
        <v>3717</v>
      </c>
      <c r="AE739" s="42"/>
      <c r="AF739" s="29">
        <v>45115.0</v>
      </c>
      <c r="AG739" s="43">
        <f t="shared" ref="AG739:AG746" si="575">IF(O739="Paid",IF(A739="Alwataniya",(M739*21%)-((M739*21%)*5%),IF((A739="GIG"),(M739*25%)-((M739*25%)*5%),IF((A739="Allianz"),(M739*27%)-((M739*27%)*5%),0))),0)</f>
        <v>6356.07</v>
      </c>
      <c r="AH739" s="29"/>
      <c r="AI739" s="29"/>
      <c r="AJ739" s="29"/>
      <c r="AK739" s="29"/>
      <c r="AL739" s="27"/>
      <c r="AM739" s="27"/>
      <c r="AN739" s="47"/>
      <c r="AO739" s="46"/>
      <c r="AP739" s="47"/>
      <c r="AQ739" s="43">
        <f t="shared" si="573"/>
        <v>6690.6</v>
      </c>
      <c r="AR739" s="43">
        <f t="shared" si="448"/>
        <v>334.53</v>
      </c>
      <c r="AS739" s="43">
        <f t="shared" si="449"/>
        <v>1170.855</v>
      </c>
      <c r="AT739" s="48">
        <f t="shared" si="450"/>
        <v>5185.215</v>
      </c>
      <c r="AU739" s="49">
        <f t="shared" si="571"/>
        <v>5185.215</v>
      </c>
      <c r="AV739" s="48"/>
      <c r="AW739" s="34">
        <f t="shared" si="540"/>
        <v>22666.02</v>
      </c>
      <c r="AX739" s="50">
        <f t="shared" si="413"/>
        <v>1468.215</v>
      </c>
      <c r="AY739" s="43"/>
      <c r="AZ739" s="47"/>
      <c r="BA739" s="48">
        <f t="shared" si="558"/>
        <v>5185.215</v>
      </c>
      <c r="BB739" s="27"/>
      <c r="BC739" s="27"/>
      <c r="BD739" s="51"/>
      <c r="BE739" s="52"/>
      <c r="BF739" s="27" t="s">
        <v>2466</v>
      </c>
      <c r="BG739" s="53">
        <v>0.0</v>
      </c>
      <c r="BH739" s="53" t="str">
        <f>'[1]2023'!Q1024</f>
        <v>#REF!</v>
      </c>
      <c r="BI739" s="27"/>
      <c r="BJ739" s="27"/>
      <c r="BK739" s="27" t="s">
        <v>76</v>
      </c>
      <c r="BL739" s="27"/>
    </row>
    <row r="740" ht="14.25" customHeight="1">
      <c r="A740" s="26" t="s">
        <v>55</v>
      </c>
      <c r="B740" s="26" t="s">
        <v>56</v>
      </c>
      <c r="C740" s="26" t="s">
        <v>57</v>
      </c>
      <c r="D740" s="26" t="s">
        <v>58</v>
      </c>
      <c r="E740" s="27" t="s">
        <v>2468</v>
      </c>
      <c r="F740" s="28" t="s">
        <v>2469</v>
      </c>
      <c r="G740" s="29">
        <v>45125.0</v>
      </c>
      <c r="H740" s="30">
        <v>45125.0</v>
      </c>
      <c r="I740" s="30">
        <v>45490.0</v>
      </c>
      <c r="J740" s="31">
        <v>0.0</v>
      </c>
      <c r="K740" s="26" t="s">
        <v>887</v>
      </c>
      <c r="L740" s="32" t="s">
        <v>63</v>
      </c>
      <c r="M740" s="33">
        <v>0.0</v>
      </c>
      <c r="N740" s="34">
        <v>0.0</v>
      </c>
      <c r="O740" s="27" t="s">
        <v>64</v>
      </c>
      <c r="P740" s="35">
        <v>0.0</v>
      </c>
      <c r="Q740" s="35">
        <v>0.0</v>
      </c>
      <c r="R740" s="36">
        <v>45125.0</v>
      </c>
      <c r="S740" s="35" t="s">
        <v>86</v>
      </c>
      <c r="T740" s="35">
        <v>0.0</v>
      </c>
      <c r="U740" s="37">
        <v>0.0</v>
      </c>
      <c r="V740" s="38"/>
      <c r="W740" s="38"/>
      <c r="X740" s="27"/>
      <c r="Y740" s="39"/>
      <c r="Z740" s="39"/>
      <c r="AA740" s="39"/>
      <c r="AB740" s="27"/>
      <c r="AC740" s="27">
        <f t="shared" si="539"/>
        <v>0</v>
      </c>
      <c r="AD740" s="41">
        <f t="shared" si="574"/>
        <v>0</v>
      </c>
      <c r="AE740" s="42"/>
      <c r="AF740" s="27"/>
      <c r="AG740" s="43">
        <f t="shared" si="575"/>
        <v>0</v>
      </c>
      <c r="AH740" s="29"/>
      <c r="AI740" s="29"/>
      <c r="AJ740" s="29"/>
      <c r="AK740" s="29"/>
      <c r="AL740" s="27"/>
      <c r="AM740" s="44"/>
      <c r="AN740" s="68"/>
      <c r="AO740" s="46"/>
      <c r="AP740" s="47"/>
      <c r="AQ740" s="43" t="b">
        <f t="shared" ref="AQ740:AQ741" si="576">IF(O740="Paid",IF(U740="Motor Plus",(M740*27%),IF(U740="Motor One",(M740*22%),(IF(U740="Golden",(M740*25%),(IF(U740="Classic",(M740*15%),(IF(U740="Wethaq",(M740*28%),IF(U740="Alwataniya",(M740*21%))*0)))))))))</f>
        <v>0</v>
      </c>
      <c r="AR740" s="43">
        <f t="shared" si="448"/>
        <v>0</v>
      </c>
      <c r="AS740" s="43">
        <f t="shared" si="449"/>
        <v>0</v>
      </c>
      <c r="AT740" s="48">
        <f t="shared" si="450"/>
        <v>0</v>
      </c>
      <c r="AU740" s="49">
        <f t="shared" ref="AU740:AU741" si="577">AQ740-AR740-AS740-AC740-AO740</f>
        <v>0</v>
      </c>
      <c r="AV740" s="48"/>
      <c r="AW740" s="34">
        <f t="shared" si="540"/>
        <v>0</v>
      </c>
      <c r="AX740" s="50">
        <f t="shared" si="413"/>
        <v>0</v>
      </c>
      <c r="AY740" s="43"/>
      <c r="AZ740" s="47"/>
      <c r="BA740" s="48">
        <f t="shared" si="558"/>
        <v>0</v>
      </c>
      <c r="BB740" s="27"/>
      <c r="BC740" s="27"/>
      <c r="BD740" s="51"/>
      <c r="BE740" s="52"/>
      <c r="BF740" s="27" t="s">
        <v>2468</v>
      </c>
      <c r="BG740" s="53">
        <v>0.0</v>
      </c>
      <c r="BH740" s="53" t="str">
        <f>'[1]2023'!Q1121</f>
        <v>#REF!</v>
      </c>
      <c r="BI740" s="27"/>
      <c r="BJ740" s="27"/>
      <c r="BK740" s="27" t="s">
        <v>64</v>
      </c>
      <c r="BL740" s="27"/>
    </row>
    <row r="741" ht="14.25" customHeight="1">
      <c r="A741" s="26" t="s">
        <v>55</v>
      </c>
      <c r="B741" s="26" t="s">
        <v>56</v>
      </c>
      <c r="C741" s="26" t="s">
        <v>57</v>
      </c>
      <c r="D741" s="26" t="s">
        <v>58</v>
      </c>
      <c r="E741" s="27" t="s">
        <v>2470</v>
      </c>
      <c r="F741" s="28" t="s">
        <v>2471</v>
      </c>
      <c r="G741" s="29">
        <v>45125.0</v>
      </c>
      <c r="H741" s="30">
        <v>45125.0</v>
      </c>
      <c r="I741" s="30">
        <v>45490.0</v>
      </c>
      <c r="J741" s="31">
        <v>0.0</v>
      </c>
      <c r="K741" s="26" t="s">
        <v>887</v>
      </c>
      <c r="L741" s="32" t="s">
        <v>63</v>
      </c>
      <c r="M741" s="33">
        <v>0.0</v>
      </c>
      <c r="N741" s="34">
        <v>0.0</v>
      </c>
      <c r="O741" s="27" t="s">
        <v>64</v>
      </c>
      <c r="P741" s="35">
        <v>0.0</v>
      </c>
      <c r="Q741" s="35">
        <v>0.0</v>
      </c>
      <c r="R741" s="36">
        <v>45125.0</v>
      </c>
      <c r="S741" s="35" t="s">
        <v>86</v>
      </c>
      <c r="T741" s="35">
        <v>0.0</v>
      </c>
      <c r="U741" s="37">
        <v>0.0</v>
      </c>
      <c r="V741" s="38"/>
      <c r="W741" s="38"/>
      <c r="X741" s="27"/>
      <c r="Y741" s="39"/>
      <c r="Z741" s="39"/>
      <c r="AA741" s="39"/>
      <c r="AB741" s="27"/>
      <c r="AC741" s="27">
        <f t="shared" si="539"/>
        <v>0</v>
      </c>
      <c r="AD741" s="41">
        <f t="shared" si="574"/>
        <v>0</v>
      </c>
      <c r="AE741" s="42"/>
      <c r="AF741" s="27"/>
      <c r="AG741" s="43">
        <f t="shared" si="575"/>
        <v>0</v>
      </c>
      <c r="AH741" s="29"/>
      <c r="AI741" s="29"/>
      <c r="AJ741" s="29"/>
      <c r="AK741" s="29"/>
      <c r="AL741" s="27"/>
      <c r="AM741" s="44"/>
      <c r="AN741" s="47"/>
      <c r="AO741" s="46"/>
      <c r="AP741" s="47"/>
      <c r="AQ741" s="43" t="b">
        <f t="shared" si="576"/>
        <v>0</v>
      </c>
      <c r="AR741" s="43">
        <f t="shared" si="448"/>
        <v>0</v>
      </c>
      <c r="AS741" s="43">
        <f t="shared" si="449"/>
        <v>0</v>
      </c>
      <c r="AT741" s="48">
        <f t="shared" si="450"/>
        <v>0</v>
      </c>
      <c r="AU741" s="49">
        <f t="shared" si="577"/>
        <v>0</v>
      </c>
      <c r="AV741" s="48"/>
      <c r="AW741" s="34">
        <f t="shared" si="540"/>
        <v>0</v>
      </c>
      <c r="AX741" s="50">
        <f t="shared" si="413"/>
        <v>0</v>
      </c>
      <c r="AY741" s="43"/>
      <c r="AZ741" s="47"/>
      <c r="BA741" s="48">
        <f t="shared" si="558"/>
        <v>0</v>
      </c>
      <c r="BB741" s="27"/>
      <c r="BC741" s="27"/>
      <c r="BD741" s="51"/>
      <c r="BE741" s="52"/>
      <c r="BF741" s="27" t="s">
        <v>2470</v>
      </c>
      <c r="BG741" s="53">
        <v>0.0</v>
      </c>
      <c r="BH741" s="53" t="str">
        <f>'[1]2023'!Q1151</f>
        <v>#REF!</v>
      </c>
      <c r="BI741" s="27"/>
      <c r="BJ741" s="27"/>
      <c r="BK741" s="27" t="s">
        <v>64</v>
      </c>
      <c r="BL741" s="27"/>
    </row>
    <row r="742" ht="14.25" customHeight="1">
      <c r="A742" s="26" t="s">
        <v>55</v>
      </c>
      <c r="B742" s="26" t="s">
        <v>56</v>
      </c>
      <c r="C742" s="26" t="s">
        <v>57</v>
      </c>
      <c r="D742" s="26" t="s">
        <v>81</v>
      </c>
      <c r="E742" s="27" t="s">
        <v>2472</v>
      </c>
      <c r="F742" s="28" t="s">
        <v>2473</v>
      </c>
      <c r="G742" s="29" t="s">
        <v>2474</v>
      </c>
      <c r="H742" s="30">
        <v>45126.0</v>
      </c>
      <c r="I742" s="30">
        <v>45491.0</v>
      </c>
      <c r="J742" s="31">
        <v>0.0</v>
      </c>
      <c r="K742" s="26" t="s">
        <v>887</v>
      </c>
      <c r="L742" s="32" t="s">
        <v>75</v>
      </c>
      <c r="M742" s="33">
        <v>19275.8</v>
      </c>
      <c r="N742" s="34">
        <v>20554.08</v>
      </c>
      <c r="O742" s="27" t="s">
        <v>76</v>
      </c>
      <c r="P742" s="35">
        <v>0.0</v>
      </c>
      <c r="Q742" s="35">
        <v>0.0</v>
      </c>
      <c r="R742" s="36" t="e">
        <v>#VALUE!</v>
      </c>
      <c r="S742" s="35" t="s">
        <v>86</v>
      </c>
      <c r="T742" s="35">
        <v>0.0</v>
      </c>
      <c r="U742" s="37" t="s">
        <v>67</v>
      </c>
      <c r="V742" s="38"/>
      <c r="W742" s="38"/>
      <c r="X742" s="27"/>
      <c r="Y742" s="39"/>
      <c r="Z742" s="39"/>
      <c r="AA742" s="39"/>
      <c r="AB742" s="40"/>
      <c r="AC742" s="27">
        <f t="shared" si="539"/>
        <v>0</v>
      </c>
      <c r="AD742" s="41">
        <f t="shared" si="574"/>
        <v>2891.37</v>
      </c>
      <c r="AE742" s="42"/>
      <c r="AF742" s="27"/>
      <c r="AG742" s="43">
        <f t="shared" si="575"/>
        <v>4944.2427</v>
      </c>
      <c r="AH742" s="29"/>
      <c r="AI742" s="29"/>
      <c r="AJ742" s="29"/>
      <c r="AK742" s="29"/>
      <c r="AL742" s="27"/>
      <c r="AM742" s="44"/>
      <c r="AN742" s="47"/>
      <c r="AO742" s="46">
        <f>IF(T742&lt;&gt;0,M742*15%,0)</f>
        <v>0</v>
      </c>
      <c r="AP742" s="47"/>
      <c r="AQ742" s="43">
        <f>IF(U742="Motor Plus",(M742*27%),IF(U742="Motor One",(M742*22%),(IF(U742="Golden",(M742*25%),(IF(U742="Classic",(M742*15%),(IF(U742="Wethaq",(M742*28%),IF(U742="Alwataniya",(M742*21%))*0))))))))</f>
        <v>5204.466</v>
      </c>
      <c r="AR742" s="43">
        <f t="shared" si="448"/>
        <v>260.2233</v>
      </c>
      <c r="AS742" s="43">
        <f t="shared" si="449"/>
        <v>910.78155</v>
      </c>
      <c r="AT742" s="48">
        <f t="shared" si="450"/>
        <v>4033.46115</v>
      </c>
      <c r="AU742" s="49">
        <f>AQ742-AR742-AS742-AC742</f>
        <v>4033.46115</v>
      </c>
      <c r="AV742" s="48"/>
      <c r="AW742" s="34">
        <f t="shared" si="540"/>
        <v>17662.71</v>
      </c>
      <c r="AX742" s="50">
        <f t="shared" si="413"/>
        <v>1142.09115</v>
      </c>
      <c r="AY742" s="43">
        <f>IF(T742&lt;&gt;0,(AU742-AO742),0)*30%</f>
        <v>0</v>
      </c>
      <c r="AZ742" s="43"/>
      <c r="BA742" s="48">
        <f t="shared" si="558"/>
        <v>4033.46115</v>
      </c>
      <c r="BB742" s="27"/>
      <c r="BC742" s="27"/>
      <c r="BD742" s="51"/>
      <c r="BE742" s="52"/>
      <c r="BF742" s="27" t="s">
        <v>2472</v>
      </c>
      <c r="BG742" s="58" t="s">
        <v>2475</v>
      </c>
      <c r="BH742" s="53" t="str">
        <f>'[1]2023'!Q944</f>
        <v>#REF!</v>
      </c>
      <c r="BI742" s="27"/>
      <c r="BJ742" s="27"/>
      <c r="BK742" s="27" t="s">
        <v>76</v>
      </c>
      <c r="BL742" s="27"/>
    </row>
    <row r="743" ht="14.25" customHeight="1">
      <c r="A743" s="26" t="s">
        <v>55</v>
      </c>
      <c r="B743" s="26" t="s">
        <v>56</v>
      </c>
      <c r="C743" s="26" t="s">
        <v>57</v>
      </c>
      <c r="D743" s="26" t="s">
        <v>58</v>
      </c>
      <c r="E743" s="27" t="s">
        <v>2476</v>
      </c>
      <c r="F743" s="28" t="s">
        <v>2477</v>
      </c>
      <c r="G743" s="29" t="s">
        <v>2474</v>
      </c>
      <c r="H743" s="30">
        <v>45126.0</v>
      </c>
      <c r="I743" s="30">
        <v>45491.0</v>
      </c>
      <c r="J743" s="31">
        <v>0.0</v>
      </c>
      <c r="K743" s="26" t="s">
        <v>887</v>
      </c>
      <c r="L743" s="32" t="s">
        <v>63</v>
      </c>
      <c r="M743" s="33">
        <v>6421.37</v>
      </c>
      <c r="N743" s="34">
        <v>6800.23</v>
      </c>
      <c r="O743" s="27" t="s">
        <v>64</v>
      </c>
      <c r="P743" s="35">
        <v>0.0</v>
      </c>
      <c r="Q743" s="35" t="s">
        <v>90</v>
      </c>
      <c r="R743" s="36" t="e">
        <v>#VALUE!</v>
      </c>
      <c r="S743" s="35" t="s">
        <v>86</v>
      </c>
      <c r="T743" s="35">
        <v>0.0</v>
      </c>
      <c r="U743" s="37" t="s">
        <v>67</v>
      </c>
      <c r="V743" s="38"/>
      <c r="W743" s="38"/>
      <c r="X743" s="27"/>
      <c r="Y743" s="39"/>
      <c r="Z743" s="39"/>
      <c r="AA743" s="39"/>
      <c r="AB743" s="40"/>
      <c r="AC743" s="27">
        <f t="shared" si="539"/>
        <v>0</v>
      </c>
      <c r="AD743" s="41">
        <f t="shared" si="574"/>
        <v>0</v>
      </c>
      <c r="AE743" s="42"/>
      <c r="AF743" s="27"/>
      <c r="AG743" s="43">
        <f t="shared" si="575"/>
        <v>0</v>
      </c>
      <c r="AH743" s="29"/>
      <c r="AI743" s="29"/>
      <c r="AJ743" s="55"/>
      <c r="AK743" s="29"/>
      <c r="AL743" s="27"/>
      <c r="AM743" s="44"/>
      <c r="AN743" s="47"/>
      <c r="AO743" s="46"/>
      <c r="AP743" s="47"/>
      <c r="AQ743" s="43" t="b">
        <f>IF(O743="Paid",IF(U743="Motor Plus",(M743*27%),IF(U743="Motor One",(M743*22%),(IF(U743="Golden",(M743*25%),(IF(U743="Classic",(M743*15%),(IF(U743="Wethaq",(M743*28%),IF(U743="Alwataniya",(M743*21%))*0)))))))))</f>
        <v>0</v>
      </c>
      <c r="AR743" s="43">
        <f t="shared" si="448"/>
        <v>0</v>
      </c>
      <c r="AS743" s="43">
        <f t="shared" si="449"/>
        <v>0</v>
      </c>
      <c r="AT743" s="48">
        <f t="shared" si="450"/>
        <v>0</v>
      </c>
      <c r="AU743" s="49">
        <f>AQ743-AR743-AS743-AC743-AO743</f>
        <v>0</v>
      </c>
      <c r="AV743" s="48"/>
      <c r="AW743" s="34">
        <f t="shared" si="540"/>
        <v>6800.23</v>
      </c>
      <c r="AX743" s="50">
        <f t="shared" si="413"/>
        <v>0</v>
      </c>
      <c r="AY743" s="43"/>
      <c r="AZ743" s="47"/>
      <c r="BA743" s="48">
        <f t="shared" si="558"/>
        <v>0</v>
      </c>
      <c r="BB743" s="27"/>
      <c r="BC743" s="27"/>
      <c r="BD743" s="51"/>
      <c r="BE743" s="52"/>
      <c r="BF743" s="27" t="s">
        <v>2476</v>
      </c>
      <c r="BG743" s="53">
        <v>0.0</v>
      </c>
      <c r="BH743" s="53" t="str">
        <f>'[1]2023'!Q987</f>
        <v>#REF!</v>
      </c>
      <c r="BI743" s="27"/>
      <c r="BJ743" s="27"/>
      <c r="BK743" s="27" t="s">
        <v>64</v>
      </c>
      <c r="BL743" s="27"/>
    </row>
    <row r="744" ht="14.25" customHeight="1">
      <c r="A744" s="26" t="s">
        <v>55</v>
      </c>
      <c r="B744" s="26" t="s">
        <v>56</v>
      </c>
      <c r="C744" s="26" t="s">
        <v>57</v>
      </c>
      <c r="D744" s="26" t="s">
        <v>81</v>
      </c>
      <c r="E744" s="27" t="s">
        <v>2478</v>
      </c>
      <c r="F744" s="28" t="s">
        <v>2479</v>
      </c>
      <c r="G744" s="29" t="s">
        <v>2480</v>
      </c>
      <c r="H744" s="30">
        <v>45128.0</v>
      </c>
      <c r="I744" s="30">
        <v>45493.0</v>
      </c>
      <c r="J744" s="31">
        <v>0.0</v>
      </c>
      <c r="K744" s="26" t="s">
        <v>887</v>
      </c>
      <c r="L744" s="32" t="s">
        <v>75</v>
      </c>
      <c r="M744" s="33">
        <v>13275.0</v>
      </c>
      <c r="N744" s="34">
        <v>14199.23</v>
      </c>
      <c r="O744" s="27" t="s">
        <v>76</v>
      </c>
      <c r="P744" s="35" t="s">
        <v>430</v>
      </c>
      <c r="Q744" s="35" t="s">
        <v>90</v>
      </c>
      <c r="R744" s="36" t="e">
        <v>#VALUE!</v>
      </c>
      <c r="S744" s="35" t="s">
        <v>86</v>
      </c>
      <c r="T744" s="35">
        <v>0.0</v>
      </c>
      <c r="U744" s="37" t="s">
        <v>67</v>
      </c>
      <c r="V744" s="38"/>
      <c r="W744" s="38"/>
      <c r="X744" s="27"/>
      <c r="Y744" s="39"/>
      <c r="Z744" s="79" t="s">
        <v>232</v>
      </c>
      <c r="AA744" s="39"/>
      <c r="AB744" s="40"/>
      <c r="AC744" s="27">
        <f t="shared" si="539"/>
        <v>0</v>
      </c>
      <c r="AD744" s="41">
        <f t="shared" si="574"/>
        <v>1991.25</v>
      </c>
      <c r="AE744" s="42"/>
      <c r="AF744" s="27"/>
      <c r="AG744" s="43">
        <f t="shared" si="575"/>
        <v>3405.0375</v>
      </c>
      <c r="AH744" s="29"/>
      <c r="AI744" s="29"/>
      <c r="AJ744" s="29"/>
      <c r="AK744" s="29"/>
      <c r="AL744" s="27"/>
      <c r="AM744" s="44"/>
      <c r="AN744" s="68"/>
      <c r="AO744" s="46"/>
      <c r="AP744" s="47"/>
      <c r="AQ744" s="43">
        <f t="shared" ref="AQ744:AQ746" si="578">IF(U744="Motor Plus",(M744*27%),IF(U744="Motor One",(M744*22%),(IF(U744="Golden",(M744*25%),(IF(U744="Classic",(M744*15%),(IF(U744="Wethaq",(M744*28%),IF(U744="Alwataniya",(M744*21%))*0))))))))</f>
        <v>3584.25</v>
      </c>
      <c r="AR744" s="43">
        <f t="shared" si="448"/>
        <v>179.2125</v>
      </c>
      <c r="AS744" s="43">
        <f t="shared" si="449"/>
        <v>627.24375</v>
      </c>
      <c r="AT744" s="48">
        <f t="shared" si="450"/>
        <v>2777.79375</v>
      </c>
      <c r="AU744" s="49">
        <f t="shared" ref="AU744:AU746" si="579">AQ744-AR744-AS744-AC744</f>
        <v>2777.79375</v>
      </c>
      <c r="AV744" s="48"/>
      <c r="AW744" s="34">
        <f t="shared" si="540"/>
        <v>12207.98</v>
      </c>
      <c r="AX744" s="50">
        <f t="shared" si="413"/>
        <v>786.54375</v>
      </c>
      <c r="AY744" s="43"/>
      <c r="AZ744" s="47"/>
      <c r="BA744" s="48">
        <f t="shared" si="558"/>
        <v>2777.79375</v>
      </c>
      <c r="BB744" s="27"/>
      <c r="BC744" s="27"/>
      <c r="BD744" s="51"/>
      <c r="BE744" s="52"/>
      <c r="BF744" s="27" t="s">
        <v>2478</v>
      </c>
      <c r="BG744" s="53">
        <v>0.0</v>
      </c>
      <c r="BH744" s="53" t="str">
        <f>'[1]2023'!Q1021</f>
        <v>#REF!</v>
      </c>
      <c r="BI744" s="27"/>
      <c r="BJ744" s="27"/>
      <c r="BK744" s="27" t="s">
        <v>76</v>
      </c>
      <c r="BL744" s="27"/>
    </row>
    <row r="745" ht="14.25" customHeight="1">
      <c r="A745" s="26" t="s">
        <v>55</v>
      </c>
      <c r="B745" s="26" t="s">
        <v>56</v>
      </c>
      <c r="C745" s="26" t="s">
        <v>57</v>
      </c>
      <c r="D745" s="26" t="s">
        <v>81</v>
      </c>
      <c r="E745" s="27" t="s">
        <v>2481</v>
      </c>
      <c r="F745" s="28" t="s">
        <v>2482</v>
      </c>
      <c r="G745" s="29" t="s">
        <v>2483</v>
      </c>
      <c r="H745" s="30">
        <v>45129.0</v>
      </c>
      <c r="I745" s="30">
        <v>45494.0</v>
      </c>
      <c r="J745" s="31">
        <v>0.0</v>
      </c>
      <c r="K745" s="26" t="s">
        <v>887</v>
      </c>
      <c r="L745" s="32" t="s">
        <v>75</v>
      </c>
      <c r="M745" s="33">
        <v>5219.28</v>
      </c>
      <c r="N745" s="34">
        <v>5668.22</v>
      </c>
      <c r="O745" s="27" t="s">
        <v>76</v>
      </c>
      <c r="P745" s="35" t="s">
        <v>95</v>
      </c>
      <c r="Q745" s="35">
        <v>0.0</v>
      </c>
      <c r="R745" s="36" t="e">
        <v>#VALUE!</v>
      </c>
      <c r="S745" s="35" t="s">
        <v>86</v>
      </c>
      <c r="T745" s="35">
        <v>0.0</v>
      </c>
      <c r="U745" s="37" t="s">
        <v>67</v>
      </c>
      <c r="V745" s="38"/>
      <c r="W745" s="38"/>
      <c r="X745" s="27"/>
      <c r="Y745" s="39"/>
      <c r="Z745" s="39"/>
      <c r="AA745" s="39"/>
      <c r="AB745" s="40"/>
      <c r="AC745" s="27">
        <f t="shared" si="539"/>
        <v>0</v>
      </c>
      <c r="AD745" s="41">
        <f t="shared" si="574"/>
        <v>782.892</v>
      </c>
      <c r="AE745" s="42"/>
      <c r="AF745" s="27"/>
      <c r="AG745" s="43">
        <f t="shared" si="575"/>
        <v>1338.74532</v>
      </c>
      <c r="AH745" s="29"/>
      <c r="AI745" s="29"/>
      <c r="AJ745" s="55"/>
      <c r="AK745" s="29"/>
      <c r="AL745" s="27"/>
      <c r="AM745" s="44"/>
      <c r="AN745" s="68"/>
      <c r="AO745" s="46"/>
      <c r="AP745" s="47"/>
      <c r="AQ745" s="43">
        <f t="shared" si="578"/>
        <v>1409.2056</v>
      </c>
      <c r="AR745" s="43">
        <f t="shared" si="448"/>
        <v>70.46028</v>
      </c>
      <c r="AS745" s="43">
        <f t="shared" si="449"/>
        <v>246.61098</v>
      </c>
      <c r="AT745" s="48">
        <f t="shared" si="450"/>
        <v>1092.13434</v>
      </c>
      <c r="AU745" s="49">
        <f t="shared" si="579"/>
        <v>1092.13434</v>
      </c>
      <c r="AV745" s="48"/>
      <c r="AW745" s="34">
        <f t="shared" si="540"/>
        <v>4885.328</v>
      </c>
      <c r="AX745" s="50">
        <f t="shared" si="413"/>
        <v>309.24234</v>
      </c>
      <c r="AY745" s="43"/>
      <c r="AZ745" s="47"/>
      <c r="BA745" s="48">
        <f t="shared" si="558"/>
        <v>1092.13434</v>
      </c>
      <c r="BB745" s="27"/>
      <c r="BC745" s="27"/>
      <c r="BD745" s="51"/>
      <c r="BE745" s="52"/>
      <c r="BF745" s="27" t="s">
        <v>2481</v>
      </c>
      <c r="BG745" s="58" t="s">
        <v>2484</v>
      </c>
      <c r="BH745" s="53" t="str">
        <f>'[1]2023'!Q981</f>
        <v>#REF!</v>
      </c>
      <c r="BI745" s="27"/>
      <c r="BJ745" s="27"/>
      <c r="BK745" s="27" t="s">
        <v>76</v>
      </c>
      <c r="BL745" s="27"/>
    </row>
    <row r="746" ht="14.25" customHeight="1">
      <c r="A746" s="26" t="s">
        <v>55</v>
      </c>
      <c r="B746" s="26" t="s">
        <v>56</v>
      </c>
      <c r="C746" s="26" t="s">
        <v>57</v>
      </c>
      <c r="D746" s="26" t="s">
        <v>81</v>
      </c>
      <c r="E746" s="27" t="s">
        <v>2485</v>
      </c>
      <c r="F746" s="28" t="s">
        <v>2486</v>
      </c>
      <c r="G746" s="29" t="s">
        <v>2487</v>
      </c>
      <c r="H746" s="30">
        <v>45130.0</v>
      </c>
      <c r="I746" s="30">
        <v>45495.0</v>
      </c>
      <c r="J746" s="31">
        <v>0.0</v>
      </c>
      <c r="K746" s="26" t="s">
        <v>887</v>
      </c>
      <c r="L746" s="32" t="s">
        <v>75</v>
      </c>
      <c r="M746" s="33">
        <v>21240.0</v>
      </c>
      <c r="N746" s="34">
        <v>22634.16</v>
      </c>
      <c r="O746" s="27" t="s">
        <v>76</v>
      </c>
      <c r="P746" s="35" t="s">
        <v>430</v>
      </c>
      <c r="Q746" s="35" t="s">
        <v>90</v>
      </c>
      <c r="R746" s="36" t="e">
        <v>#VALUE!</v>
      </c>
      <c r="S746" s="35" t="s">
        <v>86</v>
      </c>
      <c r="T746" s="35">
        <v>0.0</v>
      </c>
      <c r="U746" s="37" t="s">
        <v>67</v>
      </c>
      <c r="V746" s="38"/>
      <c r="W746" s="38"/>
      <c r="X746" s="27"/>
      <c r="Y746" s="39"/>
      <c r="Z746" s="39">
        <v>5008.0</v>
      </c>
      <c r="AA746" s="39"/>
      <c r="AB746" s="40"/>
      <c r="AC746" s="27">
        <f t="shared" si="539"/>
        <v>0</v>
      </c>
      <c r="AD746" s="41">
        <f t="shared" si="574"/>
        <v>3186</v>
      </c>
      <c r="AE746" s="42"/>
      <c r="AF746" s="27"/>
      <c r="AG746" s="43">
        <f t="shared" si="575"/>
        <v>5448.06</v>
      </c>
      <c r="AH746" s="29"/>
      <c r="AI746" s="29"/>
      <c r="AJ746" s="55"/>
      <c r="AK746" s="29"/>
      <c r="AL746" s="27"/>
      <c r="AM746" s="44"/>
      <c r="AN746" s="47"/>
      <c r="AO746" s="46"/>
      <c r="AP746" s="47"/>
      <c r="AQ746" s="43">
        <f t="shared" si="578"/>
        <v>5734.8</v>
      </c>
      <c r="AR746" s="43">
        <f t="shared" si="448"/>
        <v>286.74</v>
      </c>
      <c r="AS746" s="43">
        <f t="shared" si="449"/>
        <v>1003.59</v>
      </c>
      <c r="AT746" s="48">
        <f t="shared" si="450"/>
        <v>4444.47</v>
      </c>
      <c r="AU746" s="49">
        <f t="shared" si="579"/>
        <v>4444.47</v>
      </c>
      <c r="AV746" s="48"/>
      <c r="AW746" s="34">
        <f t="shared" si="540"/>
        <v>19448.16</v>
      </c>
      <c r="AX746" s="50">
        <f t="shared" si="413"/>
        <v>1258.47</v>
      </c>
      <c r="AY746" s="43"/>
      <c r="AZ746" s="47"/>
      <c r="BA746" s="48">
        <f t="shared" si="558"/>
        <v>4444.47</v>
      </c>
      <c r="BB746" s="27"/>
      <c r="BC746" s="27"/>
      <c r="BD746" s="51"/>
      <c r="BE746" s="52"/>
      <c r="BF746" s="27" t="s">
        <v>2485</v>
      </c>
      <c r="BG746" s="53">
        <v>0.0</v>
      </c>
      <c r="BH746" s="53" t="str">
        <f>'[1]2023'!Q970</f>
        <v>#REF!</v>
      </c>
      <c r="BI746" s="27"/>
      <c r="BJ746" s="27"/>
      <c r="BK746" s="27" t="s">
        <v>76</v>
      </c>
      <c r="BL746" s="27"/>
    </row>
    <row r="747" ht="14.25" customHeight="1">
      <c r="A747" s="26" t="s">
        <v>111</v>
      </c>
      <c r="B747" s="26" t="s">
        <v>56</v>
      </c>
      <c r="C747" s="26" t="s">
        <v>57</v>
      </c>
      <c r="D747" s="26" t="s">
        <v>71</v>
      </c>
      <c r="E747" s="27" t="s">
        <v>2488</v>
      </c>
      <c r="F747" s="28" t="s">
        <v>2489</v>
      </c>
      <c r="G747" s="29">
        <v>45130.57986111111</v>
      </c>
      <c r="H747" s="30">
        <v>45130.57986111111</v>
      </c>
      <c r="I747" s="30">
        <v>45495.57986111111</v>
      </c>
      <c r="J747" s="31">
        <v>0.0</v>
      </c>
      <c r="K747" s="26" t="s">
        <v>2368</v>
      </c>
      <c r="L747" s="32" t="s">
        <v>63</v>
      </c>
      <c r="M747" s="33">
        <v>24195.68</v>
      </c>
      <c r="N747" s="34">
        <v>26000.0</v>
      </c>
      <c r="O747" s="27" t="s">
        <v>64</v>
      </c>
      <c r="P747" s="35">
        <v>0.0</v>
      </c>
      <c r="Q747" s="35">
        <v>0.0</v>
      </c>
      <c r="R747" s="36">
        <v>45139.57986111111</v>
      </c>
      <c r="S747" s="35" t="s">
        <v>86</v>
      </c>
      <c r="T747" s="35">
        <v>0.0</v>
      </c>
      <c r="U747" s="37" t="s">
        <v>115</v>
      </c>
      <c r="V747" s="38"/>
      <c r="W747" s="78"/>
      <c r="X747" s="27"/>
      <c r="Y747" s="39"/>
      <c r="Z747" s="39"/>
      <c r="AA747" s="39"/>
      <c r="AB747" s="27"/>
      <c r="AC747" s="27">
        <f t="shared" si="539"/>
        <v>0</v>
      </c>
      <c r="AD747" s="41">
        <f t="shared" si="574"/>
        <v>0</v>
      </c>
      <c r="AE747" s="42"/>
      <c r="AF747" s="27"/>
      <c r="AG747" s="43">
        <f t="shared" ref="AG747:AG748" si="580">IF(O747="Paid",IF(A747="Alwataniya",(M747*21%)-((M747*21%)*5%),IF((A747="GIG"),(M747*25%)-((M747*25%)*5%),IF((A747="Allianz"),(M747*27%)-((M747*27%)*20%),0))),0)</f>
        <v>0</v>
      </c>
      <c r="AH747" s="29"/>
      <c r="AI747" s="29"/>
      <c r="AJ747" s="29"/>
      <c r="AK747" s="29"/>
      <c r="AL747" s="27"/>
      <c r="AM747" s="44"/>
      <c r="AN747" s="47"/>
      <c r="AO747" s="46"/>
      <c r="AP747" s="47"/>
      <c r="AQ747" s="43" t="b">
        <f>IF(O747="Paid",IF(U747="Motor Plus",(M747*27%),IF(U747="Motor One",(M747*22%),(IF(U747="Golden",(M747*25%),(IF(U747="Classic",(M747*15%),(IF(U747="Wethaq",(M747*28%),IF(U747="Alwataniya",(M747*21%))*0)))))))))</f>
        <v>0</v>
      </c>
      <c r="AR747" s="43">
        <f t="shared" si="448"/>
        <v>0</v>
      </c>
      <c r="AS747" s="43">
        <f t="shared" si="449"/>
        <v>0</v>
      </c>
      <c r="AT747" s="48">
        <f t="shared" si="450"/>
        <v>0</v>
      </c>
      <c r="AU747" s="49">
        <f>AQ747-AR747-AS747-AC747-AO747</f>
        <v>0</v>
      </c>
      <c r="AV747" s="48"/>
      <c r="AW747" s="34">
        <f t="shared" si="540"/>
        <v>26000</v>
      </c>
      <c r="AX747" s="50">
        <f t="shared" si="413"/>
        <v>0</v>
      </c>
      <c r="AY747" s="43"/>
      <c r="AZ747" s="47"/>
      <c r="BA747" s="48">
        <f t="shared" si="558"/>
        <v>0</v>
      </c>
      <c r="BB747" s="27"/>
      <c r="BC747" s="27"/>
      <c r="BD747" s="51"/>
      <c r="BE747" s="52"/>
      <c r="BF747" s="27"/>
      <c r="BG747" s="53">
        <v>0.0</v>
      </c>
      <c r="BH747" s="53" t="str">
        <f>'[1]2023'!Q1345</f>
        <v>#REF!</v>
      </c>
      <c r="BI747" s="27"/>
      <c r="BJ747" s="27"/>
      <c r="BK747" s="27" t="s">
        <v>64</v>
      </c>
      <c r="BL747" s="27"/>
    </row>
    <row r="748" ht="14.25" customHeight="1">
      <c r="A748" s="26" t="s">
        <v>111</v>
      </c>
      <c r="B748" s="26" t="s">
        <v>56</v>
      </c>
      <c r="C748" s="26" t="s">
        <v>57</v>
      </c>
      <c r="D748" s="26" t="s">
        <v>71</v>
      </c>
      <c r="E748" s="27" t="s">
        <v>2490</v>
      </c>
      <c r="F748" s="28" t="s">
        <v>2491</v>
      </c>
      <c r="G748" s="29" t="s">
        <v>2492</v>
      </c>
      <c r="H748" s="30">
        <v>45131.0</v>
      </c>
      <c r="I748" s="30">
        <v>45496.0</v>
      </c>
      <c r="J748" s="31" t="s">
        <v>2493</v>
      </c>
      <c r="K748" s="26" t="s">
        <v>887</v>
      </c>
      <c r="L748" s="32" t="s">
        <v>922</v>
      </c>
      <c r="M748" s="33">
        <v>24195.0</v>
      </c>
      <c r="N748" s="34">
        <v>26000.0</v>
      </c>
      <c r="O748" s="27" t="s">
        <v>76</v>
      </c>
      <c r="P748" s="35" t="s">
        <v>430</v>
      </c>
      <c r="Q748" s="35" t="s">
        <v>114</v>
      </c>
      <c r="R748" s="36" t="e">
        <v>#VALUE!</v>
      </c>
      <c r="S748" s="35" t="s">
        <v>1103</v>
      </c>
      <c r="T748" s="35">
        <v>0.0</v>
      </c>
      <c r="U748" s="37" t="s">
        <v>115</v>
      </c>
      <c r="V748" s="38">
        <v>1000000.0</v>
      </c>
      <c r="W748" s="38"/>
      <c r="X748" s="27"/>
      <c r="Y748" s="39"/>
      <c r="Z748" s="39" t="s">
        <v>2494</v>
      </c>
      <c r="AA748" s="39"/>
      <c r="AB748" s="40"/>
      <c r="AC748" s="27">
        <f t="shared" si="539"/>
        <v>0</v>
      </c>
      <c r="AD748" s="41">
        <f t="shared" si="574"/>
        <v>0</v>
      </c>
      <c r="AE748" s="42"/>
      <c r="AF748" s="27"/>
      <c r="AG748" s="43">
        <f t="shared" si="580"/>
        <v>5746.3125</v>
      </c>
      <c r="AH748" s="29" t="s">
        <v>2495</v>
      </c>
      <c r="AI748" s="29">
        <v>45177.0</v>
      </c>
      <c r="AJ748" s="55"/>
      <c r="AK748" s="29">
        <v>44993.0</v>
      </c>
      <c r="AL748" s="27"/>
      <c r="AM748" s="44">
        <f>IF((BD748&lt;=2),AU748*10%,(IF((BD748&lt;=3),AU748*20%,IF((BD748&lt;=4),AU748*20%,IF((BD748&gt;=5),AU748*30%,0)))))</f>
        <v>468.778125</v>
      </c>
      <c r="AN748" s="63" t="s">
        <v>886</v>
      </c>
      <c r="AO748" s="46"/>
      <c r="AP748" s="47"/>
      <c r="AQ748" s="43">
        <f t="shared" ref="AQ748:AQ755" si="581">IF(U748="Motor Plus",(M748*27%),IF(U748="Motor One",(M748*22%),(IF(U748="Golden",(M748*25%),(IF(U748="Classic",(M748*15%),(IF(U748="Wethaq",(M748*28%),IF(U748="Alwataniya",(M748*21%))*0))))))))</f>
        <v>6048.75</v>
      </c>
      <c r="AR748" s="43">
        <f t="shared" si="448"/>
        <v>302.4375</v>
      </c>
      <c r="AS748" s="43">
        <f t="shared" si="449"/>
        <v>1058.53125</v>
      </c>
      <c r="AT748" s="48">
        <f t="shared" si="450"/>
        <v>4687.78125</v>
      </c>
      <c r="AU748" s="49">
        <f t="shared" ref="AU748:AU754" si="582">AQ748-AR748-AS748-AC748</f>
        <v>4687.78125</v>
      </c>
      <c r="AV748" s="134">
        <v>421.0</v>
      </c>
      <c r="AW748" s="34">
        <f t="shared" si="540"/>
        <v>26000</v>
      </c>
      <c r="AX748" s="50">
        <f t="shared" si="413"/>
        <v>3798.003125</v>
      </c>
      <c r="AY748" s="43"/>
      <c r="AZ748" s="47"/>
      <c r="BA748" s="48">
        <f t="shared" si="558"/>
        <v>4219.003125</v>
      </c>
      <c r="BB748" s="27"/>
      <c r="BC748" s="27"/>
      <c r="BD748" s="51"/>
      <c r="BE748" s="52" t="s">
        <v>887</v>
      </c>
      <c r="BF748" s="27" t="s">
        <v>2490</v>
      </c>
      <c r="BG748" s="53">
        <v>0.0</v>
      </c>
      <c r="BH748" s="53" t="str">
        <f>'[1]2023'!Q991</f>
        <v>#REF!</v>
      </c>
      <c r="BI748" s="27"/>
      <c r="BJ748" s="27"/>
      <c r="BK748" s="27" t="s">
        <v>76</v>
      </c>
      <c r="BL748" s="27"/>
    </row>
    <row r="749" ht="14.25" customHeight="1">
      <c r="A749" s="26" t="s">
        <v>55</v>
      </c>
      <c r="B749" s="26" t="s">
        <v>56</v>
      </c>
      <c r="C749" s="26" t="s">
        <v>57</v>
      </c>
      <c r="D749" s="26" t="s">
        <v>81</v>
      </c>
      <c r="E749" s="27" t="s">
        <v>2496</v>
      </c>
      <c r="F749" s="28" t="s">
        <v>2497</v>
      </c>
      <c r="G749" s="29" t="s">
        <v>2492</v>
      </c>
      <c r="H749" s="30">
        <v>45131.0</v>
      </c>
      <c r="I749" s="30">
        <v>45496.0</v>
      </c>
      <c r="J749" s="31">
        <v>0.0</v>
      </c>
      <c r="K749" s="26" t="s">
        <v>887</v>
      </c>
      <c r="L749" s="32" t="s">
        <v>75</v>
      </c>
      <c r="M749" s="33">
        <v>16380.0</v>
      </c>
      <c r="N749" s="34">
        <v>17487.42</v>
      </c>
      <c r="O749" s="27" t="s">
        <v>76</v>
      </c>
      <c r="P749" s="35" t="s">
        <v>89</v>
      </c>
      <c r="Q749" s="35">
        <v>0.0</v>
      </c>
      <c r="R749" s="36" t="e">
        <v>#VALUE!</v>
      </c>
      <c r="S749" s="35" t="s">
        <v>86</v>
      </c>
      <c r="T749" s="35">
        <v>0.0</v>
      </c>
      <c r="U749" s="37" t="s">
        <v>67</v>
      </c>
      <c r="V749" s="38"/>
      <c r="W749" s="38"/>
      <c r="X749" s="27"/>
      <c r="Y749" s="39"/>
      <c r="Z749" s="39"/>
      <c r="AA749" s="39"/>
      <c r="AB749" s="40"/>
      <c r="AC749" s="27">
        <f t="shared" si="539"/>
        <v>0</v>
      </c>
      <c r="AD749" s="41">
        <f t="shared" si="574"/>
        <v>2457</v>
      </c>
      <c r="AE749" s="42"/>
      <c r="AF749" s="27"/>
      <c r="AG749" s="43">
        <f t="shared" ref="AG749:AG756" si="583">IF(O749="Paid",IF(A749="Alwataniya",(M749*21%)-((M749*21%)*5%),IF((A749="GIG"),(M749*25%)-((M749*25%)*5%),IF((A749="Allianz"),(M749*27%)-((M749*27%)*5%),0))),0)</f>
        <v>4201.47</v>
      </c>
      <c r="AH749" s="29"/>
      <c r="AI749" s="29"/>
      <c r="AJ749" s="55"/>
      <c r="AK749" s="29"/>
      <c r="AL749" s="27"/>
      <c r="AM749" s="44"/>
      <c r="AN749" s="47"/>
      <c r="AO749" s="46"/>
      <c r="AP749" s="47"/>
      <c r="AQ749" s="43">
        <f t="shared" si="581"/>
        <v>4422.6</v>
      </c>
      <c r="AR749" s="43">
        <f t="shared" si="448"/>
        <v>221.13</v>
      </c>
      <c r="AS749" s="43">
        <f t="shared" si="449"/>
        <v>773.955</v>
      </c>
      <c r="AT749" s="48">
        <f t="shared" si="450"/>
        <v>3427.515</v>
      </c>
      <c r="AU749" s="49">
        <f t="shared" si="582"/>
        <v>3427.515</v>
      </c>
      <c r="AV749" s="48"/>
      <c r="AW749" s="34">
        <f t="shared" si="540"/>
        <v>15030.42</v>
      </c>
      <c r="AX749" s="50">
        <f t="shared" si="413"/>
        <v>970.515</v>
      </c>
      <c r="AY749" s="43"/>
      <c r="AZ749" s="47"/>
      <c r="BA749" s="48">
        <f t="shared" si="558"/>
        <v>3427.515</v>
      </c>
      <c r="BB749" s="27"/>
      <c r="BC749" s="27"/>
      <c r="BD749" s="51"/>
      <c r="BE749" s="52"/>
      <c r="BF749" s="27" t="s">
        <v>2496</v>
      </c>
      <c r="BG749" s="53">
        <v>0.0</v>
      </c>
      <c r="BH749" s="53" t="str">
        <f t="shared" ref="BH749:BH750" si="584">'[1]2023'!Q997</f>
        <v>#REF!</v>
      </c>
      <c r="BI749" s="27"/>
      <c r="BJ749" s="27"/>
      <c r="BK749" s="27" t="s">
        <v>76</v>
      </c>
      <c r="BL749" s="27"/>
    </row>
    <row r="750" ht="14.25" customHeight="1">
      <c r="A750" s="26" t="s">
        <v>55</v>
      </c>
      <c r="B750" s="26" t="s">
        <v>56</v>
      </c>
      <c r="C750" s="26" t="s">
        <v>57</v>
      </c>
      <c r="D750" s="26" t="s">
        <v>71</v>
      </c>
      <c r="E750" s="27" t="s">
        <v>2498</v>
      </c>
      <c r="F750" s="28" t="s">
        <v>2499</v>
      </c>
      <c r="G750" s="29" t="s">
        <v>2492</v>
      </c>
      <c r="H750" s="30">
        <v>45131.0</v>
      </c>
      <c r="I750" s="30">
        <v>45496.0</v>
      </c>
      <c r="J750" s="31" t="s">
        <v>2500</v>
      </c>
      <c r="K750" s="26" t="s">
        <v>887</v>
      </c>
      <c r="L750" s="32" t="s">
        <v>480</v>
      </c>
      <c r="M750" s="33">
        <v>126112.5</v>
      </c>
      <c r="N750" s="34">
        <v>133694.15</v>
      </c>
      <c r="O750" s="27" t="s">
        <v>76</v>
      </c>
      <c r="P750" s="35" t="s">
        <v>142</v>
      </c>
      <c r="Q750" s="35" t="s">
        <v>108</v>
      </c>
      <c r="R750" s="36" t="e">
        <v>#VALUE!</v>
      </c>
      <c r="S750" s="35" t="s">
        <v>86</v>
      </c>
      <c r="T750" s="35">
        <v>0.0</v>
      </c>
      <c r="U750" s="37" t="s">
        <v>67</v>
      </c>
      <c r="V750" s="38">
        <v>4750000.0</v>
      </c>
      <c r="W750" s="78"/>
      <c r="X750" s="27"/>
      <c r="Y750" s="39"/>
      <c r="Z750" s="39"/>
      <c r="AA750" s="39"/>
      <c r="AB750" s="40"/>
      <c r="AC750" s="27">
        <f t="shared" si="539"/>
        <v>0</v>
      </c>
      <c r="AD750" s="41">
        <f t="shared" si="574"/>
        <v>18916.875</v>
      </c>
      <c r="AE750" s="42">
        <v>2400.0</v>
      </c>
      <c r="AF750" s="27" t="s">
        <v>2099</v>
      </c>
      <c r="AG750" s="43">
        <f t="shared" si="583"/>
        <v>32347.85625</v>
      </c>
      <c r="AH750" s="29"/>
      <c r="AI750" s="29"/>
      <c r="AJ750" s="55"/>
      <c r="AK750" s="29"/>
      <c r="AL750" s="27"/>
      <c r="AM750" s="44"/>
      <c r="AN750" s="47"/>
      <c r="AO750" s="46"/>
      <c r="AP750" s="47"/>
      <c r="AQ750" s="43">
        <f t="shared" si="581"/>
        <v>34050.375</v>
      </c>
      <c r="AR750" s="43">
        <f t="shared" si="448"/>
        <v>1702.51875</v>
      </c>
      <c r="AS750" s="43">
        <f t="shared" si="449"/>
        <v>5958.815625</v>
      </c>
      <c r="AT750" s="48">
        <f t="shared" si="450"/>
        <v>26389.04063</v>
      </c>
      <c r="AU750" s="49">
        <f t="shared" si="582"/>
        <v>26389.04063</v>
      </c>
      <c r="AV750" s="48"/>
      <c r="AW750" s="34">
        <f t="shared" si="540"/>
        <v>112377.275</v>
      </c>
      <c r="AX750" s="50">
        <f t="shared" si="413"/>
        <v>5072.165625</v>
      </c>
      <c r="AY750" s="43"/>
      <c r="AZ750" s="47"/>
      <c r="BA750" s="48">
        <f t="shared" si="558"/>
        <v>26389.04063</v>
      </c>
      <c r="BB750" s="27"/>
      <c r="BC750" s="27"/>
      <c r="BD750" s="51"/>
      <c r="BE750" s="52"/>
      <c r="BF750" s="27" t="s">
        <v>2498</v>
      </c>
      <c r="BG750" s="58" t="s">
        <v>2501</v>
      </c>
      <c r="BH750" s="53" t="str">
        <f t="shared" si="584"/>
        <v>#REF!</v>
      </c>
      <c r="BI750" s="27"/>
      <c r="BJ750" s="27"/>
      <c r="BK750" s="27" t="s">
        <v>76</v>
      </c>
      <c r="BL750" s="27"/>
    </row>
    <row r="751" ht="14.25" customHeight="1">
      <c r="A751" s="26" t="s">
        <v>55</v>
      </c>
      <c r="B751" s="26" t="s">
        <v>56</v>
      </c>
      <c r="C751" s="26" t="s">
        <v>57</v>
      </c>
      <c r="D751" s="26" t="s">
        <v>71</v>
      </c>
      <c r="E751" s="27" t="s">
        <v>2502</v>
      </c>
      <c r="F751" s="28" t="s">
        <v>2503</v>
      </c>
      <c r="G751" s="29" t="s">
        <v>2492</v>
      </c>
      <c r="H751" s="30">
        <v>45131.0</v>
      </c>
      <c r="I751" s="30">
        <v>45496.0</v>
      </c>
      <c r="J751" s="31" t="s">
        <v>2504</v>
      </c>
      <c r="K751" s="26" t="s">
        <v>887</v>
      </c>
      <c r="L751" s="32" t="s">
        <v>480</v>
      </c>
      <c r="M751" s="33">
        <v>50325.0</v>
      </c>
      <c r="N751" s="34">
        <v>53434.18</v>
      </c>
      <c r="O751" s="27" t="s">
        <v>76</v>
      </c>
      <c r="P751" s="35" t="s">
        <v>142</v>
      </c>
      <c r="Q751" s="35" t="s">
        <v>108</v>
      </c>
      <c r="R751" s="36" t="e">
        <v>#VALUE!</v>
      </c>
      <c r="S751" s="35" t="s">
        <v>86</v>
      </c>
      <c r="T751" s="35">
        <v>0.0</v>
      </c>
      <c r="U751" s="37" t="s">
        <v>67</v>
      </c>
      <c r="V751" s="38">
        <v>1830000.0</v>
      </c>
      <c r="W751" s="78"/>
      <c r="X751" s="27"/>
      <c r="Y751" s="39"/>
      <c r="Z751" s="79" t="s">
        <v>1164</v>
      </c>
      <c r="AA751" s="39"/>
      <c r="AB751" s="40"/>
      <c r="AC751" s="27">
        <f t="shared" si="539"/>
        <v>0</v>
      </c>
      <c r="AD751" s="41">
        <f t="shared" si="574"/>
        <v>7548.75</v>
      </c>
      <c r="AE751" s="42">
        <v>850.0</v>
      </c>
      <c r="AF751" s="27" t="s">
        <v>2099</v>
      </c>
      <c r="AG751" s="43">
        <f t="shared" si="583"/>
        <v>12908.3625</v>
      </c>
      <c r="AH751" s="29"/>
      <c r="AI751" s="29"/>
      <c r="AJ751" s="55"/>
      <c r="AK751" s="29"/>
      <c r="AL751" s="27"/>
      <c r="AM751" s="44"/>
      <c r="AN751" s="68"/>
      <c r="AO751" s="46"/>
      <c r="AP751" s="47"/>
      <c r="AQ751" s="43">
        <f t="shared" si="581"/>
        <v>13587.75</v>
      </c>
      <c r="AR751" s="43">
        <f t="shared" si="448"/>
        <v>679.3875</v>
      </c>
      <c r="AS751" s="43">
        <f t="shared" si="449"/>
        <v>2377.85625</v>
      </c>
      <c r="AT751" s="48">
        <f t="shared" si="450"/>
        <v>10530.50625</v>
      </c>
      <c r="AU751" s="49">
        <f t="shared" si="582"/>
        <v>10530.50625</v>
      </c>
      <c r="AV751" s="48"/>
      <c r="AW751" s="34">
        <f t="shared" si="540"/>
        <v>45035.43</v>
      </c>
      <c r="AX751" s="50">
        <f t="shared" si="413"/>
        <v>2131.75625</v>
      </c>
      <c r="AY751" s="43"/>
      <c r="AZ751" s="47"/>
      <c r="BA751" s="48">
        <f t="shared" si="558"/>
        <v>10530.50625</v>
      </c>
      <c r="BB751" s="27"/>
      <c r="BC751" s="27"/>
      <c r="BD751" s="51"/>
      <c r="BE751" s="52"/>
      <c r="BF751" s="27" t="s">
        <v>2502</v>
      </c>
      <c r="BG751" s="53">
        <v>0.0</v>
      </c>
      <c r="BH751" s="53" t="str">
        <f>'[1]2023'!Q1004</f>
        <v>#REF!</v>
      </c>
      <c r="BI751" s="27"/>
      <c r="BJ751" s="27"/>
      <c r="BK751" s="27" t="s">
        <v>76</v>
      </c>
      <c r="BL751" s="27"/>
    </row>
    <row r="752" ht="14.25" customHeight="1">
      <c r="A752" s="26" t="s">
        <v>55</v>
      </c>
      <c r="B752" s="26" t="s">
        <v>56</v>
      </c>
      <c r="C752" s="26" t="s">
        <v>57</v>
      </c>
      <c r="D752" s="26" t="s">
        <v>81</v>
      </c>
      <c r="E752" s="27" t="s">
        <v>2505</v>
      </c>
      <c r="F752" s="28" t="s">
        <v>2506</v>
      </c>
      <c r="G752" s="29" t="s">
        <v>2492</v>
      </c>
      <c r="H752" s="30">
        <v>45131.0</v>
      </c>
      <c r="I752" s="30">
        <v>45496.0</v>
      </c>
      <c r="J752" s="31">
        <v>0.0</v>
      </c>
      <c r="K752" s="26" t="s">
        <v>887</v>
      </c>
      <c r="L752" s="32" t="s">
        <v>75</v>
      </c>
      <c r="M752" s="33">
        <v>23010.0</v>
      </c>
      <c r="N752" s="34">
        <v>24508.59</v>
      </c>
      <c r="O752" s="27" t="s">
        <v>76</v>
      </c>
      <c r="P752" s="35" t="s">
        <v>122</v>
      </c>
      <c r="Q752" s="35" t="s">
        <v>90</v>
      </c>
      <c r="R752" s="36" t="e">
        <v>#VALUE!</v>
      </c>
      <c r="S752" s="35" t="s">
        <v>86</v>
      </c>
      <c r="T752" s="35">
        <v>0.0</v>
      </c>
      <c r="U752" s="37" t="s">
        <v>67</v>
      </c>
      <c r="V752" s="38"/>
      <c r="W752" s="38"/>
      <c r="X752" s="27"/>
      <c r="Y752" s="39"/>
      <c r="Z752" s="79" t="s">
        <v>407</v>
      </c>
      <c r="AA752" s="39"/>
      <c r="AB752" s="40"/>
      <c r="AC752" s="27">
        <f t="shared" si="539"/>
        <v>0</v>
      </c>
      <c r="AD752" s="41">
        <f t="shared" si="574"/>
        <v>3451.5</v>
      </c>
      <c r="AE752" s="42"/>
      <c r="AF752" s="27"/>
      <c r="AG752" s="43">
        <f t="shared" si="583"/>
        <v>5902.065</v>
      </c>
      <c r="AH752" s="29"/>
      <c r="AI752" s="29"/>
      <c r="AJ752" s="29"/>
      <c r="AK752" s="29"/>
      <c r="AL752" s="27"/>
      <c r="AM752" s="44"/>
      <c r="AN752" s="47"/>
      <c r="AO752" s="46"/>
      <c r="AP752" s="47"/>
      <c r="AQ752" s="43">
        <f t="shared" si="581"/>
        <v>6212.7</v>
      </c>
      <c r="AR752" s="43">
        <f t="shared" si="448"/>
        <v>310.635</v>
      </c>
      <c r="AS752" s="43">
        <f t="shared" si="449"/>
        <v>1087.2225</v>
      </c>
      <c r="AT752" s="48">
        <f t="shared" si="450"/>
        <v>4814.8425</v>
      </c>
      <c r="AU752" s="49">
        <f t="shared" si="582"/>
        <v>4814.8425</v>
      </c>
      <c r="AV752" s="48"/>
      <c r="AW752" s="34">
        <f t="shared" si="540"/>
        <v>21057.09</v>
      </c>
      <c r="AX752" s="50">
        <f t="shared" si="413"/>
        <v>1363.3425</v>
      </c>
      <c r="AY752" s="43"/>
      <c r="AZ752" s="47"/>
      <c r="BA752" s="48">
        <f t="shared" si="558"/>
        <v>4814.8425</v>
      </c>
      <c r="BB752" s="27"/>
      <c r="BC752" s="27"/>
      <c r="BD752" s="51"/>
      <c r="BE752" s="52"/>
      <c r="BF752" s="27" t="s">
        <v>2505</v>
      </c>
      <c r="BG752" s="53">
        <v>0.0</v>
      </c>
      <c r="BH752" s="53" t="str">
        <f>'[1]2023'!Q1023</f>
        <v>#REF!</v>
      </c>
      <c r="BI752" s="27"/>
      <c r="BJ752" s="27"/>
      <c r="BK752" s="27" t="s">
        <v>76</v>
      </c>
      <c r="BL752" s="27"/>
    </row>
    <row r="753" ht="14.25" customHeight="1">
      <c r="A753" s="26" t="s">
        <v>55</v>
      </c>
      <c r="B753" s="26" t="s">
        <v>56</v>
      </c>
      <c r="C753" s="26" t="s">
        <v>57</v>
      </c>
      <c r="D753" s="26" t="s">
        <v>81</v>
      </c>
      <c r="E753" s="27" t="s">
        <v>2507</v>
      </c>
      <c r="F753" s="28" t="s">
        <v>2508</v>
      </c>
      <c r="G753" s="29" t="s">
        <v>2492</v>
      </c>
      <c r="H753" s="30">
        <v>45131.0</v>
      </c>
      <c r="I753" s="30">
        <v>45496.0</v>
      </c>
      <c r="J753" s="31">
        <v>0.0</v>
      </c>
      <c r="K753" s="26" t="s">
        <v>887</v>
      </c>
      <c r="L753" s="32" t="s">
        <v>75</v>
      </c>
      <c r="M753" s="33">
        <v>21945.0</v>
      </c>
      <c r="N753" s="34">
        <v>23380.76</v>
      </c>
      <c r="O753" s="27" t="s">
        <v>76</v>
      </c>
      <c r="P753" s="35" t="s">
        <v>122</v>
      </c>
      <c r="Q753" s="35">
        <v>0.0</v>
      </c>
      <c r="R753" s="36" t="e">
        <v>#VALUE!</v>
      </c>
      <c r="S753" s="35" t="s">
        <v>86</v>
      </c>
      <c r="T753" s="35">
        <v>0.0</v>
      </c>
      <c r="U753" s="37" t="s">
        <v>67</v>
      </c>
      <c r="V753" s="38"/>
      <c r="W753" s="38"/>
      <c r="X753" s="27"/>
      <c r="Y753" s="39"/>
      <c r="Z753" s="39"/>
      <c r="AA753" s="39"/>
      <c r="AB753" s="40"/>
      <c r="AC753" s="27">
        <f t="shared" si="539"/>
        <v>0</v>
      </c>
      <c r="AD753" s="41">
        <f t="shared" si="574"/>
        <v>3291.75</v>
      </c>
      <c r="AE753" s="42"/>
      <c r="AF753" s="27"/>
      <c r="AG753" s="43">
        <f t="shared" si="583"/>
        <v>5628.8925</v>
      </c>
      <c r="AH753" s="29"/>
      <c r="AI753" s="29"/>
      <c r="AJ753" s="29"/>
      <c r="AK753" s="29"/>
      <c r="AL753" s="27"/>
      <c r="AM753" s="27"/>
      <c r="AN753" s="47"/>
      <c r="AO753" s="46"/>
      <c r="AP753" s="68"/>
      <c r="AQ753" s="43">
        <f t="shared" si="581"/>
        <v>5925.15</v>
      </c>
      <c r="AR753" s="43">
        <f t="shared" si="448"/>
        <v>296.2575</v>
      </c>
      <c r="AS753" s="43">
        <f t="shared" si="449"/>
        <v>1036.90125</v>
      </c>
      <c r="AT753" s="48">
        <f t="shared" si="450"/>
        <v>4591.99125</v>
      </c>
      <c r="AU753" s="49">
        <f t="shared" si="582"/>
        <v>4591.99125</v>
      </c>
      <c r="AV753" s="48"/>
      <c r="AW753" s="34">
        <f t="shared" si="540"/>
        <v>20089.01</v>
      </c>
      <c r="AX753" s="50">
        <f t="shared" si="413"/>
        <v>1300.24125</v>
      </c>
      <c r="AY753" s="43"/>
      <c r="AZ753" s="47"/>
      <c r="BA753" s="48">
        <f t="shared" si="558"/>
        <v>4591.99125</v>
      </c>
      <c r="BB753" s="27"/>
      <c r="BC753" s="27"/>
      <c r="BD753" s="51"/>
      <c r="BE753" s="52"/>
      <c r="BF753" s="27" t="s">
        <v>2507</v>
      </c>
      <c r="BG753" s="53">
        <v>0.0</v>
      </c>
      <c r="BH753" s="53" t="str">
        <f>'[1]2023'!Q1031</f>
        <v>#REF!</v>
      </c>
      <c r="BI753" s="27"/>
      <c r="BJ753" s="27"/>
      <c r="BK753" s="27" t="s">
        <v>76</v>
      </c>
      <c r="BL753" s="27"/>
    </row>
    <row r="754" ht="14.25" customHeight="1">
      <c r="A754" s="26" t="s">
        <v>55</v>
      </c>
      <c r="B754" s="26" t="s">
        <v>56</v>
      </c>
      <c r="C754" s="26" t="s">
        <v>57</v>
      </c>
      <c r="D754" s="26" t="s">
        <v>81</v>
      </c>
      <c r="E754" s="27" t="s">
        <v>2509</v>
      </c>
      <c r="F754" s="28" t="s">
        <v>2510</v>
      </c>
      <c r="G754" s="29" t="s">
        <v>2492</v>
      </c>
      <c r="H754" s="30">
        <v>45131.0</v>
      </c>
      <c r="I754" s="30">
        <v>45496.0</v>
      </c>
      <c r="J754" s="31">
        <v>0.0</v>
      </c>
      <c r="K754" s="26" t="s">
        <v>887</v>
      </c>
      <c r="L754" s="32" t="s">
        <v>75</v>
      </c>
      <c r="M754" s="33">
        <v>16593.75</v>
      </c>
      <c r="N754" s="34">
        <v>17717.78</v>
      </c>
      <c r="O754" s="27" t="s">
        <v>76</v>
      </c>
      <c r="P754" s="35" t="s">
        <v>89</v>
      </c>
      <c r="Q754" s="35" t="s">
        <v>90</v>
      </c>
      <c r="R754" s="36" t="e">
        <v>#VALUE!</v>
      </c>
      <c r="S754" s="35" t="s">
        <v>86</v>
      </c>
      <c r="T754" s="35">
        <v>0.0</v>
      </c>
      <c r="U754" s="37" t="s">
        <v>67</v>
      </c>
      <c r="V754" s="38"/>
      <c r="W754" s="38"/>
      <c r="X754" s="27"/>
      <c r="Y754" s="39"/>
      <c r="Z754" s="79" t="s">
        <v>232</v>
      </c>
      <c r="AA754" s="39"/>
      <c r="AB754" s="40"/>
      <c r="AC754" s="27">
        <f t="shared" si="539"/>
        <v>0</v>
      </c>
      <c r="AD754" s="41">
        <f t="shared" si="574"/>
        <v>2489.0625</v>
      </c>
      <c r="AE754" s="42"/>
      <c r="AF754" s="27"/>
      <c r="AG754" s="43">
        <f t="shared" si="583"/>
        <v>4256.296875</v>
      </c>
      <c r="AH754" s="29"/>
      <c r="AI754" s="29"/>
      <c r="AJ754" s="29"/>
      <c r="AK754" s="29"/>
      <c r="AL754" s="27"/>
      <c r="AM754" s="27"/>
      <c r="AN754" s="47"/>
      <c r="AO754" s="76"/>
      <c r="AP754" s="47"/>
      <c r="AQ754" s="43">
        <f t="shared" si="581"/>
        <v>4480.3125</v>
      </c>
      <c r="AR754" s="43">
        <f t="shared" si="448"/>
        <v>224.015625</v>
      </c>
      <c r="AS754" s="43">
        <f t="shared" si="449"/>
        <v>784.0546875</v>
      </c>
      <c r="AT754" s="48">
        <f t="shared" si="450"/>
        <v>3472.242188</v>
      </c>
      <c r="AU754" s="49">
        <f t="shared" si="582"/>
        <v>3472.242188</v>
      </c>
      <c r="AV754" s="48"/>
      <c r="AW754" s="34">
        <f t="shared" si="540"/>
        <v>15228.7175</v>
      </c>
      <c r="AX754" s="50">
        <f t="shared" si="413"/>
        <v>983.1796875</v>
      </c>
      <c r="AY754" s="43"/>
      <c r="AZ754" s="47"/>
      <c r="BA754" s="48">
        <f t="shared" si="558"/>
        <v>3472.242188</v>
      </c>
      <c r="BB754" s="27"/>
      <c r="BC754" s="27"/>
      <c r="BD754" s="51"/>
      <c r="BE754" s="52"/>
      <c r="BF754" s="27" t="s">
        <v>2509</v>
      </c>
      <c r="BG754" s="53">
        <v>0.0</v>
      </c>
      <c r="BH754" s="53" t="str">
        <f>'[1]2023'!Q1036</f>
        <v>#REF!</v>
      </c>
      <c r="BI754" s="27"/>
      <c r="BJ754" s="27"/>
      <c r="BK754" s="27" t="s">
        <v>76</v>
      </c>
      <c r="BL754" s="27"/>
    </row>
    <row r="755" ht="14.25" customHeight="1">
      <c r="A755" s="26" t="s">
        <v>55</v>
      </c>
      <c r="B755" s="26" t="s">
        <v>56</v>
      </c>
      <c r="C755" s="26" t="s">
        <v>57</v>
      </c>
      <c r="D755" s="26" t="s">
        <v>81</v>
      </c>
      <c r="E755" s="27" t="s">
        <v>2511</v>
      </c>
      <c r="F755" s="28" t="s">
        <v>2512</v>
      </c>
      <c r="G755" s="29">
        <v>45131.0</v>
      </c>
      <c r="H755" s="30">
        <v>45131.0</v>
      </c>
      <c r="I755" s="30">
        <v>45496.0</v>
      </c>
      <c r="J755" s="31" t="s">
        <v>2513</v>
      </c>
      <c r="K755" s="26" t="s">
        <v>455</v>
      </c>
      <c r="L755" s="32" t="s">
        <v>2465</v>
      </c>
      <c r="M755" s="33">
        <v>15487.5</v>
      </c>
      <c r="N755" s="34">
        <v>16542.28</v>
      </c>
      <c r="O755" s="27" t="s">
        <v>76</v>
      </c>
      <c r="P755" s="35" t="s">
        <v>122</v>
      </c>
      <c r="Q755" s="35" t="s">
        <v>65</v>
      </c>
      <c r="R755" s="36">
        <v>45131.0</v>
      </c>
      <c r="S755" s="35" t="s">
        <v>86</v>
      </c>
      <c r="T755" s="35">
        <v>0.0</v>
      </c>
      <c r="U755" s="37" t="s">
        <v>67</v>
      </c>
      <c r="V755" s="38">
        <v>700000.0</v>
      </c>
      <c r="W755" s="38">
        <v>548.0</v>
      </c>
      <c r="X755" s="27">
        <v>2016.0</v>
      </c>
      <c r="Y755" s="79" t="s">
        <v>407</v>
      </c>
      <c r="Z755" s="39"/>
      <c r="AA755" s="39"/>
      <c r="AB755" s="27"/>
      <c r="AC755" s="27">
        <f t="shared" si="539"/>
        <v>0</v>
      </c>
      <c r="AD755" s="41"/>
      <c r="AE755" s="42"/>
      <c r="AF755" s="27"/>
      <c r="AG755" s="43">
        <f t="shared" si="583"/>
        <v>3972.54375</v>
      </c>
      <c r="AH755" s="29"/>
      <c r="AI755" s="29"/>
      <c r="AJ755" s="29"/>
      <c r="AK755" s="29"/>
      <c r="AL755" s="27"/>
      <c r="AM755" s="44"/>
      <c r="AN755" s="68"/>
      <c r="AO755" s="46"/>
      <c r="AP755" s="47"/>
      <c r="AQ755" s="43">
        <f t="shared" si="581"/>
        <v>4181.625</v>
      </c>
      <c r="AR755" s="43">
        <f t="shared" si="448"/>
        <v>209.08125</v>
      </c>
      <c r="AS755" s="43">
        <f t="shared" si="449"/>
        <v>731.784375</v>
      </c>
      <c r="AT755" s="48">
        <f t="shared" si="450"/>
        <v>3240.759375</v>
      </c>
      <c r="AU755" s="49">
        <f t="shared" ref="AU755:AU756" si="585">AQ755-AR755-AS755-AC755-AO755</f>
        <v>3240.759375</v>
      </c>
      <c r="AV755" s="48"/>
      <c r="AW755" s="34">
        <f t="shared" si="540"/>
        <v>16542.28</v>
      </c>
      <c r="AX755" s="50">
        <f t="shared" si="413"/>
        <v>3240.759375</v>
      </c>
      <c r="AY755" s="43"/>
      <c r="AZ755" s="47"/>
      <c r="BA755" s="48">
        <f t="shared" si="558"/>
        <v>3240.759375</v>
      </c>
      <c r="BB755" s="27"/>
      <c r="BC755" s="27"/>
      <c r="BD755" s="51"/>
      <c r="BE755" s="52"/>
      <c r="BF755" s="27" t="s">
        <v>2511</v>
      </c>
      <c r="BG755" s="53">
        <v>0.0</v>
      </c>
      <c r="BH755" s="53" t="str">
        <f>'[1]2023'!Q1080</f>
        <v>#REF!</v>
      </c>
      <c r="BI755" s="27"/>
      <c r="BJ755" s="27"/>
      <c r="BK755" s="27" t="s">
        <v>76</v>
      </c>
      <c r="BL755" s="27"/>
    </row>
    <row r="756" ht="14.25" customHeight="1">
      <c r="A756" s="26" t="s">
        <v>55</v>
      </c>
      <c r="B756" s="26" t="s">
        <v>56</v>
      </c>
      <c r="C756" s="26" t="s">
        <v>57</v>
      </c>
      <c r="D756" s="26" t="s">
        <v>58</v>
      </c>
      <c r="E756" s="27" t="s">
        <v>2514</v>
      </c>
      <c r="F756" s="28" t="s">
        <v>2515</v>
      </c>
      <c r="G756" s="29">
        <v>45131.0</v>
      </c>
      <c r="H756" s="30">
        <v>45131.0</v>
      </c>
      <c r="I756" s="30">
        <v>45496.0</v>
      </c>
      <c r="J756" s="31">
        <v>0.0</v>
      </c>
      <c r="K756" s="26" t="s">
        <v>887</v>
      </c>
      <c r="L756" s="32" t="s">
        <v>63</v>
      </c>
      <c r="M756" s="33">
        <v>0.0</v>
      </c>
      <c r="N756" s="34">
        <v>0.0</v>
      </c>
      <c r="O756" s="27" t="s">
        <v>64</v>
      </c>
      <c r="P756" s="35">
        <v>0.0</v>
      </c>
      <c r="Q756" s="35">
        <v>0.0</v>
      </c>
      <c r="R756" s="36">
        <v>45131.0</v>
      </c>
      <c r="S756" s="35" t="s">
        <v>86</v>
      </c>
      <c r="T756" s="35">
        <v>0.0</v>
      </c>
      <c r="U756" s="37">
        <v>0.0</v>
      </c>
      <c r="V756" s="38"/>
      <c r="W756" s="38"/>
      <c r="X756" s="27"/>
      <c r="Y756" s="39"/>
      <c r="Z756" s="39"/>
      <c r="AA756" s="39"/>
      <c r="AB756" s="27"/>
      <c r="AC756" s="27">
        <f t="shared" si="539"/>
        <v>0</v>
      </c>
      <c r="AD756" s="41">
        <f>IF(AND(S756="0",O756="Paid"),(M756*15%)-AC756,0)</f>
        <v>0</v>
      </c>
      <c r="AE756" s="42"/>
      <c r="AF756" s="27"/>
      <c r="AG756" s="43">
        <f t="shared" si="583"/>
        <v>0</v>
      </c>
      <c r="AH756" s="29"/>
      <c r="AI756" s="29"/>
      <c r="AJ756" s="29"/>
      <c r="AK756" s="29"/>
      <c r="AL756" s="27"/>
      <c r="AM756" s="44"/>
      <c r="AN756" s="47"/>
      <c r="AO756" s="46"/>
      <c r="AP756" s="47"/>
      <c r="AQ756" s="43" t="b">
        <f>IF(O756="Paid",IF(U756="Motor Plus",(M756*27%),IF(U756="Motor One",(M756*22%),(IF(U756="Golden",(M756*25%),(IF(U756="Classic",(M756*15%),(IF(U756="Wethaq",(M756*28%),IF(U756="Alwataniya",(M756*21%))*0)))))))))</f>
        <v>0</v>
      </c>
      <c r="AR756" s="43">
        <f t="shared" si="448"/>
        <v>0</v>
      </c>
      <c r="AS756" s="43">
        <f t="shared" si="449"/>
        <v>0</v>
      </c>
      <c r="AT756" s="48">
        <f t="shared" si="450"/>
        <v>0</v>
      </c>
      <c r="AU756" s="49">
        <f t="shared" si="585"/>
        <v>0</v>
      </c>
      <c r="AV756" s="48"/>
      <c r="AW756" s="34">
        <f t="shared" si="540"/>
        <v>0</v>
      </c>
      <c r="AX756" s="50">
        <f t="shared" si="413"/>
        <v>0</v>
      </c>
      <c r="AY756" s="43"/>
      <c r="AZ756" s="47"/>
      <c r="BA756" s="48">
        <f t="shared" si="558"/>
        <v>0</v>
      </c>
      <c r="BB756" s="27"/>
      <c r="BC756" s="27"/>
      <c r="BD756" s="51"/>
      <c r="BE756" s="52"/>
      <c r="BF756" s="27" t="s">
        <v>2514</v>
      </c>
      <c r="BG756" s="53">
        <v>0.0</v>
      </c>
      <c r="BH756" s="53" t="str">
        <f>'[1]2023'!Q1122</f>
        <v>#REF!</v>
      </c>
      <c r="BI756" s="27"/>
      <c r="BJ756" s="27"/>
      <c r="BK756" s="27" t="s">
        <v>64</v>
      </c>
      <c r="BL756" s="27"/>
    </row>
    <row r="757" ht="14.25" customHeight="1">
      <c r="A757" s="26" t="s">
        <v>111</v>
      </c>
      <c r="B757" s="26" t="s">
        <v>56</v>
      </c>
      <c r="C757" s="26" t="s">
        <v>57</v>
      </c>
      <c r="D757" s="26" t="s">
        <v>71</v>
      </c>
      <c r="E757" s="27" t="s">
        <v>2516</v>
      </c>
      <c r="F757" s="28" t="s">
        <v>2517</v>
      </c>
      <c r="G757" s="29" t="s">
        <v>2518</v>
      </c>
      <c r="H757" s="30">
        <v>45132.0</v>
      </c>
      <c r="I757" s="30">
        <v>45497.0</v>
      </c>
      <c r="J757" s="31" t="s">
        <v>2519</v>
      </c>
      <c r="K757" s="26" t="s">
        <v>887</v>
      </c>
      <c r="L757" s="69">
        <v>45133.0</v>
      </c>
      <c r="M757" s="33">
        <v>52908.08</v>
      </c>
      <c r="N757" s="34">
        <v>56550.0</v>
      </c>
      <c r="O757" s="27" t="s">
        <v>76</v>
      </c>
      <c r="P757" s="35" t="s">
        <v>89</v>
      </c>
      <c r="Q757" s="35" t="s">
        <v>114</v>
      </c>
      <c r="R757" s="36" t="e">
        <v>#VALUE!</v>
      </c>
      <c r="S757" s="35" t="s">
        <v>78</v>
      </c>
      <c r="T757" s="54" t="s">
        <v>510</v>
      </c>
      <c r="U757" s="37" t="s">
        <v>115</v>
      </c>
      <c r="V757" s="38">
        <v>2175000.0</v>
      </c>
      <c r="W757" s="38"/>
      <c r="X757" s="27"/>
      <c r="Y757" s="39"/>
      <c r="Z757" s="79" t="s">
        <v>2520</v>
      </c>
      <c r="AA757" s="39"/>
      <c r="AB757" s="40"/>
      <c r="AC757" s="27">
        <f t="shared" si="539"/>
        <v>0</v>
      </c>
      <c r="AD757" s="41"/>
      <c r="AE757" s="42"/>
      <c r="AF757" s="27"/>
      <c r="AG757" s="43">
        <f t="shared" ref="AG757:AG758" si="586">IF(O757="Paid",IF(A757="Alwataniya",(M757*21%)-((M757*21%)*5%),IF((A757="GIG"),(M757*25%)-((M757*25%)*5%),IF((A757="Allianz"),(M757*27%)-((M757*27%)*20%),0))),0)</f>
        <v>12565.669</v>
      </c>
      <c r="AH757" s="29" t="s">
        <v>2099</v>
      </c>
      <c r="AI757" s="29">
        <v>45177.0</v>
      </c>
      <c r="AJ757" s="55">
        <v>0.25</v>
      </c>
      <c r="AK757" s="29">
        <v>44993.0</v>
      </c>
      <c r="AL757" s="27"/>
      <c r="AM757" s="44"/>
      <c r="AN757" s="56"/>
      <c r="AO757" s="95">
        <f>M757*AJ757-((M757*AJ757)*22.5%)</f>
        <v>10250.9405</v>
      </c>
      <c r="AP757" s="47" t="s">
        <v>922</v>
      </c>
      <c r="AQ757" s="43">
        <f t="shared" ref="AQ757:AQ759" si="587">IF(U757="Motor Plus",(M757*27%),IF(U757="Motor One",(M757*22%),(IF(U757="Golden",(M757*25%),(IF(U757="Classic",(M757*15%),(IF(U757="Wethaq",(M757*28%),IF(U757="Alwataniya",(M757*21%))*0))))))))</f>
        <v>13227.02</v>
      </c>
      <c r="AR757" s="43">
        <f t="shared" si="448"/>
        <v>661.351</v>
      </c>
      <c r="AS757" s="43">
        <f t="shared" si="449"/>
        <v>2314.7285</v>
      </c>
      <c r="AT757" s="48">
        <f t="shared" si="450"/>
        <v>10250.9405</v>
      </c>
      <c r="AU757" s="49">
        <f t="shared" ref="AU757:AU761" si="588">AQ757-AR757-AS757-AC757</f>
        <v>10250.9405</v>
      </c>
      <c r="AV757" s="48"/>
      <c r="AW757" s="34">
        <f t="shared" si="540"/>
        <v>56550</v>
      </c>
      <c r="AX757" s="50">
        <f t="shared" si="413"/>
        <v>0</v>
      </c>
      <c r="AY757" s="43"/>
      <c r="AZ757" s="47"/>
      <c r="BA757" s="48" t="str">
        <f>IF(S757&lt;&gt;0,AU757-#REF!-AM757,(AG757-AD757-AE757-AS757))</f>
        <v>#REF!</v>
      </c>
      <c r="BB757" s="27"/>
      <c r="BC757" s="27"/>
      <c r="BD757" s="51"/>
      <c r="BE757" s="52"/>
      <c r="BF757" s="27" t="s">
        <v>2516</v>
      </c>
      <c r="BG757" s="53">
        <v>0.0</v>
      </c>
      <c r="BH757" s="53" t="str">
        <f>'[1]2023'!Q994</f>
        <v>#REF!</v>
      </c>
      <c r="BI757" s="27"/>
      <c r="BJ757" s="27"/>
      <c r="BK757" s="27" t="s">
        <v>76</v>
      </c>
      <c r="BL757" s="27"/>
    </row>
    <row r="758" ht="14.25" customHeight="1">
      <c r="A758" s="26" t="s">
        <v>111</v>
      </c>
      <c r="B758" s="26" t="s">
        <v>56</v>
      </c>
      <c r="C758" s="26" t="s">
        <v>57</v>
      </c>
      <c r="D758" s="26" t="s">
        <v>71</v>
      </c>
      <c r="E758" s="27" t="s">
        <v>2521</v>
      </c>
      <c r="F758" s="28" t="s">
        <v>2522</v>
      </c>
      <c r="G758" s="29" t="s">
        <v>2518</v>
      </c>
      <c r="H758" s="30">
        <v>45132.0</v>
      </c>
      <c r="I758" s="30">
        <v>45497.0</v>
      </c>
      <c r="J758" s="31">
        <v>0.0</v>
      </c>
      <c r="K758" s="26" t="s">
        <v>887</v>
      </c>
      <c r="L758" s="69">
        <v>44993.0</v>
      </c>
      <c r="M758" s="33">
        <v>24195.68</v>
      </c>
      <c r="N758" s="34">
        <v>26000.0</v>
      </c>
      <c r="O758" s="27" t="s">
        <v>76</v>
      </c>
      <c r="P758" s="35" t="s">
        <v>142</v>
      </c>
      <c r="Q758" s="35" t="s">
        <v>108</v>
      </c>
      <c r="R758" s="36" t="e">
        <v>#VALUE!</v>
      </c>
      <c r="S758" s="35" t="s">
        <v>86</v>
      </c>
      <c r="T758" s="35">
        <v>0.0</v>
      </c>
      <c r="U758" s="37" t="s">
        <v>115</v>
      </c>
      <c r="V758" s="38">
        <v>1000000.0</v>
      </c>
      <c r="W758" s="38"/>
      <c r="X758" s="27"/>
      <c r="Y758" s="39"/>
      <c r="Z758" s="79" t="s">
        <v>671</v>
      </c>
      <c r="AA758" s="39"/>
      <c r="AB758" s="40"/>
      <c r="AC758" s="27">
        <f t="shared" si="539"/>
        <v>0</v>
      </c>
      <c r="AD758" s="41">
        <f t="shared" ref="AD758:AD773" si="589">IF(AND(S758="0",O758="Paid"),(M758*15%)-AC758,0)</f>
        <v>3629.352</v>
      </c>
      <c r="AE758" s="42">
        <v>500.0</v>
      </c>
      <c r="AF758" s="27" t="s">
        <v>2099</v>
      </c>
      <c r="AG758" s="43">
        <f t="shared" si="586"/>
        <v>5746.474</v>
      </c>
      <c r="AH758" s="29">
        <v>45085.0</v>
      </c>
      <c r="AI758" s="29" t="s">
        <v>2465</v>
      </c>
      <c r="AJ758" s="55"/>
      <c r="AK758" s="29">
        <v>45146.0</v>
      </c>
      <c r="AL758" s="27"/>
      <c r="AM758" s="44"/>
      <c r="AN758" s="47"/>
      <c r="AO758" s="46"/>
      <c r="AP758" s="47"/>
      <c r="AQ758" s="43">
        <f t="shared" si="587"/>
        <v>6048.92</v>
      </c>
      <c r="AR758" s="43">
        <f t="shared" si="448"/>
        <v>302.446</v>
      </c>
      <c r="AS758" s="43">
        <f t="shared" si="449"/>
        <v>1058.561</v>
      </c>
      <c r="AT758" s="48">
        <f t="shared" si="450"/>
        <v>4687.913</v>
      </c>
      <c r="AU758" s="49">
        <f t="shared" si="588"/>
        <v>4687.913</v>
      </c>
      <c r="AV758" s="48"/>
      <c r="AW758" s="34">
        <f t="shared" si="540"/>
        <v>21870.648</v>
      </c>
      <c r="AX758" s="50">
        <f t="shared" si="413"/>
        <v>558.561</v>
      </c>
      <c r="AY758" s="43"/>
      <c r="AZ758" s="47"/>
      <c r="BA758" s="48">
        <f t="shared" ref="BA758:BA773" si="590">IF(S758&lt;&gt;0,AU758-AO758-AM758,(AG758-AD758-AE758-AS758))</f>
        <v>4687.913</v>
      </c>
      <c r="BB758" s="27"/>
      <c r="BC758" s="27"/>
      <c r="BD758" s="51"/>
      <c r="BE758" s="52"/>
      <c r="BF758" s="27" t="s">
        <v>2521</v>
      </c>
      <c r="BG758" s="58" t="s">
        <v>2523</v>
      </c>
      <c r="BH758" s="53" t="str">
        <f>'[1]2023'!Q996</f>
        <v>#REF!</v>
      </c>
      <c r="BI758" s="27"/>
      <c r="BJ758" s="27"/>
      <c r="BK758" s="27" t="s">
        <v>76</v>
      </c>
      <c r="BL758" s="27"/>
    </row>
    <row r="759" ht="14.25" customHeight="1">
      <c r="A759" s="26" t="s">
        <v>55</v>
      </c>
      <c r="B759" s="26" t="s">
        <v>1185</v>
      </c>
      <c r="C759" s="26" t="s">
        <v>70</v>
      </c>
      <c r="D759" s="26" t="s">
        <v>71</v>
      </c>
      <c r="E759" s="27" t="s">
        <v>2524</v>
      </c>
      <c r="F759" s="26" t="s">
        <v>2525</v>
      </c>
      <c r="G759" s="29" t="s">
        <v>2518</v>
      </c>
      <c r="H759" s="30">
        <v>45132.0</v>
      </c>
      <c r="I759" s="30">
        <v>45497.0</v>
      </c>
      <c r="J759" s="31">
        <v>0.0</v>
      </c>
      <c r="K759" s="26" t="s">
        <v>887</v>
      </c>
      <c r="L759" s="32" t="s">
        <v>63</v>
      </c>
      <c r="M759" s="33">
        <v>142858.0</v>
      </c>
      <c r="N759" s="34">
        <v>144919.0</v>
      </c>
      <c r="O759" s="27" t="s">
        <v>76</v>
      </c>
      <c r="P759" s="35" t="s">
        <v>89</v>
      </c>
      <c r="Q759" s="35">
        <v>0.0</v>
      </c>
      <c r="R759" s="36" t="e">
        <v>#VALUE!</v>
      </c>
      <c r="S759" s="35" t="s">
        <v>66</v>
      </c>
      <c r="T759" s="35">
        <v>0.0</v>
      </c>
      <c r="U759" s="37">
        <v>0.0</v>
      </c>
      <c r="V759" s="38"/>
      <c r="W759" s="38"/>
      <c r="X759" s="27"/>
      <c r="Y759" s="39"/>
      <c r="Z759" s="39"/>
      <c r="AA759" s="39"/>
      <c r="AB759" s="40"/>
      <c r="AC759" s="27">
        <f t="shared" si="539"/>
        <v>0</v>
      </c>
      <c r="AD759" s="41">
        <f t="shared" si="589"/>
        <v>0</v>
      </c>
      <c r="AE759" s="42"/>
      <c r="AF759" s="27"/>
      <c r="AG759" s="43">
        <f>IF(O759="Paid",IF(A759="Alwataniya",(M759*21%)-((M759*21%)*5%),IF((A759="GIG"),(M759*25%)-((M759*25%)*5%),IF((A759="Allianz"),(M759*27%)-((M759*27%)*5%),0))),0)</f>
        <v>36643.077</v>
      </c>
      <c r="AH759" s="29"/>
      <c r="AI759" s="29"/>
      <c r="AJ759" s="55"/>
      <c r="AK759" s="29"/>
      <c r="AL759" s="27"/>
      <c r="AM759" s="46">
        <f>((M759*10%)-AC759-((M759*10%)*22.5%))*30%</f>
        <v>3321.4485</v>
      </c>
      <c r="AN759" s="63" t="s">
        <v>1730</v>
      </c>
      <c r="AO759" s="46"/>
      <c r="AP759" s="47"/>
      <c r="AQ759" s="43">
        <f t="shared" si="587"/>
        <v>0</v>
      </c>
      <c r="AR759" s="43">
        <f t="shared" si="448"/>
        <v>0</v>
      </c>
      <c r="AS759" s="43">
        <f t="shared" si="449"/>
        <v>0</v>
      </c>
      <c r="AT759" s="48">
        <f t="shared" si="450"/>
        <v>0</v>
      </c>
      <c r="AU759" s="49">
        <f t="shared" si="588"/>
        <v>0</v>
      </c>
      <c r="AV759" s="48"/>
      <c r="AW759" s="34">
        <f t="shared" si="540"/>
        <v>144919</v>
      </c>
      <c r="AX759" s="50">
        <f t="shared" si="413"/>
        <v>33321.6285</v>
      </c>
      <c r="AY759" s="43"/>
      <c r="AZ759" s="47"/>
      <c r="BA759" s="48">
        <f t="shared" si="590"/>
        <v>-3321.4485</v>
      </c>
      <c r="BB759" s="27"/>
      <c r="BC759" s="27"/>
      <c r="BD759" s="51"/>
      <c r="BE759" s="52"/>
      <c r="BF759" s="27" t="s">
        <v>2524</v>
      </c>
      <c r="BG759" s="53">
        <v>0.0</v>
      </c>
      <c r="BH759" s="53" t="str">
        <f>'[1]2023'!Q1002</f>
        <v>#REF!</v>
      </c>
      <c r="BI759" s="27"/>
      <c r="BJ759" s="27"/>
      <c r="BK759" s="27" t="s">
        <v>76</v>
      </c>
      <c r="BL759" s="27"/>
    </row>
    <row r="760" ht="14.25" customHeight="1">
      <c r="A760" s="26" t="s">
        <v>1634</v>
      </c>
      <c r="B760" s="26" t="s">
        <v>69</v>
      </c>
      <c r="C760" s="26" t="s">
        <v>70</v>
      </c>
      <c r="D760" s="26" t="s">
        <v>71</v>
      </c>
      <c r="E760" s="27" t="s">
        <v>2526</v>
      </c>
      <c r="F760" s="26" t="s">
        <v>2310</v>
      </c>
      <c r="G760" s="29" t="s">
        <v>2518</v>
      </c>
      <c r="H760" s="30">
        <v>45132.0</v>
      </c>
      <c r="I760" s="30">
        <v>45497.0</v>
      </c>
      <c r="J760" s="31">
        <v>0.0</v>
      </c>
      <c r="K760" s="26" t="s">
        <v>887</v>
      </c>
      <c r="L760" s="32" t="s">
        <v>63</v>
      </c>
      <c r="M760" s="33">
        <v>420129.0</v>
      </c>
      <c r="N760" s="34">
        <v>447200.0</v>
      </c>
      <c r="O760" s="27" t="s">
        <v>64</v>
      </c>
      <c r="P760" s="35">
        <v>0.0</v>
      </c>
      <c r="Q760" s="35">
        <v>0.0</v>
      </c>
      <c r="R760" s="36" t="e">
        <v>#VALUE!</v>
      </c>
      <c r="S760" s="35" t="s">
        <v>78</v>
      </c>
      <c r="T760" s="54" t="s">
        <v>79</v>
      </c>
      <c r="U760" s="37" t="s">
        <v>69</v>
      </c>
      <c r="V760" s="38">
        <v>9.636E7</v>
      </c>
      <c r="W760" s="38"/>
      <c r="X760" s="27"/>
      <c r="Y760" s="39"/>
      <c r="Z760" s="39"/>
      <c r="AA760" s="39"/>
      <c r="AB760" s="40"/>
      <c r="AC760" s="27">
        <f t="shared" si="539"/>
        <v>0</v>
      </c>
      <c r="AD760" s="41">
        <f t="shared" si="589"/>
        <v>0</v>
      </c>
      <c r="AE760" s="42"/>
      <c r="AF760" s="27"/>
      <c r="AG760" s="43">
        <f>IF(O760="Paid",IF(A760="Alwataniya",(M760*21%)-((M760*21%)*5%),IF((A760="GIG"),(M760*25%)-((M760*25%)*5%),IF((A760="Allianz"),(M760*27%)-((M760*27%)*20%),0))),0)</f>
        <v>0</v>
      </c>
      <c r="AH760" s="29"/>
      <c r="AI760" s="29"/>
      <c r="AJ760" s="55"/>
      <c r="AK760" s="29"/>
      <c r="AL760" s="27"/>
      <c r="AM760" s="44"/>
      <c r="AN760" s="47"/>
      <c r="AO760" s="46"/>
      <c r="AP760" s="47"/>
      <c r="AQ760" s="43" t="b">
        <f>IF(O760="Paid",IF(U760="Motor Plus",(M760*27%),IF(U760="Motor One",(M760*22%),(IF(U760="Golden",(M760*25%),(IF(U760="Classic",(M760*15%),(IF(U760="Wethaq",(M760*28%),IF(U760="Alwataniya",(M760*21%))*0)))))))))</f>
        <v>0</v>
      </c>
      <c r="AR760" s="43">
        <f t="shared" si="448"/>
        <v>0</v>
      </c>
      <c r="AS760" s="43">
        <f t="shared" si="449"/>
        <v>0</v>
      </c>
      <c r="AT760" s="48">
        <f t="shared" si="450"/>
        <v>0</v>
      </c>
      <c r="AU760" s="49">
        <f t="shared" si="588"/>
        <v>0</v>
      </c>
      <c r="AV760" s="48"/>
      <c r="AW760" s="34">
        <f t="shared" si="540"/>
        <v>447200</v>
      </c>
      <c r="AX760" s="50">
        <f t="shared" si="413"/>
        <v>0</v>
      </c>
      <c r="AY760" s="43"/>
      <c r="AZ760" s="47"/>
      <c r="BA760" s="48">
        <f t="shared" si="590"/>
        <v>0</v>
      </c>
      <c r="BB760" s="27"/>
      <c r="BC760" s="27"/>
      <c r="BD760" s="51"/>
      <c r="BE760" s="52"/>
      <c r="BF760" s="27" t="s">
        <v>2526</v>
      </c>
      <c r="BG760" s="53">
        <v>0.0</v>
      </c>
      <c r="BH760" s="53" t="str">
        <f>'[1]2023'!Q1008</f>
        <v>#REF!</v>
      </c>
      <c r="BI760" s="27"/>
      <c r="BJ760" s="27"/>
      <c r="BK760" s="27" t="s">
        <v>64</v>
      </c>
      <c r="BL760" s="64" t="s">
        <v>2527</v>
      </c>
    </row>
    <row r="761" ht="14.25" customHeight="1">
      <c r="A761" s="26" t="s">
        <v>55</v>
      </c>
      <c r="B761" s="26" t="s">
        <v>56</v>
      </c>
      <c r="C761" s="26" t="s">
        <v>57</v>
      </c>
      <c r="D761" s="26" t="s">
        <v>81</v>
      </c>
      <c r="E761" s="27" t="s">
        <v>2528</v>
      </c>
      <c r="F761" s="28" t="s">
        <v>2529</v>
      </c>
      <c r="G761" s="29" t="s">
        <v>2518</v>
      </c>
      <c r="H761" s="30">
        <v>45132.0</v>
      </c>
      <c r="I761" s="30">
        <v>45497.0</v>
      </c>
      <c r="J761" s="31">
        <v>0.0</v>
      </c>
      <c r="K761" s="26" t="s">
        <v>887</v>
      </c>
      <c r="L761" s="32" t="s">
        <v>75</v>
      </c>
      <c r="M761" s="33">
        <v>21018.75</v>
      </c>
      <c r="N761" s="34">
        <v>22399.86</v>
      </c>
      <c r="O761" s="27" t="s">
        <v>76</v>
      </c>
      <c r="P761" s="35" t="s">
        <v>122</v>
      </c>
      <c r="Q761" s="35" t="s">
        <v>90</v>
      </c>
      <c r="R761" s="36" t="e">
        <v>#VALUE!</v>
      </c>
      <c r="S761" s="35" t="s">
        <v>86</v>
      </c>
      <c r="T761" s="35">
        <v>0.0</v>
      </c>
      <c r="U761" s="37" t="s">
        <v>67</v>
      </c>
      <c r="V761" s="38"/>
      <c r="W761" s="38"/>
      <c r="X761" s="27"/>
      <c r="Y761" s="39"/>
      <c r="Z761" s="79" t="s">
        <v>407</v>
      </c>
      <c r="AA761" s="39"/>
      <c r="AB761" s="40"/>
      <c r="AC761" s="27">
        <f t="shared" si="539"/>
        <v>0</v>
      </c>
      <c r="AD761" s="41">
        <f t="shared" si="589"/>
        <v>3152.8125</v>
      </c>
      <c r="AE761" s="42"/>
      <c r="AF761" s="27"/>
      <c r="AG761" s="43">
        <f t="shared" ref="AG761:AG764" si="591">IF(O761="Paid",IF(A761="Alwataniya",(M761*21%)-((M761*21%)*5%),IF((A761="GIG"),(M761*25%)-((M761*25%)*5%),IF((A761="Allianz"),(M761*27%)-((M761*27%)*5%),0))),0)</f>
        <v>5391.309375</v>
      </c>
      <c r="AH761" s="29"/>
      <c r="AI761" s="29"/>
      <c r="AJ761" s="29"/>
      <c r="AK761" s="29"/>
      <c r="AL761" s="27"/>
      <c r="AM761" s="44"/>
      <c r="AN761" s="68"/>
      <c r="AO761" s="46"/>
      <c r="AP761" s="47"/>
      <c r="AQ761" s="43">
        <f t="shared" ref="AQ761:AQ763" si="592">IF(U761="Motor Plus",(M761*27%),IF(U761="Motor One",(M761*22%),(IF(U761="Golden",(M761*25%),(IF(U761="Classic",(M761*15%),(IF(U761="Wethaq",(M761*28%),IF(U761="Alwataniya",(M761*21%))*0))))))))</f>
        <v>5675.0625</v>
      </c>
      <c r="AR761" s="43">
        <f t="shared" si="448"/>
        <v>283.753125</v>
      </c>
      <c r="AS761" s="43">
        <f t="shared" si="449"/>
        <v>993.1359375</v>
      </c>
      <c r="AT761" s="48">
        <f t="shared" si="450"/>
        <v>4398.173438</v>
      </c>
      <c r="AU761" s="49">
        <f t="shared" si="588"/>
        <v>4398.173438</v>
      </c>
      <c r="AV761" s="48"/>
      <c r="AW761" s="34">
        <f t="shared" si="540"/>
        <v>19247.0475</v>
      </c>
      <c r="AX761" s="50">
        <f t="shared" si="413"/>
        <v>1245.360938</v>
      </c>
      <c r="AY761" s="43"/>
      <c r="AZ761" s="47"/>
      <c r="BA761" s="48">
        <f t="shared" si="590"/>
        <v>4398.173438</v>
      </c>
      <c r="BB761" s="27"/>
      <c r="BC761" s="27"/>
      <c r="BD761" s="51"/>
      <c r="BE761" s="52"/>
      <c r="BF761" s="27" t="s">
        <v>2528</v>
      </c>
      <c r="BG761" s="53">
        <v>0.0</v>
      </c>
      <c r="BH761" s="53" t="str">
        <f>'[1]2023'!Q1026</f>
        <v>#REF!</v>
      </c>
      <c r="BI761" s="27"/>
      <c r="BJ761" s="27"/>
      <c r="BK761" s="27" t="s">
        <v>76</v>
      </c>
      <c r="BL761" s="27"/>
    </row>
    <row r="762" ht="14.25" customHeight="1">
      <c r="A762" s="26" t="s">
        <v>55</v>
      </c>
      <c r="B762" s="26" t="s">
        <v>56</v>
      </c>
      <c r="C762" s="26" t="s">
        <v>57</v>
      </c>
      <c r="D762" s="26" t="s">
        <v>81</v>
      </c>
      <c r="E762" s="27" t="s">
        <v>2530</v>
      </c>
      <c r="F762" s="28" t="s">
        <v>2531</v>
      </c>
      <c r="G762" s="29" t="s">
        <v>2518</v>
      </c>
      <c r="H762" s="30">
        <v>45132.0</v>
      </c>
      <c r="I762" s="30">
        <v>45497.0</v>
      </c>
      <c r="J762" s="31">
        <v>0.0</v>
      </c>
      <c r="K762" s="26" t="s">
        <v>887</v>
      </c>
      <c r="L762" s="32" t="s">
        <v>2353</v>
      </c>
      <c r="M762" s="33">
        <v>20531.88</v>
      </c>
      <c r="N762" s="34">
        <v>21884.25</v>
      </c>
      <c r="O762" s="27" t="s">
        <v>76</v>
      </c>
      <c r="P762" s="35" t="s">
        <v>430</v>
      </c>
      <c r="Q762" s="35">
        <v>0.0</v>
      </c>
      <c r="R762" s="36" t="e">
        <v>#VALUE!</v>
      </c>
      <c r="S762" s="35" t="s">
        <v>86</v>
      </c>
      <c r="T762" s="35">
        <v>0.0</v>
      </c>
      <c r="U762" s="37" t="s">
        <v>67</v>
      </c>
      <c r="V762" s="38"/>
      <c r="W762" s="38"/>
      <c r="X762" s="27"/>
      <c r="Y762" s="39"/>
      <c r="Z762" s="39"/>
      <c r="AA762" s="39"/>
      <c r="AB762" s="40"/>
      <c r="AC762" s="27">
        <f t="shared" si="539"/>
        <v>0</v>
      </c>
      <c r="AD762" s="41">
        <f t="shared" si="589"/>
        <v>3079.782</v>
      </c>
      <c r="AE762" s="42"/>
      <c r="AF762" s="27"/>
      <c r="AG762" s="43">
        <f t="shared" si="591"/>
        <v>5266.42722</v>
      </c>
      <c r="AH762" s="29"/>
      <c r="AI762" s="29"/>
      <c r="AJ762" s="29"/>
      <c r="AK762" s="29"/>
      <c r="AL762" s="27"/>
      <c r="AM762" s="44"/>
      <c r="AN762" s="68"/>
      <c r="AO762" s="46"/>
      <c r="AP762" s="47"/>
      <c r="AQ762" s="43">
        <f t="shared" si="592"/>
        <v>5543.6076</v>
      </c>
      <c r="AR762" s="43">
        <f t="shared" si="448"/>
        <v>277.18038</v>
      </c>
      <c r="AS762" s="43">
        <f t="shared" si="449"/>
        <v>970.13133</v>
      </c>
      <c r="AT762" s="48">
        <f t="shared" si="450"/>
        <v>4296.29589</v>
      </c>
      <c r="AU762" s="49">
        <f t="shared" ref="AU762:AU764" si="593">AQ762-AR762-AS762-AC762-AO762</f>
        <v>4296.29589</v>
      </c>
      <c r="AV762" s="48"/>
      <c r="AW762" s="34">
        <f t="shared" si="540"/>
        <v>18804.468</v>
      </c>
      <c r="AX762" s="50">
        <f t="shared" si="413"/>
        <v>1216.51389</v>
      </c>
      <c r="AY762" s="43"/>
      <c r="AZ762" s="47"/>
      <c r="BA762" s="48">
        <f t="shared" si="590"/>
        <v>4296.29589</v>
      </c>
      <c r="BB762" s="27"/>
      <c r="BC762" s="27"/>
      <c r="BD762" s="51"/>
      <c r="BE762" s="52"/>
      <c r="BF762" s="27" t="s">
        <v>2530</v>
      </c>
      <c r="BG762" s="53">
        <v>0.0</v>
      </c>
      <c r="BH762" s="53" t="str">
        <f t="shared" ref="BH762:BH763" si="594">'[1]2023'!Q1073</f>
        <v>#REF!</v>
      </c>
      <c r="BI762" s="27"/>
      <c r="BJ762" s="27"/>
      <c r="BK762" s="27" t="s">
        <v>76</v>
      </c>
      <c r="BL762" s="27"/>
    </row>
    <row r="763" ht="14.25" customHeight="1">
      <c r="A763" s="26" t="s">
        <v>55</v>
      </c>
      <c r="B763" s="26" t="s">
        <v>56</v>
      </c>
      <c r="C763" s="26" t="s">
        <v>57</v>
      </c>
      <c r="D763" s="26" t="s">
        <v>81</v>
      </c>
      <c r="E763" s="27" t="s">
        <v>2532</v>
      </c>
      <c r="F763" s="28" t="s">
        <v>2533</v>
      </c>
      <c r="G763" s="29" t="s">
        <v>2518</v>
      </c>
      <c r="H763" s="30">
        <v>45132.0</v>
      </c>
      <c r="I763" s="30">
        <v>45497.0</v>
      </c>
      <c r="J763" s="31">
        <v>0.0</v>
      </c>
      <c r="K763" s="26" t="s">
        <v>887</v>
      </c>
      <c r="L763" s="32" t="s">
        <v>2534</v>
      </c>
      <c r="M763" s="33">
        <v>27478.28</v>
      </c>
      <c r="N763" s="34">
        <v>29240.5</v>
      </c>
      <c r="O763" s="27" t="s">
        <v>76</v>
      </c>
      <c r="P763" s="35" t="s">
        <v>89</v>
      </c>
      <c r="Q763" s="35">
        <v>0.0</v>
      </c>
      <c r="R763" s="36" t="e">
        <v>#VALUE!</v>
      </c>
      <c r="S763" s="35" t="s">
        <v>86</v>
      </c>
      <c r="T763" s="35">
        <v>0.0</v>
      </c>
      <c r="U763" s="37" t="s">
        <v>67</v>
      </c>
      <c r="V763" s="38"/>
      <c r="W763" s="38"/>
      <c r="X763" s="27"/>
      <c r="Y763" s="39"/>
      <c r="Z763" s="39"/>
      <c r="AA763" s="39"/>
      <c r="AB763" s="40"/>
      <c r="AC763" s="27">
        <f t="shared" si="539"/>
        <v>0</v>
      </c>
      <c r="AD763" s="41">
        <f t="shared" si="589"/>
        <v>4121.742</v>
      </c>
      <c r="AE763" s="42"/>
      <c r="AF763" s="27"/>
      <c r="AG763" s="43">
        <f t="shared" si="591"/>
        <v>7048.17882</v>
      </c>
      <c r="AH763" s="29"/>
      <c r="AI763" s="29"/>
      <c r="AJ763" s="29"/>
      <c r="AK763" s="29"/>
      <c r="AL763" s="27"/>
      <c r="AM763" s="44"/>
      <c r="AN763" s="47"/>
      <c r="AO763" s="46"/>
      <c r="AP763" s="47"/>
      <c r="AQ763" s="43">
        <f t="shared" si="592"/>
        <v>7419.1356</v>
      </c>
      <c r="AR763" s="43">
        <f t="shared" si="448"/>
        <v>370.95678</v>
      </c>
      <c r="AS763" s="43">
        <f t="shared" si="449"/>
        <v>1298.34873</v>
      </c>
      <c r="AT763" s="48">
        <f t="shared" si="450"/>
        <v>5749.83009</v>
      </c>
      <c r="AU763" s="49">
        <f t="shared" si="593"/>
        <v>5749.83009</v>
      </c>
      <c r="AV763" s="48"/>
      <c r="AW763" s="34">
        <f t="shared" si="540"/>
        <v>25118.758</v>
      </c>
      <c r="AX763" s="50">
        <f t="shared" si="413"/>
        <v>1628.08809</v>
      </c>
      <c r="AY763" s="43"/>
      <c r="AZ763" s="47"/>
      <c r="BA763" s="48">
        <f t="shared" si="590"/>
        <v>5749.83009</v>
      </c>
      <c r="BB763" s="27"/>
      <c r="BC763" s="27"/>
      <c r="BD763" s="51"/>
      <c r="BE763" s="52"/>
      <c r="BF763" s="27" t="s">
        <v>2532</v>
      </c>
      <c r="BG763" s="53">
        <v>0.0</v>
      </c>
      <c r="BH763" s="53" t="str">
        <f t="shared" si="594"/>
        <v>#REF!</v>
      </c>
      <c r="BI763" s="27"/>
      <c r="BJ763" s="27"/>
      <c r="BK763" s="27" t="s">
        <v>76</v>
      </c>
      <c r="BL763" s="27"/>
    </row>
    <row r="764" ht="14.25" customHeight="1">
      <c r="A764" s="26" t="s">
        <v>55</v>
      </c>
      <c r="B764" s="26" t="s">
        <v>56</v>
      </c>
      <c r="C764" s="26" t="s">
        <v>57</v>
      </c>
      <c r="D764" s="26" t="s">
        <v>58</v>
      </c>
      <c r="E764" s="27" t="s">
        <v>2535</v>
      </c>
      <c r="F764" s="28" t="s">
        <v>2536</v>
      </c>
      <c r="G764" s="29" t="s">
        <v>2518</v>
      </c>
      <c r="H764" s="30">
        <v>45132.0</v>
      </c>
      <c r="I764" s="30">
        <v>45497.0</v>
      </c>
      <c r="J764" s="31">
        <v>0.0</v>
      </c>
      <c r="K764" s="26" t="s">
        <v>887</v>
      </c>
      <c r="L764" s="32" t="s">
        <v>63</v>
      </c>
      <c r="M764" s="33">
        <v>0.0</v>
      </c>
      <c r="N764" s="34">
        <v>0.0</v>
      </c>
      <c r="O764" s="27" t="s">
        <v>64</v>
      </c>
      <c r="P764" s="35">
        <v>0.0</v>
      </c>
      <c r="Q764" s="35" t="s">
        <v>65</v>
      </c>
      <c r="R764" s="36" t="e">
        <v>#VALUE!</v>
      </c>
      <c r="S764" s="35" t="s">
        <v>231</v>
      </c>
      <c r="T764" s="35">
        <v>0.0</v>
      </c>
      <c r="U764" s="37" t="s">
        <v>67</v>
      </c>
      <c r="V764" s="38"/>
      <c r="W764" s="38"/>
      <c r="X764" s="27"/>
      <c r="Y764" s="39"/>
      <c r="Z764" s="39"/>
      <c r="AA764" s="39"/>
      <c r="AB764" s="27"/>
      <c r="AC764" s="27">
        <f t="shared" si="539"/>
        <v>0</v>
      </c>
      <c r="AD764" s="41">
        <f t="shared" si="589"/>
        <v>0</v>
      </c>
      <c r="AE764" s="42"/>
      <c r="AF764" s="27"/>
      <c r="AG764" s="43">
        <f t="shared" si="591"/>
        <v>0</v>
      </c>
      <c r="AH764" s="29"/>
      <c r="AI764" s="29"/>
      <c r="AJ764" s="29"/>
      <c r="AK764" s="29"/>
      <c r="AL764" s="27"/>
      <c r="AM764" s="44">
        <f>IF((BD764&lt;=2),AU764*10%,(IF((BD764&lt;=3),AU764*20%,IF((BD764&lt;=4),AU764*20%,IF((BD764&gt;=5),AU764*30%,(IF((BD764="lead"),AU764*30%,0)))))))</f>
        <v>0</v>
      </c>
      <c r="AN764" s="47"/>
      <c r="AO764" s="46">
        <f>M764*15%</f>
        <v>0</v>
      </c>
      <c r="AP764" s="47"/>
      <c r="AQ764" s="43" t="b">
        <f>IF(O764="Paid",IF(U764="Motor Plus",(M764*27%),IF(U764="Motor One",(M764*22%),(IF(U764="Golden",(M764*25%),(IF(U764="Classic",(M764*15%),(IF(U764="Wethaq",(M764*28%),IF(U764="Alwataniya",(M764*21%))*0)))))))))</f>
        <v>0</v>
      </c>
      <c r="AR764" s="43">
        <f t="shared" si="448"/>
        <v>0</v>
      </c>
      <c r="AS764" s="43">
        <f t="shared" si="449"/>
        <v>0</v>
      </c>
      <c r="AT764" s="48">
        <f t="shared" si="450"/>
        <v>0</v>
      </c>
      <c r="AU764" s="49">
        <f t="shared" si="593"/>
        <v>0</v>
      </c>
      <c r="AV764" s="48"/>
      <c r="AW764" s="34">
        <f t="shared" si="540"/>
        <v>0</v>
      </c>
      <c r="AX764" s="50">
        <f t="shared" si="413"/>
        <v>0</v>
      </c>
      <c r="AY764" s="43"/>
      <c r="AZ764" s="47"/>
      <c r="BA764" s="48">
        <f t="shared" si="590"/>
        <v>0</v>
      </c>
      <c r="BB764" s="27"/>
      <c r="BC764" s="27"/>
      <c r="BD764" s="51"/>
      <c r="BE764" s="52"/>
      <c r="BF764" s="27" t="s">
        <v>2535</v>
      </c>
      <c r="BG764" s="53">
        <v>0.0</v>
      </c>
      <c r="BH764" s="53" t="str">
        <f>'[1]2023'!Q1150</f>
        <v>#REF!</v>
      </c>
      <c r="BI764" s="27"/>
      <c r="BJ764" s="27"/>
      <c r="BK764" s="27" t="s">
        <v>64</v>
      </c>
      <c r="BL764" s="27"/>
    </row>
    <row r="765" ht="14.25" customHeight="1">
      <c r="A765" s="26" t="s">
        <v>111</v>
      </c>
      <c r="B765" s="26" t="s">
        <v>56</v>
      </c>
      <c r="C765" s="26" t="s">
        <v>57</v>
      </c>
      <c r="D765" s="26" t="s">
        <v>71</v>
      </c>
      <c r="E765" s="27" t="s">
        <v>2537</v>
      </c>
      <c r="F765" s="28" t="s">
        <v>2538</v>
      </c>
      <c r="G765" s="29" t="s">
        <v>2539</v>
      </c>
      <c r="H765" s="30">
        <v>45133.0</v>
      </c>
      <c r="I765" s="30">
        <v>45498.0</v>
      </c>
      <c r="J765" s="31" t="s">
        <v>2519</v>
      </c>
      <c r="K765" s="26" t="s">
        <v>887</v>
      </c>
      <c r="L765" s="69">
        <v>44993.0</v>
      </c>
      <c r="M765" s="33">
        <v>38857.0</v>
      </c>
      <c r="N765" s="34">
        <v>41600.0</v>
      </c>
      <c r="O765" s="27" t="s">
        <v>76</v>
      </c>
      <c r="P765" s="35" t="s">
        <v>162</v>
      </c>
      <c r="Q765" s="35" t="s">
        <v>114</v>
      </c>
      <c r="R765" s="36" t="e">
        <v>#VALUE!</v>
      </c>
      <c r="S765" s="35" t="s">
        <v>66</v>
      </c>
      <c r="T765" s="35">
        <v>0.0</v>
      </c>
      <c r="U765" s="37" t="s">
        <v>115</v>
      </c>
      <c r="V765" s="38">
        <v>1600000.0</v>
      </c>
      <c r="W765" s="38"/>
      <c r="X765" s="27"/>
      <c r="Y765" s="39"/>
      <c r="Z765" s="79" t="s">
        <v>2540</v>
      </c>
      <c r="AA765" s="39"/>
      <c r="AB765" s="40"/>
      <c r="AC765" s="27">
        <f t="shared" si="539"/>
        <v>0</v>
      </c>
      <c r="AD765" s="41">
        <f t="shared" si="589"/>
        <v>0</v>
      </c>
      <c r="AE765" s="42"/>
      <c r="AF765" s="27"/>
      <c r="AG765" s="43">
        <f>IF(O765="Paid",IF(A765="Alwataniya",(M765*21%)-((M765*21%)*5%),IF((A765="GIG"),(M765*25%)-((M765*25%)*5%),IF((A765="Allianz"),(M765*27%)-((M765*27%)*20%),0))),0)</f>
        <v>9228.5375</v>
      </c>
      <c r="AH765" s="29">
        <v>44993.0</v>
      </c>
      <c r="AI765" s="29" t="s">
        <v>2465</v>
      </c>
      <c r="AJ765" s="55"/>
      <c r="AK765" s="29">
        <v>45146.0</v>
      </c>
      <c r="AL765" s="27"/>
      <c r="AM765" s="46">
        <f t="shared" ref="AM765:AM766" si="595">((M765*25%)-AC765-((M765*25%)*22.5%))*30%</f>
        <v>2258.563125</v>
      </c>
      <c r="AN765" s="63" t="s">
        <v>1730</v>
      </c>
      <c r="AO765" s="46"/>
      <c r="AP765" s="47"/>
      <c r="AQ765" s="43">
        <f t="shared" ref="AQ765:AQ773" si="596">IF(U765="Motor Plus",(M765*27%),IF(U765="Motor One",(M765*22%),(IF(U765="Golden",(M765*25%),(IF(U765="Classic",(M765*15%),(IF(U765="Wethaq",(M765*28%),IF(U765="Alwataniya",(M765*21%))*0))))))))</f>
        <v>9714.25</v>
      </c>
      <c r="AR765" s="43">
        <f t="shared" si="448"/>
        <v>485.7125</v>
      </c>
      <c r="AS765" s="43">
        <f t="shared" si="449"/>
        <v>1699.99375</v>
      </c>
      <c r="AT765" s="48">
        <f t="shared" si="450"/>
        <v>7528.54375</v>
      </c>
      <c r="AU765" s="49">
        <f>AQ765-AR765-AS765-AC765</f>
        <v>7528.54375</v>
      </c>
      <c r="AV765" s="48"/>
      <c r="AW765" s="34">
        <f t="shared" si="540"/>
        <v>41600</v>
      </c>
      <c r="AX765" s="50">
        <f t="shared" si="413"/>
        <v>5269.980625</v>
      </c>
      <c r="AY765" s="43"/>
      <c r="AZ765" s="47"/>
      <c r="BA765" s="48">
        <f t="shared" si="590"/>
        <v>5269.980625</v>
      </c>
      <c r="BB765" s="27"/>
      <c r="BC765" s="27"/>
      <c r="BD765" s="51"/>
      <c r="BE765" s="52"/>
      <c r="BF765" s="27" t="s">
        <v>2537</v>
      </c>
      <c r="BG765" s="53">
        <v>0.0</v>
      </c>
      <c r="BH765" s="53" t="str">
        <f>'[1]2023'!Q1001</f>
        <v>#REF!</v>
      </c>
      <c r="BI765" s="27"/>
      <c r="BJ765" s="27"/>
      <c r="BK765" s="27" t="s">
        <v>76</v>
      </c>
      <c r="BL765" s="27"/>
    </row>
    <row r="766" ht="14.25" customHeight="1">
      <c r="A766" s="26" t="s">
        <v>55</v>
      </c>
      <c r="B766" s="26" t="s">
        <v>56</v>
      </c>
      <c r="C766" s="26" t="s">
        <v>57</v>
      </c>
      <c r="D766" s="26" t="s">
        <v>58</v>
      </c>
      <c r="E766" s="27" t="s">
        <v>2541</v>
      </c>
      <c r="F766" s="28" t="s">
        <v>2542</v>
      </c>
      <c r="G766" s="29">
        <v>45133.0</v>
      </c>
      <c r="H766" s="30">
        <v>45133.0</v>
      </c>
      <c r="I766" s="30">
        <v>45498.0</v>
      </c>
      <c r="J766" s="31">
        <v>0.0</v>
      </c>
      <c r="K766" s="26" t="s">
        <v>887</v>
      </c>
      <c r="L766" s="32" t="s">
        <v>2543</v>
      </c>
      <c r="M766" s="33">
        <v>1616.09</v>
      </c>
      <c r="N766" s="34">
        <v>1711.44</v>
      </c>
      <c r="O766" s="27" t="s">
        <v>76</v>
      </c>
      <c r="P766" s="35" t="s">
        <v>122</v>
      </c>
      <c r="Q766" s="35">
        <v>0.0</v>
      </c>
      <c r="R766" s="36">
        <v>45133.0</v>
      </c>
      <c r="S766" s="35" t="s">
        <v>66</v>
      </c>
      <c r="T766" s="35">
        <v>0.0</v>
      </c>
      <c r="U766" s="37" t="s">
        <v>67</v>
      </c>
      <c r="V766" s="38"/>
      <c r="W766" s="38"/>
      <c r="X766" s="27"/>
      <c r="Y766" s="39"/>
      <c r="Z766" s="39"/>
      <c r="AA766" s="39"/>
      <c r="AB766" s="27"/>
      <c r="AC766" s="27">
        <f t="shared" si="539"/>
        <v>0</v>
      </c>
      <c r="AD766" s="41">
        <f t="shared" si="589"/>
        <v>0</v>
      </c>
      <c r="AE766" s="42"/>
      <c r="AF766" s="27"/>
      <c r="AG766" s="43">
        <f t="shared" ref="AG766:AG773" si="597">IF(O766="Paid",IF(A766="Alwataniya",(M766*21%)-((M766*21%)*5%),IF((A766="GIG"),(M766*25%)-((M766*25%)*5%),IF((A766="Allianz"),(M766*27%)-((M766*27%)*5%),0))),0)</f>
        <v>414.527085</v>
      </c>
      <c r="AH766" s="29"/>
      <c r="AI766" s="29"/>
      <c r="AJ766" s="29"/>
      <c r="AK766" s="29"/>
      <c r="AL766" s="27"/>
      <c r="AM766" s="44">
        <f t="shared" si="595"/>
        <v>93.93523125</v>
      </c>
      <c r="AN766" s="179">
        <v>45148.0</v>
      </c>
      <c r="AO766" s="46"/>
      <c r="AP766" s="47"/>
      <c r="AQ766" s="43">
        <f t="shared" si="596"/>
        <v>436.3443</v>
      </c>
      <c r="AR766" s="43">
        <f t="shared" si="448"/>
        <v>21.817215</v>
      </c>
      <c r="AS766" s="43">
        <f t="shared" si="449"/>
        <v>76.3602525</v>
      </c>
      <c r="AT766" s="48">
        <f t="shared" si="450"/>
        <v>338.1668325</v>
      </c>
      <c r="AU766" s="49">
        <f>AQ766-AR766-AS766-AC766-AO766</f>
        <v>338.1668325</v>
      </c>
      <c r="AV766" s="48"/>
      <c r="AW766" s="34">
        <f t="shared" si="540"/>
        <v>1711.44</v>
      </c>
      <c r="AX766" s="50">
        <f t="shared" si="413"/>
        <v>244.2316013</v>
      </c>
      <c r="AY766" s="43"/>
      <c r="AZ766" s="47"/>
      <c r="BA766" s="48">
        <f t="shared" si="590"/>
        <v>244.2316013</v>
      </c>
      <c r="BB766" s="27"/>
      <c r="BC766" s="27"/>
      <c r="BD766" s="51"/>
      <c r="BE766" s="52"/>
      <c r="BF766" s="27" t="s">
        <v>2541</v>
      </c>
      <c r="BG766" s="53">
        <v>0.0</v>
      </c>
      <c r="BH766" s="53" t="str">
        <f>'[1]2023'!Q1110</f>
        <v>#REF!</v>
      </c>
      <c r="BI766" s="27"/>
      <c r="BJ766" s="27"/>
      <c r="BK766" s="27" t="s">
        <v>76</v>
      </c>
      <c r="BL766" s="27"/>
    </row>
    <row r="767" ht="14.25" customHeight="1">
      <c r="A767" s="26" t="s">
        <v>55</v>
      </c>
      <c r="B767" s="26" t="s">
        <v>56</v>
      </c>
      <c r="C767" s="26" t="s">
        <v>57</v>
      </c>
      <c r="D767" s="26" t="s">
        <v>81</v>
      </c>
      <c r="E767" s="27" t="s">
        <v>2544</v>
      </c>
      <c r="F767" s="28" t="s">
        <v>2545</v>
      </c>
      <c r="G767" s="29" t="s">
        <v>2546</v>
      </c>
      <c r="H767" s="30">
        <v>45134.0</v>
      </c>
      <c r="I767" s="30">
        <v>45499.0</v>
      </c>
      <c r="J767" s="31">
        <v>0.0</v>
      </c>
      <c r="K767" s="26" t="s">
        <v>887</v>
      </c>
      <c r="L767" s="32" t="s">
        <v>75</v>
      </c>
      <c r="M767" s="33">
        <v>33915.0</v>
      </c>
      <c r="N767" s="34">
        <v>36059.99</v>
      </c>
      <c r="O767" s="27" t="s">
        <v>76</v>
      </c>
      <c r="P767" s="35" t="s">
        <v>430</v>
      </c>
      <c r="Q767" s="35" t="s">
        <v>108</v>
      </c>
      <c r="R767" s="36" t="e">
        <v>#VALUE!</v>
      </c>
      <c r="S767" s="35" t="s">
        <v>86</v>
      </c>
      <c r="T767" s="35">
        <v>0.0</v>
      </c>
      <c r="U767" s="37" t="s">
        <v>67</v>
      </c>
      <c r="V767" s="38"/>
      <c r="W767" s="38"/>
      <c r="X767" s="27"/>
      <c r="Y767" s="39"/>
      <c r="Z767" s="39"/>
      <c r="AA767" s="39"/>
      <c r="AB767" s="40"/>
      <c r="AC767" s="27">
        <f t="shared" si="539"/>
        <v>0</v>
      </c>
      <c r="AD767" s="41">
        <f t="shared" si="589"/>
        <v>5087.25</v>
      </c>
      <c r="AE767" s="42"/>
      <c r="AF767" s="27" t="s">
        <v>2099</v>
      </c>
      <c r="AG767" s="43">
        <f t="shared" si="597"/>
        <v>8699.1975</v>
      </c>
      <c r="AH767" s="29"/>
      <c r="AI767" s="29"/>
      <c r="AJ767" s="55"/>
      <c r="AK767" s="29"/>
      <c r="AL767" s="27"/>
      <c r="AM767" s="44"/>
      <c r="AN767" s="47"/>
      <c r="AO767" s="46"/>
      <c r="AP767" s="47"/>
      <c r="AQ767" s="43">
        <f t="shared" si="596"/>
        <v>9157.05</v>
      </c>
      <c r="AR767" s="43">
        <f t="shared" si="448"/>
        <v>457.8525</v>
      </c>
      <c r="AS767" s="43">
        <f t="shared" si="449"/>
        <v>1602.48375</v>
      </c>
      <c r="AT767" s="48">
        <f t="shared" si="450"/>
        <v>7096.71375</v>
      </c>
      <c r="AU767" s="49">
        <f t="shared" ref="AU767:AU768" si="598">AQ767-AR767-AS767-AC767</f>
        <v>7096.71375</v>
      </c>
      <c r="AV767" s="48"/>
      <c r="AW767" s="34">
        <f t="shared" si="540"/>
        <v>30972.74</v>
      </c>
      <c r="AX767" s="50">
        <f t="shared" si="413"/>
        <v>2009.46375</v>
      </c>
      <c r="AY767" s="43"/>
      <c r="AZ767" s="47"/>
      <c r="BA767" s="48">
        <f t="shared" si="590"/>
        <v>7096.71375</v>
      </c>
      <c r="BB767" s="27"/>
      <c r="BC767" s="27"/>
      <c r="BD767" s="51"/>
      <c r="BE767" s="52"/>
      <c r="BF767" s="27" t="s">
        <v>2544</v>
      </c>
      <c r="BG767" s="53">
        <v>0.0</v>
      </c>
      <c r="BH767" s="53" t="str">
        <f>'[1]2023'!Q988</f>
        <v>#REF!</v>
      </c>
      <c r="BI767" s="27"/>
      <c r="BJ767" s="27"/>
      <c r="BK767" s="27" t="s">
        <v>76</v>
      </c>
      <c r="BL767" s="27"/>
    </row>
    <row r="768" ht="14.25" customHeight="1">
      <c r="A768" s="26" t="s">
        <v>55</v>
      </c>
      <c r="B768" s="26" t="s">
        <v>56</v>
      </c>
      <c r="C768" s="26" t="s">
        <v>57</v>
      </c>
      <c r="D768" s="26" t="s">
        <v>71</v>
      </c>
      <c r="E768" s="27" t="s">
        <v>2547</v>
      </c>
      <c r="F768" s="28" t="s">
        <v>2548</v>
      </c>
      <c r="G768" s="29" t="s">
        <v>2546</v>
      </c>
      <c r="H768" s="30">
        <v>45134.0</v>
      </c>
      <c r="I768" s="30">
        <v>45499.0</v>
      </c>
      <c r="J768" s="31" t="s">
        <v>2549</v>
      </c>
      <c r="K768" s="26" t="s">
        <v>887</v>
      </c>
      <c r="L768" s="32" t="s">
        <v>75</v>
      </c>
      <c r="M768" s="33">
        <v>57750.0</v>
      </c>
      <c r="N768" s="34">
        <v>61299.25</v>
      </c>
      <c r="O768" s="27" t="s">
        <v>76</v>
      </c>
      <c r="P768" s="35" t="s">
        <v>89</v>
      </c>
      <c r="Q768" s="35" t="s">
        <v>108</v>
      </c>
      <c r="R768" s="36" t="e">
        <v>#VALUE!</v>
      </c>
      <c r="S768" s="35" t="s">
        <v>86</v>
      </c>
      <c r="T768" s="35">
        <v>0.0</v>
      </c>
      <c r="U768" s="37" t="s">
        <v>67</v>
      </c>
      <c r="V768" s="101">
        <v>2100000.0</v>
      </c>
      <c r="W768" s="180"/>
      <c r="X768" s="27"/>
      <c r="Y768" s="39"/>
      <c r="Z768" s="39"/>
      <c r="AA768" s="39"/>
      <c r="AB768" s="40"/>
      <c r="AC768" s="27">
        <f t="shared" si="539"/>
        <v>0</v>
      </c>
      <c r="AD768" s="41">
        <f t="shared" si="589"/>
        <v>8662.5</v>
      </c>
      <c r="AE768" s="42">
        <v>1000.0</v>
      </c>
      <c r="AF768" s="27" t="s">
        <v>2099</v>
      </c>
      <c r="AG768" s="43">
        <f t="shared" si="597"/>
        <v>14812.875</v>
      </c>
      <c r="AH768" s="29"/>
      <c r="AI768" s="29"/>
      <c r="AJ768" s="55"/>
      <c r="AK768" s="29"/>
      <c r="AL768" s="27"/>
      <c r="AM768" s="27"/>
      <c r="AN768" s="47"/>
      <c r="AO768" s="46"/>
      <c r="AP768" s="47"/>
      <c r="AQ768" s="43">
        <f t="shared" si="596"/>
        <v>15592.5</v>
      </c>
      <c r="AR768" s="43">
        <f t="shared" si="448"/>
        <v>779.625</v>
      </c>
      <c r="AS768" s="43">
        <f t="shared" si="449"/>
        <v>2728.6875</v>
      </c>
      <c r="AT768" s="48">
        <f t="shared" si="450"/>
        <v>12084.1875</v>
      </c>
      <c r="AU768" s="49">
        <f t="shared" si="598"/>
        <v>12084.1875</v>
      </c>
      <c r="AV768" s="48"/>
      <c r="AW768" s="34">
        <f t="shared" si="540"/>
        <v>51636.75</v>
      </c>
      <c r="AX768" s="50">
        <f t="shared" si="413"/>
        <v>2421.6875</v>
      </c>
      <c r="AY768" s="43"/>
      <c r="AZ768" s="47"/>
      <c r="BA768" s="48">
        <f t="shared" si="590"/>
        <v>12084.1875</v>
      </c>
      <c r="BB768" s="27"/>
      <c r="BC768" s="27"/>
      <c r="BD768" s="51"/>
      <c r="BE768" s="52"/>
      <c r="BF768" s="27" t="s">
        <v>2547</v>
      </c>
      <c r="BG768" s="53">
        <v>0.0</v>
      </c>
      <c r="BH768" s="53" t="str">
        <f>'[1]2023'!Q1005</f>
        <v>#REF!</v>
      </c>
      <c r="BI768" s="27"/>
      <c r="BJ768" s="27"/>
      <c r="BK768" s="27" t="s">
        <v>76</v>
      </c>
      <c r="BL768" s="27"/>
    </row>
    <row r="769" ht="14.25" customHeight="1">
      <c r="A769" s="26" t="s">
        <v>55</v>
      </c>
      <c r="B769" s="26" t="s">
        <v>56</v>
      </c>
      <c r="C769" s="26" t="s">
        <v>57</v>
      </c>
      <c r="D769" s="26" t="s">
        <v>81</v>
      </c>
      <c r="E769" s="27" t="s">
        <v>2550</v>
      </c>
      <c r="F769" s="28" t="s">
        <v>2551</v>
      </c>
      <c r="G769" s="29" t="s">
        <v>2552</v>
      </c>
      <c r="H769" s="30">
        <v>45135.0</v>
      </c>
      <c r="I769" s="30">
        <v>45500.0</v>
      </c>
      <c r="J769" s="31" t="s">
        <v>2553</v>
      </c>
      <c r="K769" s="26" t="s">
        <v>887</v>
      </c>
      <c r="L769" s="32" t="s">
        <v>2554</v>
      </c>
      <c r="M769" s="33">
        <v>23254.0</v>
      </c>
      <c r="N769" s="34">
        <v>24766.98</v>
      </c>
      <c r="O769" s="27" t="s">
        <v>76</v>
      </c>
      <c r="P769" s="35" t="s">
        <v>122</v>
      </c>
      <c r="Q769" s="35">
        <v>0.0</v>
      </c>
      <c r="R769" s="36" t="e">
        <v>#VALUE!</v>
      </c>
      <c r="S769" s="35" t="s">
        <v>86</v>
      </c>
      <c r="T769" s="35">
        <v>0.0</v>
      </c>
      <c r="U769" s="37" t="s">
        <v>67</v>
      </c>
      <c r="V769" s="38">
        <v>1100000.0</v>
      </c>
      <c r="W769" s="38" t="s">
        <v>2555</v>
      </c>
      <c r="X769" s="27">
        <v>2017.0</v>
      </c>
      <c r="Y769" s="79" t="s">
        <v>2556</v>
      </c>
      <c r="Z769" s="39"/>
      <c r="AA769" s="39"/>
      <c r="AB769" s="40"/>
      <c r="AC769" s="27">
        <f t="shared" si="539"/>
        <v>0</v>
      </c>
      <c r="AD769" s="41">
        <f t="shared" si="589"/>
        <v>3488.1</v>
      </c>
      <c r="AE769" s="42"/>
      <c r="AF769" s="27"/>
      <c r="AG769" s="43">
        <f t="shared" si="597"/>
        <v>5964.651</v>
      </c>
      <c r="AH769" s="29"/>
      <c r="AI769" s="29"/>
      <c r="AJ769" s="29"/>
      <c r="AK769" s="29"/>
      <c r="AL769" s="27"/>
      <c r="AM769" s="27"/>
      <c r="AN769" s="47"/>
      <c r="AO769" s="46"/>
      <c r="AP769" s="47"/>
      <c r="AQ769" s="43">
        <f t="shared" si="596"/>
        <v>6278.58</v>
      </c>
      <c r="AR769" s="43">
        <f t="shared" si="448"/>
        <v>313.929</v>
      </c>
      <c r="AS769" s="43">
        <f t="shared" si="449"/>
        <v>1098.7515</v>
      </c>
      <c r="AT769" s="48">
        <f t="shared" si="450"/>
        <v>4865.8995</v>
      </c>
      <c r="AU769" s="49">
        <f t="shared" ref="AU769:AU771" si="599">AQ769-AR769-AS769-AC769-AO769</f>
        <v>4865.8995</v>
      </c>
      <c r="AV769" s="48"/>
      <c r="AW769" s="34">
        <f t="shared" si="540"/>
        <v>21278.88</v>
      </c>
      <c r="AX769" s="50">
        <f t="shared" si="413"/>
        <v>1377.7995</v>
      </c>
      <c r="AY769" s="43"/>
      <c r="AZ769" s="47"/>
      <c r="BA769" s="48">
        <f t="shared" si="590"/>
        <v>4865.8995</v>
      </c>
      <c r="BB769" s="27"/>
      <c r="BC769" s="27"/>
      <c r="BD769" s="51"/>
      <c r="BE769" s="52"/>
      <c r="BF769" s="27" t="s">
        <v>2550</v>
      </c>
      <c r="BG769" s="53">
        <v>0.0</v>
      </c>
      <c r="BH769" s="53" t="str">
        <f>'[1]2023'!Q1076</f>
        <v>#REF!</v>
      </c>
      <c r="BI769" s="27"/>
      <c r="BJ769" s="27"/>
      <c r="BK769" s="27" t="s">
        <v>76</v>
      </c>
      <c r="BL769" s="27"/>
    </row>
    <row r="770" ht="14.25" customHeight="1">
      <c r="A770" s="26" t="s">
        <v>55</v>
      </c>
      <c r="B770" s="26" t="s">
        <v>56</v>
      </c>
      <c r="C770" s="26" t="s">
        <v>57</v>
      </c>
      <c r="D770" s="26" t="s">
        <v>81</v>
      </c>
      <c r="E770" s="27" t="s">
        <v>2557</v>
      </c>
      <c r="F770" s="28" t="s">
        <v>2558</v>
      </c>
      <c r="G770" s="29" t="s">
        <v>2552</v>
      </c>
      <c r="H770" s="30">
        <v>45135.0</v>
      </c>
      <c r="I770" s="30">
        <v>45500.0</v>
      </c>
      <c r="J770" s="31">
        <v>0.0</v>
      </c>
      <c r="K770" s="26" t="s">
        <v>887</v>
      </c>
      <c r="L770" s="32" t="s">
        <v>2465</v>
      </c>
      <c r="M770" s="33">
        <v>28320.0</v>
      </c>
      <c r="N770" s="34">
        <v>30131.88</v>
      </c>
      <c r="O770" s="27" t="s">
        <v>76</v>
      </c>
      <c r="P770" s="35" t="s">
        <v>122</v>
      </c>
      <c r="Q770" s="35" t="s">
        <v>90</v>
      </c>
      <c r="R770" s="36" t="e">
        <v>#VALUE!</v>
      </c>
      <c r="S770" s="35" t="s">
        <v>86</v>
      </c>
      <c r="T770" s="35">
        <v>0.0</v>
      </c>
      <c r="U770" s="37" t="s">
        <v>67</v>
      </c>
      <c r="V770" s="38"/>
      <c r="W770" s="38"/>
      <c r="X770" s="27"/>
      <c r="Y770" s="39"/>
      <c r="Z770" s="79" t="s">
        <v>232</v>
      </c>
      <c r="AA770" s="39"/>
      <c r="AB770" s="40"/>
      <c r="AC770" s="27">
        <f t="shared" si="539"/>
        <v>0</v>
      </c>
      <c r="AD770" s="41">
        <f t="shared" si="589"/>
        <v>4248</v>
      </c>
      <c r="AE770" s="42"/>
      <c r="AF770" s="27"/>
      <c r="AG770" s="43">
        <f t="shared" si="597"/>
        <v>7264.08</v>
      </c>
      <c r="AH770" s="29"/>
      <c r="AI770" s="29"/>
      <c r="AJ770" s="29"/>
      <c r="AK770" s="29"/>
      <c r="AL770" s="27"/>
      <c r="AM770" s="27"/>
      <c r="AN770" s="47"/>
      <c r="AO770" s="46"/>
      <c r="AP770" s="47"/>
      <c r="AQ770" s="43">
        <f t="shared" si="596"/>
        <v>7646.4</v>
      </c>
      <c r="AR770" s="43">
        <f t="shared" si="448"/>
        <v>382.32</v>
      </c>
      <c r="AS770" s="43">
        <f t="shared" si="449"/>
        <v>1338.12</v>
      </c>
      <c r="AT770" s="48">
        <f t="shared" si="450"/>
        <v>5925.96</v>
      </c>
      <c r="AU770" s="49">
        <f t="shared" si="599"/>
        <v>5925.96</v>
      </c>
      <c r="AV770" s="48"/>
      <c r="AW770" s="34">
        <f t="shared" si="540"/>
        <v>25883.88</v>
      </c>
      <c r="AX770" s="50">
        <f t="shared" si="413"/>
        <v>1677.96</v>
      </c>
      <c r="AY770" s="43"/>
      <c r="AZ770" s="47"/>
      <c r="BA770" s="48">
        <f t="shared" si="590"/>
        <v>5925.96</v>
      </c>
      <c r="BB770" s="27"/>
      <c r="BC770" s="27"/>
      <c r="BD770" s="51"/>
      <c r="BE770" s="52"/>
      <c r="BF770" s="27" t="s">
        <v>953</v>
      </c>
      <c r="BG770" s="53">
        <v>0.0</v>
      </c>
      <c r="BH770" s="53" t="str">
        <f>'[1]2023'!Q1078</f>
        <v>#REF!</v>
      </c>
      <c r="BI770" s="27"/>
      <c r="BJ770" s="27"/>
      <c r="BK770" s="27" t="s">
        <v>76</v>
      </c>
      <c r="BL770" s="27"/>
    </row>
    <row r="771" ht="14.25" customHeight="1">
      <c r="A771" s="26" t="s">
        <v>55</v>
      </c>
      <c r="B771" s="26" t="s">
        <v>56</v>
      </c>
      <c r="C771" s="26" t="s">
        <v>57</v>
      </c>
      <c r="D771" s="26" t="s">
        <v>81</v>
      </c>
      <c r="E771" s="27" t="s">
        <v>2559</v>
      </c>
      <c r="F771" s="28" t="s">
        <v>2560</v>
      </c>
      <c r="G771" s="29" t="s">
        <v>2552</v>
      </c>
      <c r="H771" s="30">
        <v>45135.0</v>
      </c>
      <c r="I771" s="30">
        <v>45500.0</v>
      </c>
      <c r="J771" s="31">
        <v>0.0</v>
      </c>
      <c r="K771" s="26" t="s">
        <v>887</v>
      </c>
      <c r="L771" s="32" t="s">
        <v>2561</v>
      </c>
      <c r="M771" s="33">
        <v>19337.5</v>
      </c>
      <c r="N771" s="34">
        <v>20619.43</v>
      </c>
      <c r="O771" s="27" t="s">
        <v>76</v>
      </c>
      <c r="P771" s="35" t="s">
        <v>122</v>
      </c>
      <c r="Q771" s="35">
        <v>0.0</v>
      </c>
      <c r="R771" s="36" t="e">
        <v>#VALUE!</v>
      </c>
      <c r="S771" s="35" t="s">
        <v>86</v>
      </c>
      <c r="T771" s="35">
        <v>0.0</v>
      </c>
      <c r="U771" s="37" t="s">
        <v>67</v>
      </c>
      <c r="V771" s="38"/>
      <c r="W771" s="38"/>
      <c r="X771" s="27"/>
      <c r="Y771" s="39"/>
      <c r="Z771" s="39"/>
      <c r="AA771" s="39"/>
      <c r="AB771" s="27"/>
      <c r="AC771" s="27">
        <f t="shared" si="539"/>
        <v>0</v>
      </c>
      <c r="AD771" s="41">
        <f t="shared" si="589"/>
        <v>2900.625</v>
      </c>
      <c r="AE771" s="42"/>
      <c r="AF771" s="27"/>
      <c r="AG771" s="43">
        <f t="shared" si="597"/>
        <v>4960.06875</v>
      </c>
      <c r="AH771" s="29"/>
      <c r="AI771" s="29"/>
      <c r="AJ771" s="29"/>
      <c r="AK771" s="29"/>
      <c r="AL771" s="27"/>
      <c r="AM771" s="27"/>
      <c r="AN771" s="47"/>
      <c r="AO771" s="46"/>
      <c r="AP771" s="47"/>
      <c r="AQ771" s="43">
        <f t="shared" si="596"/>
        <v>5221.125</v>
      </c>
      <c r="AR771" s="43">
        <f t="shared" si="448"/>
        <v>261.05625</v>
      </c>
      <c r="AS771" s="43">
        <f t="shared" si="449"/>
        <v>913.696875</v>
      </c>
      <c r="AT771" s="48">
        <f t="shared" si="450"/>
        <v>4046.371875</v>
      </c>
      <c r="AU771" s="49">
        <f t="shared" si="599"/>
        <v>4046.371875</v>
      </c>
      <c r="AV771" s="48"/>
      <c r="AW771" s="34">
        <f t="shared" si="540"/>
        <v>17718.805</v>
      </c>
      <c r="AX771" s="50">
        <f t="shared" si="413"/>
        <v>1145.746875</v>
      </c>
      <c r="AY771" s="43"/>
      <c r="AZ771" s="47"/>
      <c r="BA771" s="48">
        <f t="shared" si="590"/>
        <v>4046.371875</v>
      </c>
      <c r="BB771" s="27"/>
      <c r="BC771" s="27"/>
      <c r="BD771" s="51"/>
      <c r="BE771" s="52"/>
      <c r="BF771" s="27" t="s">
        <v>2559</v>
      </c>
      <c r="BG771" s="53">
        <v>0.0</v>
      </c>
      <c r="BH771" s="53" t="str">
        <f>'[1]2023'!Q1087</f>
        <v>#REF!</v>
      </c>
      <c r="BI771" s="27"/>
      <c r="BJ771" s="27"/>
      <c r="BK771" s="27" t="s">
        <v>76</v>
      </c>
      <c r="BL771" s="27"/>
    </row>
    <row r="772" ht="14.25" customHeight="1">
      <c r="A772" s="26" t="s">
        <v>55</v>
      </c>
      <c r="B772" s="26" t="s">
        <v>56</v>
      </c>
      <c r="C772" s="26" t="s">
        <v>57</v>
      </c>
      <c r="D772" s="26" t="s">
        <v>81</v>
      </c>
      <c r="E772" s="27" t="s">
        <v>2562</v>
      </c>
      <c r="F772" s="28" t="s">
        <v>2563</v>
      </c>
      <c r="G772" s="29" t="s">
        <v>2564</v>
      </c>
      <c r="H772" s="30">
        <v>45136.0</v>
      </c>
      <c r="I772" s="30">
        <v>45501.0</v>
      </c>
      <c r="J772" s="31">
        <v>0.0</v>
      </c>
      <c r="K772" s="26" t="s">
        <v>887</v>
      </c>
      <c r="L772" s="32" t="s">
        <v>75</v>
      </c>
      <c r="M772" s="33">
        <v>13650.0</v>
      </c>
      <c r="N772" s="34">
        <v>14596.35</v>
      </c>
      <c r="O772" s="27" t="s">
        <v>76</v>
      </c>
      <c r="P772" s="35" t="s">
        <v>430</v>
      </c>
      <c r="Q772" s="35">
        <v>0.0</v>
      </c>
      <c r="R772" s="36" t="e">
        <v>#VALUE!</v>
      </c>
      <c r="S772" s="35" t="s">
        <v>86</v>
      </c>
      <c r="T772" s="35">
        <v>0.0</v>
      </c>
      <c r="U772" s="37" t="s">
        <v>67</v>
      </c>
      <c r="V772" s="38"/>
      <c r="W772" s="38"/>
      <c r="X772" s="27"/>
      <c r="Y772" s="39"/>
      <c r="Z772" s="39"/>
      <c r="AA772" s="39"/>
      <c r="AB772" s="40"/>
      <c r="AC772" s="27">
        <f t="shared" si="539"/>
        <v>0</v>
      </c>
      <c r="AD772" s="41">
        <f t="shared" si="589"/>
        <v>2047.5</v>
      </c>
      <c r="AE772" s="42"/>
      <c r="AF772" s="27"/>
      <c r="AG772" s="43">
        <f t="shared" si="597"/>
        <v>3501.225</v>
      </c>
      <c r="AH772" s="29"/>
      <c r="AI772" s="29"/>
      <c r="AJ772" s="55"/>
      <c r="AK772" s="29"/>
      <c r="AL772" s="27"/>
      <c r="AM772" s="27"/>
      <c r="AN772" s="47"/>
      <c r="AO772" s="46"/>
      <c r="AP772" s="47"/>
      <c r="AQ772" s="43">
        <f t="shared" si="596"/>
        <v>3685.5</v>
      </c>
      <c r="AR772" s="43">
        <f t="shared" si="448"/>
        <v>184.275</v>
      </c>
      <c r="AS772" s="43">
        <f t="shared" si="449"/>
        <v>644.9625</v>
      </c>
      <c r="AT772" s="48">
        <f t="shared" si="450"/>
        <v>2856.2625</v>
      </c>
      <c r="AU772" s="49">
        <f t="shared" ref="AU772:AU774" si="600">AQ772-AR772-AS772-AC772</f>
        <v>2856.2625</v>
      </c>
      <c r="AV772" s="48"/>
      <c r="AW772" s="34">
        <f t="shared" si="540"/>
        <v>12548.85</v>
      </c>
      <c r="AX772" s="50">
        <f t="shared" si="413"/>
        <v>808.7625</v>
      </c>
      <c r="AY772" s="43"/>
      <c r="AZ772" s="47"/>
      <c r="BA772" s="48">
        <f t="shared" si="590"/>
        <v>2856.2625</v>
      </c>
      <c r="BB772" s="27"/>
      <c r="BC772" s="27"/>
      <c r="BD772" s="51"/>
      <c r="BE772" s="52"/>
      <c r="BF772" s="27" t="s">
        <v>2562</v>
      </c>
      <c r="BG772" s="53">
        <v>0.0</v>
      </c>
      <c r="BH772" s="53" t="str">
        <f>'[1]2023'!Q990</f>
        <v>#REF!</v>
      </c>
      <c r="BI772" s="27"/>
      <c r="BJ772" s="27"/>
      <c r="BK772" s="27" t="s">
        <v>76</v>
      </c>
      <c r="BL772" s="27"/>
    </row>
    <row r="773" ht="14.25" customHeight="1">
      <c r="A773" s="26" t="s">
        <v>55</v>
      </c>
      <c r="B773" s="26" t="s">
        <v>56</v>
      </c>
      <c r="C773" s="26" t="s">
        <v>57</v>
      </c>
      <c r="D773" s="26" t="s">
        <v>81</v>
      </c>
      <c r="E773" s="27" t="s">
        <v>2565</v>
      </c>
      <c r="F773" s="28" t="s">
        <v>2566</v>
      </c>
      <c r="G773" s="29" t="s">
        <v>2564</v>
      </c>
      <c r="H773" s="30">
        <v>45136.0</v>
      </c>
      <c r="I773" s="30">
        <v>45501.0</v>
      </c>
      <c r="J773" s="31">
        <v>0.0</v>
      </c>
      <c r="K773" s="26" t="s">
        <v>887</v>
      </c>
      <c r="L773" s="32" t="s">
        <v>75</v>
      </c>
      <c r="M773" s="33">
        <v>11550.0</v>
      </c>
      <c r="N773" s="34">
        <v>12372.45</v>
      </c>
      <c r="O773" s="27" t="s">
        <v>76</v>
      </c>
      <c r="P773" s="35" t="s">
        <v>430</v>
      </c>
      <c r="Q773" s="35">
        <v>0.0</v>
      </c>
      <c r="R773" s="36" t="e">
        <v>#VALUE!</v>
      </c>
      <c r="S773" s="35" t="s">
        <v>86</v>
      </c>
      <c r="T773" s="35">
        <v>0.0</v>
      </c>
      <c r="U773" s="37" t="s">
        <v>67</v>
      </c>
      <c r="V773" s="38"/>
      <c r="W773" s="38"/>
      <c r="X773" s="27"/>
      <c r="Y773" s="39"/>
      <c r="Z773" s="39"/>
      <c r="AA773" s="39"/>
      <c r="AB773" s="40"/>
      <c r="AC773" s="27">
        <f t="shared" si="539"/>
        <v>0</v>
      </c>
      <c r="AD773" s="41">
        <f t="shared" si="589"/>
        <v>1732.5</v>
      </c>
      <c r="AE773" s="42"/>
      <c r="AF773" s="27"/>
      <c r="AG773" s="43">
        <f t="shared" si="597"/>
        <v>2962.575</v>
      </c>
      <c r="AH773" s="29"/>
      <c r="AI773" s="29"/>
      <c r="AJ773" s="29"/>
      <c r="AK773" s="29"/>
      <c r="AL773" s="27"/>
      <c r="AM773" s="27"/>
      <c r="AN773" s="47"/>
      <c r="AO773" s="46"/>
      <c r="AP773" s="47"/>
      <c r="AQ773" s="43">
        <f t="shared" si="596"/>
        <v>3118.5</v>
      </c>
      <c r="AR773" s="43">
        <f t="shared" si="448"/>
        <v>155.925</v>
      </c>
      <c r="AS773" s="43">
        <f t="shared" si="449"/>
        <v>545.7375</v>
      </c>
      <c r="AT773" s="48">
        <f t="shared" si="450"/>
        <v>2416.8375</v>
      </c>
      <c r="AU773" s="49">
        <f t="shared" si="600"/>
        <v>2416.8375</v>
      </c>
      <c r="AV773" s="48"/>
      <c r="AW773" s="34">
        <f t="shared" si="540"/>
        <v>10639.95</v>
      </c>
      <c r="AX773" s="50">
        <f t="shared" si="413"/>
        <v>684.3375</v>
      </c>
      <c r="AY773" s="43"/>
      <c r="AZ773" s="47"/>
      <c r="BA773" s="48">
        <f t="shared" si="590"/>
        <v>2416.8375</v>
      </c>
      <c r="BB773" s="27"/>
      <c r="BC773" s="27"/>
      <c r="BD773" s="51"/>
      <c r="BE773" s="52"/>
      <c r="BF773" s="27" t="s">
        <v>2565</v>
      </c>
      <c r="BG773" s="53">
        <v>0.0</v>
      </c>
      <c r="BH773" s="53" t="str">
        <f>'[1]2023'!Q1043</f>
        <v>#REF!</v>
      </c>
      <c r="BI773" s="27"/>
      <c r="BJ773" s="27"/>
      <c r="BK773" s="27" t="s">
        <v>76</v>
      </c>
      <c r="BL773" s="27"/>
    </row>
    <row r="774" ht="14.25" customHeight="1">
      <c r="A774" s="26" t="s">
        <v>2171</v>
      </c>
      <c r="B774" s="26" t="s">
        <v>1099</v>
      </c>
      <c r="C774" s="26" t="s">
        <v>70</v>
      </c>
      <c r="D774" s="26" t="s">
        <v>71</v>
      </c>
      <c r="E774" s="27" t="s">
        <v>2567</v>
      </c>
      <c r="F774" s="28" t="s">
        <v>2173</v>
      </c>
      <c r="G774" s="29" t="s">
        <v>2568</v>
      </c>
      <c r="H774" s="30">
        <v>45137.0</v>
      </c>
      <c r="I774" s="30">
        <v>45502.0</v>
      </c>
      <c r="J774" s="31">
        <v>0.0</v>
      </c>
      <c r="K774" s="26" t="s">
        <v>887</v>
      </c>
      <c r="L774" s="32" t="s">
        <v>922</v>
      </c>
      <c r="M774" s="33">
        <v>0.0</v>
      </c>
      <c r="N774" s="34">
        <v>212751.0</v>
      </c>
      <c r="O774" s="27" t="s">
        <v>76</v>
      </c>
      <c r="P774" s="35" t="s">
        <v>77</v>
      </c>
      <c r="Q774" s="35">
        <v>0.0</v>
      </c>
      <c r="R774" s="36" t="e">
        <v>#VALUE!</v>
      </c>
      <c r="S774" s="35" t="s">
        <v>78</v>
      </c>
      <c r="T774" s="54" t="s">
        <v>79</v>
      </c>
      <c r="U774" s="37" t="s">
        <v>1099</v>
      </c>
      <c r="V774" s="38"/>
      <c r="W774" s="38"/>
      <c r="X774" s="27"/>
      <c r="Y774" s="39"/>
      <c r="Z774" s="39"/>
      <c r="AA774" s="39"/>
      <c r="AB774" s="40"/>
      <c r="AC774" s="27">
        <f t="shared" si="539"/>
        <v>0</v>
      </c>
      <c r="AD774" s="41"/>
      <c r="AE774" s="42"/>
      <c r="AF774" s="27"/>
      <c r="AG774" s="43">
        <f>(N774*10%)-((N774*10%)*5%)-718.927</f>
        <v>19492.418</v>
      </c>
      <c r="AH774" s="29">
        <v>45085.0</v>
      </c>
      <c r="AI774" s="29" t="s">
        <v>2569</v>
      </c>
      <c r="AJ774" s="55">
        <v>0.1</v>
      </c>
      <c r="AK774" s="29">
        <v>45085.0</v>
      </c>
      <c r="AL774" s="27"/>
      <c r="AM774" s="44"/>
      <c r="AN774" s="104"/>
      <c r="AO774" s="46">
        <f>((N774*AJ774)-((N774*AJ774)*22.5%))*70%</f>
        <v>11541.74175</v>
      </c>
      <c r="AP774" s="57" t="s">
        <v>2569</v>
      </c>
      <c r="AQ774" s="43">
        <f>N774*AJ774</f>
        <v>21275.1</v>
      </c>
      <c r="AR774" s="43">
        <f t="shared" si="448"/>
        <v>1063.755</v>
      </c>
      <c r="AS774" s="43">
        <f t="shared" si="449"/>
        <v>3723.1425</v>
      </c>
      <c r="AT774" s="48">
        <f t="shared" si="450"/>
        <v>16488.2025</v>
      </c>
      <c r="AU774" s="49">
        <f t="shared" si="600"/>
        <v>16488.2025</v>
      </c>
      <c r="AV774" s="48"/>
      <c r="AW774" s="34">
        <f t="shared" si="540"/>
        <v>212751</v>
      </c>
      <c r="AX774" s="50">
        <f t="shared" si="413"/>
        <v>4227.53375</v>
      </c>
      <c r="AY774" s="43"/>
      <c r="AZ774" s="43"/>
      <c r="BA774" s="48" t="str">
        <f t="shared" ref="BA774:BA775" si="601">IF(S774&lt;&gt;0,AU774-#REF!-AM774,(AG774-AD774-AE774-AS774))</f>
        <v>#REF!</v>
      </c>
      <c r="BB774" s="27"/>
      <c r="BC774" s="27"/>
      <c r="BD774" s="51"/>
      <c r="BE774" s="52"/>
      <c r="BF774" s="27" t="s">
        <v>2567</v>
      </c>
      <c r="BG774" s="58" t="s">
        <v>2570</v>
      </c>
      <c r="BH774" s="53" t="str">
        <f>'[1]2023'!Q880</f>
        <v>#REF!</v>
      </c>
      <c r="BI774" s="27"/>
      <c r="BJ774" s="27"/>
      <c r="BK774" s="27" t="s">
        <v>76</v>
      </c>
      <c r="BL774" s="181" t="s">
        <v>2571</v>
      </c>
    </row>
    <row r="775" ht="14.25" customHeight="1">
      <c r="A775" s="26" t="s">
        <v>1634</v>
      </c>
      <c r="B775" s="26" t="s">
        <v>69</v>
      </c>
      <c r="C775" s="26" t="s">
        <v>57</v>
      </c>
      <c r="D775" s="26" t="s">
        <v>71</v>
      </c>
      <c r="E775" s="27" t="s">
        <v>2572</v>
      </c>
      <c r="F775" s="26" t="s">
        <v>2240</v>
      </c>
      <c r="G775" s="29" t="s">
        <v>2568</v>
      </c>
      <c r="H775" s="30">
        <v>45137.0</v>
      </c>
      <c r="I775" s="30">
        <v>45502.0</v>
      </c>
      <c r="J775" s="31">
        <v>0.0</v>
      </c>
      <c r="K775" s="26" t="s">
        <v>2368</v>
      </c>
      <c r="L775" s="32" t="s">
        <v>63</v>
      </c>
      <c r="M775" s="33">
        <v>22039.0</v>
      </c>
      <c r="N775" s="34">
        <v>15000.0</v>
      </c>
      <c r="O775" s="27" t="s">
        <v>76</v>
      </c>
      <c r="P775" s="35" t="s">
        <v>77</v>
      </c>
      <c r="Q775" s="35">
        <v>0.0</v>
      </c>
      <c r="R775" s="36" t="e">
        <v>#VALUE!</v>
      </c>
      <c r="S775" s="35" t="s">
        <v>78</v>
      </c>
      <c r="T775" s="54" t="s">
        <v>79</v>
      </c>
      <c r="U775" s="37" t="s">
        <v>1634</v>
      </c>
      <c r="V775" s="38"/>
      <c r="W775" s="38"/>
      <c r="X775" s="27"/>
      <c r="Y775" s="39"/>
      <c r="Z775" s="39"/>
      <c r="AA775" s="39"/>
      <c r="AB775" s="40"/>
      <c r="AC775" s="27">
        <f t="shared" si="539"/>
        <v>0</v>
      </c>
      <c r="AD775" s="41"/>
      <c r="AE775" s="42"/>
      <c r="AF775" s="27"/>
      <c r="AG775" s="43">
        <f>IF(O775="Paid",IF(A775="Egyptian",(M775*16.5%)-((M775*16.5%)*5%)))</f>
        <v>3454.61325</v>
      </c>
      <c r="AH775" s="29" t="s">
        <v>1107</v>
      </c>
      <c r="AI775" s="29"/>
      <c r="AJ775" s="145">
        <v>0.165</v>
      </c>
      <c r="AK775" s="29" t="s">
        <v>480</v>
      </c>
      <c r="AL775" s="27"/>
      <c r="AM775" s="44"/>
      <c r="AN775" s="56"/>
      <c r="AO775" s="46">
        <f>((M775*AJ775)-((M775*AJ775)*22.5%))*80%</f>
        <v>2254.5897</v>
      </c>
      <c r="AP775" s="57" t="s">
        <v>1980</v>
      </c>
      <c r="AQ775" s="43">
        <f>M775*AJ775</f>
        <v>3636.435</v>
      </c>
      <c r="AR775" s="43">
        <f t="shared" si="448"/>
        <v>181.82175</v>
      </c>
      <c r="AS775" s="43">
        <f t="shared" si="449"/>
        <v>636.376125</v>
      </c>
      <c r="AT775" s="48">
        <f t="shared" si="450"/>
        <v>2818.237125</v>
      </c>
      <c r="AU775" s="49" t="str">
        <f>AQ775-AR775-AS775-AC775-#REF!</f>
        <v>#REF!</v>
      </c>
      <c r="AV775" s="48"/>
      <c r="AW775" s="34">
        <f t="shared" si="540"/>
        <v>15000</v>
      </c>
      <c r="AX775" s="50">
        <f t="shared" si="413"/>
        <v>563.647425</v>
      </c>
      <c r="AY775" s="43"/>
      <c r="AZ775" s="47"/>
      <c r="BA775" s="48" t="str">
        <f t="shared" si="601"/>
        <v>#REF!</v>
      </c>
      <c r="BB775" s="27"/>
      <c r="BC775" s="27"/>
      <c r="BD775" s="51"/>
      <c r="BE775" s="52"/>
      <c r="BF775" s="27" t="s">
        <v>2572</v>
      </c>
      <c r="BG775" s="58" t="s">
        <v>2573</v>
      </c>
      <c r="BH775" s="53" t="str">
        <f>'[1]2023'!Q961</f>
        <v>#REF!</v>
      </c>
      <c r="BI775" s="27"/>
      <c r="BJ775" s="27"/>
      <c r="BK775" s="27" t="s">
        <v>76</v>
      </c>
      <c r="BL775" s="27"/>
    </row>
    <row r="776" ht="14.25" customHeight="1">
      <c r="A776" s="26" t="s">
        <v>68</v>
      </c>
      <c r="B776" s="26" t="s">
        <v>56</v>
      </c>
      <c r="C776" s="26" t="s">
        <v>57</v>
      </c>
      <c r="D776" s="26" t="s">
        <v>71</v>
      </c>
      <c r="E776" s="27" t="s">
        <v>2574</v>
      </c>
      <c r="F776" s="28" t="s">
        <v>2575</v>
      </c>
      <c r="G776" s="29" t="s">
        <v>2568</v>
      </c>
      <c r="H776" s="30">
        <v>45137.0</v>
      </c>
      <c r="I776" s="30">
        <v>45502.0</v>
      </c>
      <c r="J776" s="31" t="s">
        <v>2395</v>
      </c>
      <c r="K776" s="26" t="s">
        <v>887</v>
      </c>
      <c r="L776" s="32" t="s">
        <v>63</v>
      </c>
      <c r="M776" s="33">
        <v>25247.59</v>
      </c>
      <c r="N776" s="34">
        <v>27000.0</v>
      </c>
      <c r="O776" s="27" t="s">
        <v>64</v>
      </c>
      <c r="P776" s="35">
        <v>0.0</v>
      </c>
      <c r="Q776" s="35">
        <v>0.0</v>
      </c>
      <c r="R776" s="36" t="e">
        <v>#VALUE!</v>
      </c>
      <c r="S776" s="35" t="s">
        <v>78</v>
      </c>
      <c r="T776" s="35">
        <v>0.0</v>
      </c>
      <c r="U776" s="37" t="s">
        <v>68</v>
      </c>
      <c r="V776" s="38">
        <v>1350000.0</v>
      </c>
      <c r="W776" s="38"/>
      <c r="X776" s="27"/>
      <c r="Y776" s="39"/>
      <c r="Z776" s="79" t="s">
        <v>476</v>
      </c>
      <c r="AA776" s="39"/>
      <c r="AB776" s="40"/>
      <c r="AC776" s="27">
        <f t="shared" si="539"/>
        <v>0</v>
      </c>
      <c r="AD776" s="41">
        <f t="shared" ref="AD776:AD782" si="602">IF(AND(S776="0",O776="Paid"),(M776*15%)-AC776,0)</f>
        <v>0</v>
      </c>
      <c r="AE776" s="42"/>
      <c r="AF776" s="27"/>
      <c r="AG776" s="43">
        <f>IF(O776="Paid",IF(A776="Alwataniya",(M776*21%)-((M776*21%)*5%),IF((A776="GIG"),(M776*25%)-((M776*25%)*5%),IF((A776="Allianz"),(M776*27%)-((M776*27%)*20%),0))),0)</f>
        <v>0</v>
      </c>
      <c r="AH776" s="29"/>
      <c r="AI776" s="29"/>
      <c r="AJ776" s="29"/>
      <c r="AK776" s="29"/>
      <c r="AL776" s="27"/>
      <c r="AM776" s="27"/>
      <c r="AN776" s="47"/>
      <c r="AO776" s="46"/>
      <c r="AP776" s="47"/>
      <c r="AQ776" s="43" t="b">
        <f>IF(O776="Paid",IF(U776="Motor Plus",(M776*27%),IF(U776="Motor One",(M776*22%),(IF(U776="Golden",(M776*25%),(IF(U776="Classic",(M776*15%),(IF(U776="Wethaq",(M776*28%),IF(U776="Alwataniya",(M776*21%))*0)))))))))</f>
        <v>0</v>
      </c>
      <c r="AR776" s="43">
        <f t="shared" si="448"/>
        <v>0</v>
      </c>
      <c r="AS776" s="43">
        <f t="shared" si="449"/>
        <v>0</v>
      </c>
      <c r="AT776" s="48">
        <f t="shared" si="450"/>
        <v>0</v>
      </c>
      <c r="AU776" s="49">
        <f t="shared" ref="AU776:AU780" si="603">AQ776-AR776-AS776-AC776</f>
        <v>0</v>
      </c>
      <c r="AV776" s="48"/>
      <c r="AW776" s="34">
        <f t="shared" si="540"/>
        <v>27000</v>
      </c>
      <c r="AX776" s="50">
        <f t="shared" si="413"/>
        <v>0</v>
      </c>
      <c r="AY776" s="43"/>
      <c r="AZ776" s="47"/>
      <c r="BA776" s="48">
        <f t="shared" ref="BA776:BA810" si="604">IF(S776&lt;&gt;0,AU776-AO776-AM776,(AG776-AD776-AE776-AS776))</f>
        <v>0</v>
      </c>
      <c r="BB776" s="27"/>
      <c r="BC776" s="27"/>
      <c r="BD776" s="51"/>
      <c r="BE776" s="52"/>
      <c r="BF776" s="27" t="s">
        <v>2574</v>
      </c>
      <c r="BG776" s="53">
        <v>0.0</v>
      </c>
      <c r="BH776" s="53" t="str">
        <f>'[1]2023'!Q1013</f>
        <v>#REF!</v>
      </c>
      <c r="BI776" s="27"/>
      <c r="BJ776" s="27"/>
      <c r="BK776" s="27" t="s">
        <v>64</v>
      </c>
      <c r="BL776" s="27"/>
    </row>
    <row r="777" ht="14.25" customHeight="1">
      <c r="A777" s="26" t="s">
        <v>68</v>
      </c>
      <c r="B777" s="26" t="s">
        <v>56</v>
      </c>
      <c r="C777" s="26" t="s">
        <v>57</v>
      </c>
      <c r="D777" s="26" t="s">
        <v>71</v>
      </c>
      <c r="E777" s="27" t="s">
        <v>2576</v>
      </c>
      <c r="F777" s="28" t="s">
        <v>2577</v>
      </c>
      <c r="G777" s="29">
        <v>45137.0</v>
      </c>
      <c r="H777" s="30">
        <v>45137.0</v>
      </c>
      <c r="I777" s="30">
        <v>45502.0</v>
      </c>
      <c r="J777" s="31" t="s">
        <v>2578</v>
      </c>
      <c r="K777" s="26" t="s">
        <v>887</v>
      </c>
      <c r="L777" s="32" t="s">
        <v>483</v>
      </c>
      <c r="M777" s="33">
        <v>17757.27</v>
      </c>
      <c r="N777" s="34">
        <v>19020.0</v>
      </c>
      <c r="O777" s="27" t="s">
        <v>76</v>
      </c>
      <c r="P777" s="35" t="s">
        <v>142</v>
      </c>
      <c r="Q777" s="35" t="s">
        <v>90</v>
      </c>
      <c r="R777" s="36">
        <v>45156.0</v>
      </c>
      <c r="S777" s="35" t="s">
        <v>86</v>
      </c>
      <c r="T777" s="54" t="s">
        <v>456</v>
      </c>
      <c r="U777" s="37" t="s">
        <v>68</v>
      </c>
      <c r="V777" s="38">
        <v>845000.0</v>
      </c>
      <c r="W777" s="38"/>
      <c r="X777" s="27"/>
      <c r="Y777" s="39"/>
      <c r="Z777" s="39" t="s">
        <v>2579</v>
      </c>
      <c r="AA777" s="39"/>
      <c r="AB777" s="40"/>
      <c r="AC777" s="27">
        <f t="shared" si="539"/>
        <v>0</v>
      </c>
      <c r="AD777" s="41">
        <f t="shared" si="602"/>
        <v>2663.5905</v>
      </c>
      <c r="AE777" s="42">
        <v>400.0</v>
      </c>
      <c r="AF777" s="27" t="s">
        <v>2569</v>
      </c>
      <c r="AG777" s="43">
        <f>M777*28%-((M777*28%)*5%)</f>
        <v>4723.43382</v>
      </c>
      <c r="AH777" s="29">
        <v>45086.0</v>
      </c>
      <c r="AI777" s="29" t="s">
        <v>1324</v>
      </c>
      <c r="AJ777" s="55">
        <v>0.28</v>
      </c>
      <c r="AK777" s="29" t="s">
        <v>1325</v>
      </c>
      <c r="AL777" s="27"/>
      <c r="AM777" s="44"/>
      <c r="AN777" s="68"/>
      <c r="AO777" s="46"/>
      <c r="AP777" s="27" t="s">
        <v>2569</v>
      </c>
      <c r="AQ777" s="43">
        <f t="shared" ref="AQ777:AQ780" si="605">IF(U777="Motor Plus",(M777*27%),IF(U777="Motor One",(M777*22%),(IF(U777="Golden",(M777*25%),(IF(U777="Classic",(M777*15%),(IF(U777="Wethaq",(M777*28%),IF(U777="Alwataniya",(M777*21%))*0))))))))</f>
        <v>4972.0356</v>
      </c>
      <c r="AR777" s="43">
        <f t="shared" si="448"/>
        <v>248.60178</v>
      </c>
      <c r="AS777" s="43">
        <f t="shared" si="449"/>
        <v>870.10623</v>
      </c>
      <c r="AT777" s="48">
        <f t="shared" si="450"/>
        <v>3853.32759</v>
      </c>
      <c r="AU777" s="49">
        <f t="shared" si="603"/>
        <v>3853.32759</v>
      </c>
      <c r="AV777" s="48"/>
      <c r="AW777" s="34">
        <f t="shared" si="540"/>
        <v>15956.4095</v>
      </c>
      <c r="AX777" s="50">
        <f t="shared" si="413"/>
        <v>789.73709</v>
      </c>
      <c r="AY777" s="43"/>
      <c r="AZ777" s="47"/>
      <c r="BA777" s="48">
        <f t="shared" si="604"/>
        <v>3853.32759</v>
      </c>
      <c r="BB777" s="27"/>
      <c r="BC777" s="27"/>
      <c r="BD777" s="51"/>
      <c r="BE777" s="52"/>
      <c r="BF777" s="27" t="s">
        <v>2576</v>
      </c>
      <c r="BG777" s="53">
        <v>0.0</v>
      </c>
      <c r="BH777" s="53" t="str">
        <f>'[1]2023'!Q1015</f>
        <v>#REF!</v>
      </c>
      <c r="BI777" s="27"/>
      <c r="BJ777" s="27"/>
      <c r="BK777" s="27" t="s">
        <v>76</v>
      </c>
      <c r="BL777" s="27"/>
    </row>
    <row r="778" ht="14.25" customHeight="1">
      <c r="A778" s="26" t="s">
        <v>55</v>
      </c>
      <c r="B778" s="26" t="s">
        <v>56</v>
      </c>
      <c r="C778" s="26" t="s">
        <v>57</v>
      </c>
      <c r="D778" s="26" t="s">
        <v>81</v>
      </c>
      <c r="E778" s="27" t="s">
        <v>2580</v>
      </c>
      <c r="F778" s="28" t="s">
        <v>2581</v>
      </c>
      <c r="G778" s="29" t="s">
        <v>2554</v>
      </c>
      <c r="H778" s="30">
        <v>45138.0</v>
      </c>
      <c r="I778" s="30">
        <v>45503.0</v>
      </c>
      <c r="J778" s="31">
        <v>0.0</v>
      </c>
      <c r="K778" s="26" t="s">
        <v>887</v>
      </c>
      <c r="L778" s="32" t="s">
        <v>75</v>
      </c>
      <c r="M778" s="33">
        <v>22990.0</v>
      </c>
      <c r="N778" s="34">
        <v>24489.41</v>
      </c>
      <c r="O778" s="27" t="s">
        <v>76</v>
      </c>
      <c r="P778" s="35" t="s">
        <v>89</v>
      </c>
      <c r="Q778" s="35">
        <v>0.0</v>
      </c>
      <c r="R778" s="36" t="e">
        <v>#VALUE!</v>
      </c>
      <c r="S778" s="35" t="s">
        <v>86</v>
      </c>
      <c r="T778" s="35">
        <v>0.0</v>
      </c>
      <c r="U778" s="37">
        <v>0.0</v>
      </c>
      <c r="V778" s="38"/>
      <c r="W778" s="38"/>
      <c r="X778" s="27"/>
      <c r="Y778" s="39"/>
      <c r="Z778" s="39"/>
      <c r="AA778" s="39"/>
      <c r="AB778" s="40"/>
      <c r="AC778" s="27">
        <f t="shared" si="539"/>
        <v>0</v>
      </c>
      <c r="AD778" s="41">
        <f t="shared" si="602"/>
        <v>3448.5</v>
      </c>
      <c r="AE778" s="42"/>
      <c r="AF778" s="27"/>
      <c r="AG778" s="43">
        <f>IF(O778="Paid",IF(A778="Alwataniya",(M778*21%)-((M778*21%)*5%),IF((A778="GIG"),(M778*25%)-((M778*25%)*5%),IF((A778="Allianz"),(M778*27%)-((M778*27%)*5%),0))),0)</f>
        <v>5896.935</v>
      </c>
      <c r="AH778" s="29"/>
      <c r="AI778" s="29"/>
      <c r="AJ778" s="55"/>
      <c r="AK778" s="29"/>
      <c r="AL778" s="27"/>
      <c r="AM778" s="44"/>
      <c r="AN778" s="68"/>
      <c r="AO778" s="46"/>
      <c r="AP778" s="47"/>
      <c r="AQ778" s="43">
        <f t="shared" si="605"/>
        <v>0</v>
      </c>
      <c r="AR778" s="43">
        <f t="shared" si="448"/>
        <v>0</v>
      </c>
      <c r="AS778" s="43">
        <f t="shared" si="449"/>
        <v>0</v>
      </c>
      <c r="AT778" s="48">
        <f t="shared" si="450"/>
        <v>0</v>
      </c>
      <c r="AU778" s="49">
        <f t="shared" si="603"/>
        <v>0</v>
      </c>
      <c r="AV778" s="48"/>
      <c r="AW778" s="34">
        <f t="shared" si="540"/>
        <v>21040.91</v>
      </c>
      <c r="AX778" s="50">
        <f t="shared" si="413"/>
        <v>2448.435</v>
      </c>
      <c r="AY778" s="43"/>
      <c r="AZ778" s="47"/>
      <c r="BA778" s="48">
        <f t="shared" si="604"/>
        <v>0</v>
      </c>
      <c r="BB778" s="27"/>
      <c r="BC778" s="27"/>
      <c r="BD778" s="51"/>
      <c r="BE778" s="52"/>
      <c r="BF778" s="27" t="s">
        <v>2580</v>
      </c>
      <c r="BG778" s="53">
        <v>0.0</v>
      </c>
      <c r="BH778" s="53" t="str">
        <f>'[1]2023'!Q980</f>
        <v>#REF!</v>
      </c>
      <c r="BI778" s="27"/>
      <c r="BJ778" s="27"/>
      <c r="BK778" s="27" t="s">
        <v>76</v>
      </c>
      <c r="BL778" s="27"/>
    </row>
    <row r="779" ht="14.25" customHeight="1">
      <c r="A779" s="26" t="s">
        <v>111</v>
      </c>
      <c r="B779" s="26" t="s">
        <v>56</v>
      </c>
      <c r="C779" s="26" t="s">
        <v>57</v>
      </c>
      <c r="D779" s="26" t="s">
        <v>71</v>
      </c>
      <c r="E779" s="27" t="s">
        <v>2582</v>
      </c>
      <c r="F779" s="28" t="s">
        <v>2583</v>
      </c>
      <c r="G779" s="29" t="s">
        <v>2554</v>
      </c>
      <c r="H779" s="30">
        <v>45138.0</v>
      </c>
      <c r="I779" s="30">
        <v>45503.0</v>
      </c>
      <c r="J779" s="31">
        <v>0.0</v>
      </c>
      <c r="K779" s="26" t="s">
        <v>887</v>
      </c>
      <c r="L779" s="69">
        <v>44993.0</v>
      </c>
      <c r="M779" s="33">
        <v>60849.0</v>
      </c>
      <c r="N779" s="34">
        <v>65000.0</v>
      </c>
      <c r="O779" s="27" t="s">
        <v>76</v>
      </c>
      <c r="P779" s="35" t="s">
        <v>142</v>
      </c>
      <c r="Q779" s="35" t="s">
        <v>108</v>
      </c>
      <c r="R779" s="36" t="e">
        <v>#VALUE!</v>
      </c>
      <c r="S779" s="35" t="s">
        <v>86</v>
      </c>
      <c r="T779" s="35">
        <v>0.0</v>
      </c>
      <c r="U779" s="37" t="s">
        <v>115</v>
      </c>
      <c r="V779" s="38">
        <v>2500000.0</v>
      </c>
      <c r="W779" s="38"/>
      <c r="X779" s="27"/>
      <c r="Y779" s="39"/>
      <c r="Z779" s="79" t="s">
        <v>2584</v>
      </c>
      <c r="AA779" s="39"/>
      <c r="AB779" s="40"/>
      <c r="AC779" s="27">
        <f t="shared" si="539"/>
        <v>0</v>
      </c>
      <c r="AD779" s="41">
        <f t="shared" si="602"/>
        <v>9127.35</v>
      </c>
      <c r="AE779" s="42">
        <v>1250.0</v>
      </c>
      <c r="AF779" s="27" t="s">
        <v>2099</v>
      </c>
      <c r="AG779" s="43">
        <f>IF(O779="Paid",IF(A779="Alwataniya",(M779*21%)-((M779*21%)*5%),IF((A779="GIG"),(M779*25%)-((M779*25%)*5%),IF((A779="Allianz"),(M779*27%)-((M779*27%)*20%),0))),0)</f>
        <v>14451.6375</v>
      </c>
      <c r="AH779" s="29">
        <v>44993.0</v>
      </c>
      <c r="AI779" s="29" t="s">
        <v>2465</v>
      </c>
      <c r="AJ779" s="55"/>
      <c r="AK779" s="29">
        <v>45146.0</v>
      </c>
      <c r="AL779" s="27"/>
      <c r="AM779" s="44"/>
      <c r="AN779" s="47"/>
      <c r="AO779" s="46"/>
      <c r="AP779" s="47"/>
      <c r="AQ779" s="43">
        <f t="shared" si="605"/>
        <v>15212.25</v>
      </c>
      <c r="AR779" s="43">
        <f t="shared" si="448"/>
        <v>760.6125</v>
      </c>
      <c r="AS779" s="43">
        <f t="shared" si="449"/>
        <v>2662.14375</v>
      </c>
      <c r="AT779" s="48">
        <f t="shared" si="450"/>
        <v>11789.49375</v>
      </c>
      <c r="AU779" s="49">
        <f t="shared" si="603"/>
        <v>11789.49375</v>
      </c>
      <c r="AV779" s="48"/>
      <c r="AW779" s="34">
        <f t="shared" si="540"/>
        <v>54622.65</v>
      </c>
      <c r="AX779" s="50">
        <f t="shared" si="413"/>
        <v>1412.14375</v>
      </c>
      <c r="AY779" s="43"/>
      <c r="AZ779" s="47"/>
      <c r="BA779" s="48">
        <f t="shared" si="604"/>
        <v>11789.49375</v>
      </c>
      <c r="BB779" s="27"/>
      <c r="BC779" s="27"/>
      <c r="BD779" s="51"/>
      <c r="BE779" s="52"/>
      <c r="BF779" s="27" t="s">
        <v>2582</v>
      </c>
      <c r="BG779" s="53">
        <v>0.0</v>
      </c>
      <c r="BH779" s="53" t="str">
        <f>'[1]2023'!Q1006</f>
        <v>#REF!</v>
      </c>
      <c r="BI779" s="27"/>
      <c r="BJ779" s="27"/>
      <c r="BK779" s="27" t="s">
        <v>76</v>
      </c>
      <c r="BL779" s="27"/>
    </row>
    <row r="780" ht="14.25" customHeight="1">
      <c r="A780" s="26" t="s">
        <v>68</v>
      </c>
      <c r="B780" s="26" t="s">
        <v>56</v>
      </c>
      <c r="C780" s="26" t="s">
        <v>57</v>
      </c>
      <c r="D780" s="26" t="s">
        <v>71</v>
      </c>
      <c r="E780" s="27" t="s">
        <v>2585</v>
      </c>
      <c r="F780" s="28" t="s">
        <v>2586</v>
      </c>
      <c r="G780" s="29">
        <v>45138.0</v>
      </c>
      <c r="H780" s="30">
        <v>45138.0</v>
      </c>
      <c r="I780" s="30">
        <v>45503.0</v>
      </c>
      <c r="J780" s="31" t="s">
        <v>2587</v>
      </c>
      <c r="K780" s="26" t="s">
        <v>887</v>
      </c>
      <c r="L780" s="32" t="s">
        <v>483</v>
      </c>
      <c r="M780" s="33">
        <v>12548.38</v>
      </c>
      <c r="N780" s="34">
        <v>13500.0</v>
      </c>
      <c r="O780" s="27" t="s">
        <v>76</v>
      </c>
      <c r="P780" s="35" t="s">
        <v>142</v>
      </c>
      <c r="Q780" s="35" t="s">
        <v>90</v>
      </c>
      <c r="R780" s="36">
        <v>45157.0</v>
      </c>
      <c r="S780" s="35" t="s">
        <v>86</v>
      </c>
      <c r="T780" s="54" t="s">
        <v>456</v>
      </c>
      <c r="U780" s="37" t="s">
        <v>68</v>
      </c>
      <c r="V780" s="38">
        <v>600000.0</v>
      </c>
      <c r="W780" s="38"/>
      <c r="X780" s="27"/>
      <c r="Y780" s="39"/>
      <c r="Z780" s="39" t="s">
        <v>2588</v>
      </c>
      <c r="AA780" s="39"/>
      <c r="AB780" s="40"/>
      <c r="AC780" s="27">
        <f t="shared" si="539"/>
        <v>0</v>
      </c>
      <c r="AD780" s="41">
        <f t="shared" si="602"/>
        <v>1882.257</v>
      </c>
      <c r="AE780" s="42">
        <v>400.0</v>
      </c>
      <c r="AF780" s="27" t="s">
        <v>2569</v>
      </c>
      <c r="AG780" s="43">
        <f>M780*28%-((M780*28%)*5%)</f>
        <v>3337.86908</v>
      </c>
      <c r="AH780" s="29">
        <v>45086.0</v>
      </c>
      <c r="AI780" s="29" t="s">
        <v>1324</v>
      </c>
      <c r="AJ780" s="55">
        <v>0.28</v>
      </c>
      <c r="AK780" s="29" t="s">
        <v>1325</v>
      </c>
      <c r="AL780" s="27"/>
      <c r="AM780" s="44"/>
      <c r="AN780" s="47"/>
      <c r="AO780" s="46"/>
      <c r="AP780" s="27" t="s">
        <v>2569</v>
      </c>
      <c r="AQ780" s="43">
        <f t="shared" si="605"/>
        <v>3513.5464</v>
      </c>
      <c r="AR780" s="43">
        <f t="shared" si="448"/>
        <v>175.67732</v>
      </c>
      <c r="AS780" s="43">
        <f t="shared" si="449"/>
        <v>614.87062</v>
      </c>
      <c r="AT780" s="48">
        <f t="shared" si="450"/>
        <v>2722.99846</v>
      </c>
      <c r="AU780" s="49">
        <f t="shared" si="603"/>
        <v>2722.99846</v>
      </c>
      <c r="AV780" s="48"/>
      <c r="AW780" s="34">
        <f t="shared" si="540"/>
        <v>11217.743</v>
      </c>
      <c r="AX780" s="50">
        <f t="shared" si="413"/>
        <v>440.74146</v>
      </c>
      <c r="AY780" s="43"/>
      <c r="AZ780" s="47"/>
      <c r="BA780" s="48">
        <f t="shared" si="604"/>
        <v>2722.99846</v>
      </c>
      <c r="BB780" s="27"/>
      <c r="BC780" s="27"/>
      <c r="BD780" s="51"/>
      <c r="BE780" s="52"/>
      <c r="BF780" s="27" t="s">
        <v>2585</v>
      </c>
      <c r="BG780" s="53">
        <v>0.0</v>
      </c>
      <c r="BH780" s="53" t="str">
        <f>'[1]2023'!Q1025</f>
        <v>#REF!</v>
      </c>
      <c r="BI780" s="27"/>
      <c r="BJ780" s="27"/>
      <c r="BK780" s="27" t="s">
        <v>76</v>
      </c>
      <c r="BL780" s="27"/>
    </row>
    <row r="781" ht="14.25" customHeight="1">
      <c r="A781" s="26" t="s">
        <v>55</v>
      </c>
      <c r="B781" s="26" t="s">
        <v>56</v>
      </c>
      <c r="C781" s="26" t="s">
        <v>57</v>
      </c>
      <c r="D781" s="26" t="s">
        <v>81</v>
      </c>
      <c r="E781" s="27" t="s">
        <v>2589</v>
      </c>
      <c r="F781" s="28" t="s">
        <v>2590</v>
      </c>
      <c r="G781" s="29">
        <v>45139.0</v>
      </c>
      <c r="H781" s="30">
        <v>45139.0</v>
      </c>
      <c r="I781" s="30">
        <v>45504.0</v>
      </c>
      <c r="J781" s="31" t="s">
        <v>2591</v>
      </c>
      <c r="K781" s="26" t="s">
        <v>455</v>
      </c>
      <c r="L781" s="32" t="s">
        <v>63</v>
      </c>
      <c r="M781" s="33">
        <v>0.0</v>
      </c>
      <c r="N781" s="34">
        <v>0.0</v>
      </c>
      <c r="O781" s="27" t="s">
        <v>64</v>
      </c>
      <c r="P781" s="35">
        <v>0.0</v>
      </c>
      <c r="Q781" s="35">
        <v>0.0</v>
      </c>
      <c r="R781" s="36">
        <v>45139.0</v>
      </c>
      <c r="S781" s="35" t="s">
        <v>86</v>
      </c>
      <c r="T781" s="35">
        <v>0.0</v>
      </c>
      <c r="U781" s="37">
        <v>0.0</v>
      </c>
      <c r="V781" s="38"/>
      <c r="W781" s="38"/>
      <c r="X781" s="27"/>
      <c r="Y781" s="39"/>
      <c r="Z781" s="39"/>
      <c r="AA781" s="39"/>
      <c r="AB781" s="40"/>
      <c r="AC781" s="27">
        <f t="shared" si="539"/>
        <v>0</v>
      </c>
      <c r="AD781" s="41">
        <f t="shared" si="602"/>
        <v>0</v>
      </c>
      <c r="AE781" s="42"/>
      <c r="AF781" s="27"/>
      <c r="AG781" s="43">
        <f t="shared" ref="AG781:AG784" si="606">IF(O781="Paid",IF(A781="Alwataniya",(M781*21%)-((M781*21%)*5%),IF((A781="GIG"),(M781*25%)-((M781*25%)*5%),IF((A781="Allianz"),(M781*27%)-((M781*27%)*5%),0))),0)</f>
        <v>0</v>
      </c>
      <c r="AH781" s="29"/>
      <c r="AI781" s="29"/>
      <c r="AJ781" s="29"/>
      <c r="AK781" s="29"/>
      <c r="AL781" s="27"/>
      <c r="AM781" s="44"/>
      <c r="AN781" s="47"/>
      <c r="AO781" s="46"/>
      <c r="AP781" s="47"/>
      <c r="AQ781" s="43" t="b">
        <f t="shared" ref="AQ781:AQ782" si="607">IF(O781="Paid",IF(U781="Motor Plus",(M781*27%),IF(U781="Motor One",(M781*22%),(IF(U781="Golden",(M781*25%),(IF(U781="Classic",(M781*15%),(IF(U781="Wethaq",(M781*28%),IF(U781="Alwataniya",(M781*21%))*0)))))))))</f>
        <v>0</v>
      </c>
      <c r="AR781" s="43">
        <f t="shared" si="448"/>
        <v>0</v>
      </c>
      <c r="AS781" s="43">
        <f t="shared" si="449"/>
        <v>0</v>
      </c>
      <c r="AT781" s="48">
        <f t="shared" si="450"/>
        <v>0</v>
      </c>
      <c r="AU781" s="49">
        <f t="shared" ref="AU781:AU782" si="608">AQ781-AR781-AS781-AC781-AO781</f>
        <v>0</v>
      </c>
      <c r="AV781" s="48"/>
      <c r="AW781" s="34">
        <f t="shared" si="540"/>
        <v>0</v>
      </c>
      <c r="AX781" s="50">
        <f t="shared" si="413"/>
        <v>0</v>
      </c>
      <c r="AY781" s="43"/>
      <c r="AZ781" s="47"/>
      <c r="BA781" s="48">
        <f t="shared" si="604"/>
        <v>0</v>
      </c>
      <c r="BB781" s="27"/>
      <c r="BC781" s="27"/>
      <c r="BD781" s="51"/>
      <c r="BE781" s="52"/>
      <c r="BF781" s="27" t="s">
        <v>2589</v>
      </c>
      <c r="BG781" s="58" t="s">
        <v>2592</v>
      </c>
      <c r="BH781" s="53" t="str">
        <f>'[1]2023'!Q1069</f>
        <v>#REF!</v>
      </c>
      <c r="BI781" s="27"/>
      <c r="BJ781" s="27"/>
      <c r="BK781" s="27" t="s">
        <v>64</v>
      </c>
      <c r="BL781" s="27"/>
    </row>
    <row r="782" ht="14.25" customHeight="1">
      <c r="A782" s="26" t="s">
        <v>55</v>
      </c>
      <c r="B782" s="26" t="s">
        <v>56</v>
      </c>
      <c r="C782" s="26" t="s">
        <v>57</v>
      </c>
      <c r="D782" s="26" t="s">
        <v>58</v>
      </c>
      <c r="E782" s="27" t="s">
        <v>2593</v>
      </c>
      <c r="F782" s="28" t="s">
        <v>2594</v>
      </c>
      <c r="G782" s="29">
        <v>45139.0</v>
      </c>
      <c r="H782" s="30">
        <v>45139.0</v>
      </c>
      <c r="I782" s="30">
        <v>45504.0</v>
      </c>
      <c r="J782" s="31">
        <v>0.0</v>
      </c>
      <c r="K782" s="26" t="s">
        <v>455</v>
      </c>
      <c r="L782" s="32" t="s">
        <v>63</v>
      </c>
      <c r="M782" s="33">
        <v>0.0</v>
      </c>
      <c r="N782" s="34">
        <v>0.0</v>
      </c>
      <c r="O782" s="27" t="s">
        <v>64</v>
      </c>
      <c r="P782" s="35">
        <v>0.0</v>
      </c>
      <c r="Q782" s="35">
        <v>0.0</v>
      </c>
      <c r="R782" s="36">
        <v>45139.0</v>
      </c>
      <c r="S782" s="35" t="s">
        <v>86</v>
      </c>
      <c r="T782" s="35">
        <v>0.0</v>
      </c>
      <c r="U782" s="37">
        <v>0.0</v>
      </c>
      <c r="V782" s="38"/>
      <c r="W782" s="38"/>
      <c r="X782" s="27"/>
      <c r="Y782" s="39"/>
      <c r="Z782" s="39"/>
      <c r="AA782" s="39"/>
      <c r="AB782" s="27"/>
      <c r="AC782" s="27">
        <f t="shared" si="539"/>
        <v>0</v>
      </c>
      <c r="AD782" s="41">
        <f t="shared" si="602"/>
        <v>0</v>
      </c>
      <c r="AE782" s="42"/>
      <c r="AF782" s="27"/>
      <c r="AG782" s="43">
        <f t="shared" si="606"/>
        <v>0</v>
      </c>
      <c r="AH782" s="29"/>
      <c r="AI782" s="29"/>
      <c r="AJ782" s="29"/>
      <c r="AK782" s="29"/>
      <c r="AL782" s="27"/>
      <c r="AM782" s="44"/>
      <c r="AN782" s="47"/>
      <c r="AO782" s="46"/>
      <c r="AP782" s="47"/>
      <c r="AQ782" s="43" t="b">
        <f t="shared" si="607"/>
        <v>0</v>
      </c>
      <c r="AR782" s="43">
        <f t="shared" si="448"/>
        <v>0</v>
      </c>
      <c r="AS782" s="43">
        <f t="shared" si="449"/>
        <v>0</v>
      </c>
      <c r="AT782" s="48">
        <f t="shared" si="450"/>
        <v>0</v>
      </c>
      <c r="AU782" s="49">
        <f t="shared" si="608"/>
        <v>0</v>
      </c>
      <c r="AV782" s="48"/>
      <c r="AW782" s="34">
        <f t="shared" si="540"/>
        <v>0</v>
      </c>
      <c r="AX782" s="50">
        <f t="shared" si="413"/>
        <v>0</v>
      </c>
      <c r="AY782" s="43"/>
      <c r="AZ782" s="47"/>
      <c r="BA782" s="48">
        <f t="shared" si="604"/>
        <v>0</v>
      </c>
      <c r="BB782" s="27"/>
      <c r="BC782" s="27"/>
      <c r="BD782" s="51"/>
      <c r="BE782" s="52"/>
      <c r="BF782" s="27" t="s">
        <v>2593</v>
      </c>
      <c r="BG782" s="53">
        <v>0.0</v>
      </c>
      <c r="BH782" s="53" t="str">
        <f>'[1]2023'!Q1111</f>
        <v>#REF!</v>
      </c>
      <c r="BI782" s="27"/>
      <c r="BJ782" s="27"/>
      <c r="BK782" s="27" t="s">
        <v>64</v>
      </c>
      <c r="BL782" s="27"/>
    </row>
    <row r="783" ht="14.25" customHeight="1">
      <c r="A783" s="26" t="s">
        <v>55</v>
      </c>
      <c r="B783" s="26" t="s">
        <v>56</v>
      </c>
      <c r="C783" s="26" t="s">
        <v>57</v>
      </c>
      <c r="D783" s="26" t="s">
        <v>81</v>
      </c>
      <c r="E783" s="27" t="s">
        <v>2595</v>
      </c>
      <c r="F783" s="26" t="s">
        <v>2596</v>
      </c>
      <c r="G783" s="29">
        <v>45140.0</v>
      </c>
      <c r="H783" s="30">
        <v>45140.0</v>
      </c>
      <c r="I783" s="30">
        <v>45505.0</v>
      </c>
      <c r="J783" s="31">
        <v>0.0</v>
      </c>
      <c r="K783" s="26" t="s">
        <v>62</v>
      </c>
      <c r="L783" s="69">
        <v>45264.0</v>
      </c>
      <c r="M783" s="33">
        <v>20060.0</v>
      </c>
      <c r="N783" s="82">
        <v>21385.0</v>
      </c>
      <c r="O783" s="27" t="s">
        <v>76</v>
      </c>
      <c r="P783" s="35" t="s">
        <v>142</v>
      </c>
      <c r="Q783" s="35" t="s">
        <v>90</v>
      </c>
      <c r="R783" s="36">
        <v>45140.0</v>
      </c>
      <c r="S783" s="35" t="s">
        <v>86</v>
      </c>
      <c r="T783" s="35">
        <v>0.0</v>
      </c>
      <c r="U783" s="37" t="s">
        <v>67</v>
      </c>
      <c r="V783" s="38"/>
      <c r="W783" s="38"/>
      <c r="X783" s="27"/>
      <c r="Y783" s="39"/>
      <c r="Z783" s="39"/>
      <c r="AA783" s="39"/>
      <c r="AB783" s="27"/>
      <c r="AC783" s="27">
        <f t="shared" si="539"/>
        <v>0</v>
      </c>
      <c r="AD783" s="41">
        <f t="shared" ref="AD783:AD784" si="609">IF(AND(S783="0",O783="Paid"),M783*15%,0)</f>
        <v>3009</v>
      </c>
      <c r="AE783" s="42"/>
      <c r="AF783" s="29">
        <v>45020.0</v>
      </c>
      <c r="AG783" s="43">
        <f t="shared" si="606"/>
        <v>5145.39</v>
      </c>
      <c r="AH783" s="29"/>
      <c r="AI783" s="29"/>
      <c r="AJ783" s="29"/>
      <c r="AK783" s="29"/>
      <c r="AL783" s="27"/>
      <c r="AM783" s="44"/>
      <c r="AN783" s="47"/>
      <c r="AO783" s="37"/>
      <c r="AP783" s="47"/>
      <c r="AQ783" s="43">
        <f t="shared" ref="AQ783:AQ798" si="610">IF(U783="Motor Plus",(M783*27%),IF(U783="Motor One",(M783*22%),(IF(U783="Golden",(M783*25%),(IF(U783="Classic",(M783*15%),(IF(U783="Wethaq",(M783*28%),IF(U783="Alwataniya",(M783*21%))*0))))))))</f>
        <v>5416.2</v>
      </c>
      <c r="AR783" s="43">
        <f t="shared" si="448"/>
        <v>270.81</v>
      </c>
      <c r="AS783" s="43">
        <f t="shared" si="449"/>
        <v>947.835</v>
      </c>
      <c r="AT783" s="48">
        <f t="shared" si="450"/>
        <v>4197.555</v>
      </c>
      <c r="AU783" s="49">
        <f t="shared" ref="AU783:AU795" si="611">AQ783-AR783-AS783-AC783</f>
        <v>4197.555</v>
      </c>
      <c r="AV783" s="48"/>
      <c r="AW783" s="34">
        <f t="shared" si="540"/>
        <v>18376</v>
      </c>
      <c r="AX783" s="50">
        <f t="shared" si="413"/>
        <v>1188.555</v>
      </c>
      <c r="AY783" s="43"/>
      <c r="AZ783" s="27"/>
      <c r="BA783" s="48">
        <f t="shared" si="604"/>
        <v>4197.555</v>
      </c>
      <c r="BB783" s="27"/>
      <c r="BC783" s="27"/>
      <c r="BD783" s="51"/>
      <c r="BE783" s="52"/>
      <c r="BF783" s="27" t="s">
        <v>2595</v>
      </c>
      <c r="BG783" s="58" t="s">
        <v>266</v>
      </c>
      <c r="BH783" s="53" t="str">
        <f>'[1]2023'!Q85</f>
        <v>#REF!</v>
      </c>
      <c r="BI783" s="27"/>
      <c r="BJ783" s="27"/>
      <c r="BK783" s="27" t="s">
        <v>76</v>
      </c>
      <c r="BL783" s="27"/>
    </row>
    <row r="784" ht="14.25" customHeight="1">
      <c r="A784" s="26" t="s">
        <v>55</v>
      </c>
      <c r="B784" s="26" t="s">
        <v>56</v>
      </c>
      <c r="C784" s="26" t="s">
        <v>57</v>
      </c>
      <c r="D784" s="26" t="s">
        <v>58</v>
      </c>
      <c r="E784" s="27" t="s">
        <v>2597</v>
      </c>
      <c r="F784" s="26" t="s">
        <v>2598</v>
      </c>
      <c r="G784" s="29">
        <v>45140.0</v>
      </c>
      <c r="H784" s="30">
        <v>45140.0</v>
      </c>
      <c r="I784" s="30">
        <v>45505.0</v>
      </c>
      <c r="J784" s="31">
        <v>0.0</v>
      </c>
      <c r="K784" s="26" t="s">
        <v>62</v>
      </c>
      <c r="L784" s="32" t="s">
        <v>75</v>
      </c>
      <c r="M784" s="33">
        <v>15907.22</v>
      </c>
      <c r="N784" s="34">
        <v>16845.74</v>
      </c>
      <c r="O784" s="27" t="s">
        <v>76</v>
      </c>
      <c r="P784" s="35" t="s">
        <v>122</v>
      </c>
      <c r="Q784" s="35">
        <v>0.0</v>
      </c>
      <c r="R784" s="36">
        <v>45140.0</v>
      </c>
      <c r="S784" s="35" t="s">
        <v>86</v>
      </c>
      <c r="T784" s="35">
        <v>0.0</v>
      </c>
      <c r="U784" s="37" t="s">
        <v>157</v>
      </c>
      <c r="V784" s="38"/>
      <c r="W784" s="38"/>
      <c r="X784" s="27"/>
      <c r="Y784" s="39"/>
      <c r="Z784" s="39"/>
      <c r="AA784" s="39"/>
      <c r="AB784" s="27"/>
      <c r="AC784" s="27">
        <f t="shared" si="539"/>
        <v>0</v>
      </c>
      <c r="AD784" s="41">
        <f t="shared" si="609"/>
        <v>2386.083</v>
      </c>
      <c r="AE784" s="42"/>
      <c r="AF784" s="27"/>
      <c r="AG784" s="43">
        <f t="shared" si="606"/>
        <v>4080.20193</v>
      </c>
      <c r="AH784" s="29"/>
      <c r="AI784" s="29"/>
      <c r="AJ784" s="29"/>
      <c r="AK784" s="29"/>
      <c r="AL784" s="27"/>
      <c r="AM784" s="44"/>
      <c r="AN784" s="47"/>
      <c r="AO784" s="37"/>
      <c r="AP784" s="47"/>
      <c r="AQ784" s="43">
        <f t="shared" si="610"/>
        <v>3499.5884</v>
      </c>
      <c r="AR784" s="43">
        <f t="shared" si="448"/>
        <v>174.97942</v>
      </c>
      <c r="AS784" s="43">
        <f t="shared" si="449"/>
        <v>612.42797</v>
      </c>
      <c r="AT784" s="48">
        <f t="shared" si="450"/>
        <v>2712.18101</v>
      </c>
      <c r="AU784" s="49">
        <f t="shared" si="611"/>
        <v>2712.18101</v>
      </c>
      <c r="AV784" s="48"/>
      <c r="AW784" s="34">
        <f t="shared" si="540"/>
        <v>14459.657</v>
      </c>
      <c r="AX784" s="50">
        <f t="shared" si="413"/>
        <v>1081.69096</v>
      </c>
      <c r="AY784" s="43"/>
      <c r="AZ784" s="27"/>
      <c r="BA784" s="48">
        <f t="shared" si="604"/>
        <v>2712.18101</v>
      </c>
      <c r="BB784" s="27"/>
      <c r="BC784" s="27"/>
      <c r="BD784" s="51"/>
      <c r="BE784" s="52"/>
      <c r="BF784" s="27" t="s">
        <v>2599</v>
      </c>
      <c r="BG784" s="53">
        <v>0.0</v>
      </c>
      <c r="BH784" s="53" t="str">
        <f>'[1]2023'!Q123</f>
        <v>#REF!</v>
      </c>
      <c r="BI784" s="27"/>
      <c r="BJ784" s="27"/>
      <c r="BK784" s="27" t="s">
        <v>76</v>
      </c>
      <c r="BL784" s="27"/>
    </row>
    <row r="785" ht="14.25" customHeight="1">
      <c r="A785" s="26" t="s">
        <v>111</v>
      </c>
      <c r="B785" s="26" t="s">
        <v>56</v>
      </c>
      <c r="C785" s="26" t="s">
        <v>57</v>
      </c>
      <c r="D785" s="26" t="s">
        <v>71</v>
      </c>
      <c r="E785" s="27">
        <v>1198.0</v>
      </c>
      <c r="F785" s="28" t="s">
        <v>2600</v>
      </c>
      <c r="G785" s="29">
        <v>45140.0</v>
      </c>
      <c r="H785" s="30">
        <v>45140.0</v>
      </c>
      <c r="I785" s="30">
        <v>45505.0</v>
      </c>
      <c r="J785" s="31">
        <v>1.022070076E9</v>
      </c>
      <c r="K785" s="26" t="s">
        <v>62</v>
      </c>
      <c r="L785" s="32" t="s">
        <v>75</v>
      </c>
      <c r="M785" s="33">
        <v>15716.0</v>
      </c>
      <c r="N785" s="34">
        <v>16900.0</v>
      </c>
      <c r="O785" s="27" t="s">
        <v>76</v>
      </c>
      <c r="P785" s="35" t="s">
        <v>509</v>
      </c>
      <c r="Q785" s="35" t="s">
        <v>90</v>
      </c>
      <c r="R785" s="36">
        <v>45149.0</v>
      </c>
      <c r="S785" s="35" t="s">
        <v>66</v>
      </c>
      <c r="T785" s="35">
        <v>0.0</v>
      </c>
      <c r="U785" s="37" t="s">
        <v>115</v>
      </c>
      <c r="V785" s="38">
        <v>650000.0</v>
      </c>
      <c r="W785" s="38" t="s">
        <v>2601</v>
      </c>
      <c r="X785" s="27">
        <v>2021.0</v>
      </c>
      <c r="Y785" s="39" t="s">
        <v>1849</v>
      </c>
      <c r="Z785" s="39" t="s">
        <v>644</v>
      </c>
      <c r="AA785" s="39"/>
      <c r="AB785" s="27"/>
      <c r="AC785" s="27">
        <f t="shared" si="539"/>
        <v>0</v>
      </c>
      <c r="AD785" s="109">
        <f>M785*15%</f>
        <v>2357.4</v>
      </c>
      <c r="AE785" s="110" t="s">
        <v>791</v>
      </c>
      <c r="AF785" s="34">
        <f>AT785-AM785-AD785</f>
        <v>383.0775</v>
      </c>
      <c r="AG785" s="43">
        <f>IF(AND(O785="Paid",A785="GIG"),((M785*25%)-(((M785*25%)*5%))),0)</f>
        <v>3732.55</v>
      </c>
      <c r="AH785" s="29" t="s">
        <v>75</v>
      </c>
      <c r="AI785" s="61" t="s">
        <v>2602</v>
      </c>
      <c r="AJ785" s="40"/>
      <c r="AK785" s="62" t="s">
        <v>63</v>
      </c>
      <c r="AL785" s="27"/>
      <c r="AM785" s="111">
        <f>IF((BD785&lt;=2),AU785*10%,(IF((BD785&lt;=3),AU785*20%,IF((BD785&lt;=4),AU785*20%,IF((BD785&gt;=5),AU785*30%,0)))))</f>
        <v>304.4975</v>
      </c>
      <c r="AN785" s="63" t="s">
        <v>75</v>
      </c>
      <c r="AO785" s="37"/>
      <c r="AP785" s="47"/>
      <c r="AQ785" s="43">
        <f t="shared" si="610"/>
        <v>3929</v>
      </c>
      <c r="AR785" s="43">
        <f t="shared" si="448"/>
        <v>196.45</v>
      </c>
      <c r="AS785" s="43">
        <f t="shared" si="449"/>
        <v>687.575</v>
      </c>
      <c r="AT785" s="48">
        <f t="shared" si="450"/>
        <v>3044.975</v>
      </c>
      <c r="AU785" s="49">
        <f t="shared" si="611"/>
        <v>3044.975</v>
      </c>
      <c r="AV785" s="48"/>
      <c r="AW785" s="27" t="str">
        <f t="shared" si="540"/>
        <v>#VALUE!</v>
      </c>
      <c r="AX785" s="50" t="str">
        <f t="shared" si="413"/>
        <v>#VALUE!</v>
      </c>
      <c r="AY785" s="43"/>
      <c r="AZ785" s="27"/>
      <c r="BA785" s="48">
        <f t="shared" si="604"/>
        <v>2740.4775</v>
      </c>
      <c r="BB785" s="27"/>
      <c r="BC785" s="27"/>
      <c r="BD785" s="51"/>
      <c r="BE785" s="52"/>
      <c r="BF785" s="27">
        <v>1198.0</v>
      </c>
      <c r="BG785" s="58" t="s">
        <v>2603</v>
      </c>
      <c r="BH785" s="53" t="str">
        <f>'[1]2023'!Q133</f>
        <v>#REF!</v>
      </c>
      <c r="BI785" s="27"/>
      <c r="BJ785" s="27"/>
      <c r="BK785" s="27" t="s">
        <v>76</v>
      </c>
      <c r="BL785" s="64" t="s">
        <v>794</v>
      </c>
    </row>
    <row r="786" ht="14.25" customHeight="1">
      <c r="A786" s="26" t="s">
        <v>55</v>
      </c>
      <c r="B786" s="26" t="s">
        <v>56</v>
      </c>
      <c r="C786" s="26" t="s">
        <v>57</v>
      </c>
      <c r="D786" s="26" t="s">
        <v>81</v>
      </c>
      <c r="E786" s="27" t="s">
        <v>2604</v>
      </c>
      <c r="F786" s="26" t="s">
        <v>2605</v>
      </c>
      <c r="G786" s="29">
        <v>45140.0</v>
      </c>
      <c r="H786" s="30">
        <v>45140.0</v>
      </c>
      <c r="I786" s="30">
        <v>45505.0</v>
      </c>
      <c r="J786" s="31">
        <v>0.0</v>
      </c>
      <c r="K786" s="26" t="s">
        <v>62</v>
      </c>
      <c r="L786" s="32" t="s">
        <v>75</v>
      </c>
      <c r="M786" s="33">
        <v>9405.0</v>
      </c>
      <c r="N786" s="34">
        <v>10100.9</v>
      </c>
      <c r="O786" s="27" t="s">
        <v>76</v>
      </c>
      <c r="P786" s="35" t="s">
        <v>89</v>
      </c>
      <c r="Q786" s="35" t="s">
        <v>65</v>
      </c>
      <c r="R786" s="36">
        <v>45140.0</v>
      </c>
      <c r="S786" s="35" t="s">
        <v>86</v>
      </c>
      <c r="T786" s="35">
        <v>0.0</v>
      </c>
      <c r="U786" s="37" t="s">
        <v>67</v>
      </c>
      <c r="V786" s="38"/>
      <c r="W786" s="38"/>
      <c r="X786" s="27"/>
      <c r="Y786" s="39"/>
      <c r="Z786" s="39"/>
      <c r="AA786" s="39"/>
      <c r="AB786" s="27"/>
      <c r="AC786" s="27">
        <f t="shared" si="539"/>
        <v>0</v>
      </c>
      <c r="AD786" s="41"/>
      <c r="AE786" s="42"/>
      <c r="AF786" s="27"/>
      <c r="AG786" s="43">
        <f t="shared" ref="AG786:AG802" si="612">IF(O786="Paid",IF(A786="Alwataniya",(M786*21%)-((M786*21%)*5%),IF((A786="GIG"),(M786*25%)-((M786*25%)*5%),IF((A786="Allianz"),(M786*27%)-((M786*27%)*5%),0))),0)</f>
        <v>2412.3825</v>
      </c>
      <c r="AH786" s="29"/>
      <c r="AI786" s="29"/>
      <c r="AJ786" s="29"/>
      <c r="AK786" s="29"/>
      <c r="AL786" s="27"/>
      <c r="AM786" s="44"/>
      <c r="AN786" s="47"/>
      <c r="AO786" s="37"/>
      <c r="AP786" s="47"/>
      <c r="AQ786" s="43">
        <f t="shared" si="610"/>
        <v>2539.35</v>
      </c>
      <c r="AR786" s="43">
        <f t="shared" si="448"/>
        <v>126.9675</v>
      </c>
      <c r="AS786" s="43">
        <f t="shared" si="449"/>
        <v>444.38625</v>
      </c>
      <c r="AT786" s="48">
        <f t="shared" si="450"/>
        <v>1967.99625</v>
      </c>
      <c r="AU786" s="49">
        <f t="shared" si="611"/>
        <v>1967.99625</v>
      </c>
      <c r="AV786" s="48"/>
      <c r="AW786" s="34">
        <f t="shared" si="540"/>
        <v>10100.9</v>
      </c>
      <c r="AX786" s="50">
        <f t="shared" si="413"/>
        <v>1967.99625</v>
      </c>
      <c r="AY786" s="43"/>
      <c r="AZ786" s="27"/>
      <c r="BA786" s="48">
        <f t="shared" si="604"/>
        <v>1967.99625</v>
      </c>
      <c r="BB786" s="27"/>
      <c r="BC786" s="27"/>
      <c r="BD786" s="51"/>
      <c r="BE786" s="52"/>
      <c r="BF786" s="27" t="s">
        <v>2604</v>
      </c>
      <c r="BG786" s="58" t="s">
        <v>99</v>
      </c>
      <c r="BH786" s="53" t="str">
        <f t="shared" ref="BH786:BH787" si="613">'[1]2023'!Q165</f>
        <v>#REF!</v>
      </c>
      <c r="BI786" s="27"/>
      <c r="BJ786" s="27"/>
      <c r="BK786" s="27" t="s">
        <v>76</v>
      </c>
      <c r="BL786" s="27"/>
    </row>
    <row r="787" ht="14.25" customHeight="1">
      <c r="A787" s="26" t="s">
        <v>55</v>
      </c>
      <c r="B787" s="26" t="s">
        <v>56</v>
      </c>
      <c r="C787" s="26" t="s">
        <v>57</v>
      </c>
      <c r="D787" s="26" t="s">
        <v>81</v>
      </c>
      <c r="E787" s="27" t="s">
        <v>2606</v>
      </c>
      <c r="F787" s="26" t="s">
        <v>2605</v>
      </c>
      <c r="G787" s="29">
        <v>45140.0</v>
      </c>
      <c r="H787" s="30">
        <v>45140.0</v>
      </c>
      <c r="I787" s="30">
        <v>45505.0</v>
      </c>
      <c r="J787" s="31">
        <v>0.0</v>
      </c>
      <c r="K787" s="26" t="s">
        <v>62</v>
      </c>
      <c r="L787" s="32" t="s">
        <v>75</v>
      </c>
      <c r="M787" s="33">
        <v>9405.0</v>
      </c>
      <c r="N787" s="34">
        <v>10100.9</v>
      </c>
      <c r="O787" s="27" t="s">
        <v>76</v>
      </c>
      <c r="P787" s="35" t="s">
        <v>89</v>
      </c>
      <c r="Q787" s="35" t="s">
        <v>65</v>
      </c>
      <c r="R787" s="36">
        <v>45140.0</v>
      </c>
      <c r="S787" s="35" t="s">
        <v>86</v>
      </c>
      <c r="T787" s="35">
        <v>0.0</v>
      </c>
      <c r="U787" s="37" t="s">
        <v>67</v>
      </c>
      <c r="V787" s="38"/>
      <c r="W787" s="38"/>
      <c r="X787" s="27"/>
      <c r="Y787" s="39"/>
      <c r="Z787" s="39"/>
      <c r="AA787" s="39"/>
      <c r="AB787" s="27"/>
      <c r="AC787" s="27">
        <f t="shared" si="539"/>
        <v>0</v>
      </c>
      <c r="AD787" s="41"/>
      <c r="AE787" s="42"/>
      <c r="AF787" s="27"/>
      <c r="AG787" s="43">
        <f t="shared" si="612"/>
        <v>2412.3825</v>
      </c>
      <c r="AH787" s="29"/>
      <c r="AI787" s="29"/>
      <c r="AJ787" s="29"/>
      <c r="AK787" s="29"/>
      <c r="AL787" s="27"/>
      <c r="AM787" s="27"/>
      <c r="AN787" s="47"/>
      <c r="AO787" s="37"/>
      <c r="AP787" s="68"/>
      <c r="AQ787" s="43">
        <f t="shared" si="610"/>
        <v>2539.35</v>
      </c>
      <c r="AR787" s="43">
        <f t="shared" si="448"/>
        <v>126.9675</v>
      </c>
      <c r="AS787" s="43">
        <f t="shared" si="449"/>
        <v>444.38625</v>
      </c>
      <c r="AT787" s="48">
        <f t="shared" si="450"/>
        <v>1967.99625</v>
      </c>
      <c r="AU787" s="49">
        <f t="shared" si="611"/>
        <v>1967.99625</v>
      </c>
      <c r="AV787" s="48"/>
      <c r="AW787" s="34">
        <f t="shared" si="540"/>
        <v>10100.9</v>
      </c>
      <c r="AX787" s="50">
        <f t="shared" si="413"/>
        <v>1967.99625</v>
      </c>
      <c r="AY787" s="43"/>
      <c r="AZ787" s="27"/>
      <c r="BA787" s="48">
        <f t="shared" si="604"/>
        <v>1967.99625</v>
      </c>
      <c r="BB787" s="27"/>
      <c r="BC787" s="27"/>
      <c r="BD787" s="51"/>
      <c r="BE787" s="52"/>
      <c r="BF787" s="27" t="s">
        <v>2606</v>
      </c>
      <c r="BG787" s="58" t="s">
        <v>99</v>
      </c>
      <c r="BH787" s="53" t="str">
        <f t="shared" si="613"/>
        <v>#REF!</v>
      </c>
      <c r="BI787" s="27"/>
      <c r="BJ787" s="27"/>
      <c r="BK787" s="27" t="s">
        <v>76</v>
      </c>
      <c r="BL787" s="27"/>
    </row>
    <row r="788" ht="14.25" customHeight="1">
      <c r="A788" s="26" t="s">
        <v>55</v>
      </c>
      <c r="B788" s="26" t="s">
        <v>56</v>
      </c>
      <c r="C788" s="26" t="s">
        <v>57</v>
      </c>
      <c r="D788" s="26" t="s">
        <v>81</v>
      </c>
      <c r="E788" s="27" t="s">
        <v>2607</v>
      </c>
      <c r="F788" s="26" t="s">
        <v>2608</v>
      </c>
      <c r="G788" s="29">
        <v>45140.0</v>
      </c>
      <c r="H788" s="30">
        <v>45140.0</v>
      </c>
      <c r="I788" s="30">
        <v>45505.0</v>
      </c>
      <c r="J788" s="31">
        <v>0.0</v>
      </c>
      <c r="K788" s="26" t="s">
        <v>62</v>
      </c>
      <c r="L788" s="32" t="s">
        <v>75</v>
      </c>
      <c r="M788" s="33">
        <v>22420.0</v>
      </c>
      <c r="N788" s="34">
        <v>23883.78</v>
      </c>
      <c r="O788" s="27" t="s">
        <v>76</v>
      </c>
      <c r="P788" s="35">
        <v>0.0</v>
      </c>
      <c r="Q788" s="35" t="s">
        <v>65</v>
      </c>
      <c r="R788" s="36">
        <v>45140.0</v>
      </c>
      <c r="S788" s="35" t="s">
        <v>86</v>
      </c>
      <c r="T788" s="35">
        <v>0.0</v>
      </c>
      <c r="U788" s="37" t="s">
        <v>67</v>
      </c>
      <c r="V788" s="38"/>
      <c r="W788" s="38"/>
      <c r="X788" s="27"/>
      <c r="Y788" s="39"/>
      <c r="Z788" s="39"/>
      <c r="AA788" s="39"/>
      <c r="AB788" s="27"/>
      <c r="AC788" s="27">
        <f t="shared" si="539"/>
        <v>0</v>
      </c>
      <c r="AD788" s="41"/>
      <c r="AE788" s="42"/>
      <c r="AF788" s="27"/>
      <c r="AG788" s="43">
        <f t="shared" si="612"/>
        <v>5750.73</v>
      </c>
      <c r="AH788" s="29"/>
      <c r="AI788" s="29"/>
      <c r="AJ788" s="29"/>
      <c r="AK788" s="29"/>
      <c r="AL788" s="27"/>
      <c r="AM788" s="44"/>
      <c r="AN788" s="68"/>
      <c r="AO788" s="37"/>
      <c r="AP788" s="47"/>
      <c r="AQ788" s="43">
        <f t="shared" si="610"/>
        <v>6053.4</v>
      </c>
      <c r="AR788" s="43">
        <f t="shared" si="448"/>
        <v>302.67</v>
      </c>
      <c r="AS788" s="43">
        <f t="shared" si="449"/>
        <v>1059.345</v>
      </c>
      <c r="AT788" s="48">
        <f t="shared" si="450"/>
        <v>4691.385</v>
      </c>
      <c r="AU788" s="49">
        <f t="shared" si="611"/>
        <v>4691.385</v>
      </c>
      <c r="AV788" s="48"/>
      <c r="AW788" s="34">
        <f t="shared" si="540"/>
        <v>23883.78</v>
      </c>
      <c r="AX788" s="50">
        <f t="shared" si="413"/>
        <v>4691.385</v>
      </c>
      <c r="AY788" s="43"/>
      <c r="AZ788" s="27"/>
      <c r="BA788" s="48">
        <f t="shared" si="604"/>
        <v>4691.385</v>
      </c>
      <c r="BB788" s="27"/>
      <c r="BC788" s="27"/>
      <c r="BD788" s="51"/>
      <c r="BE788" s="52"/>
      <c r="BF788" s="27" t="s">
        <v>2607</v>
      </c>
      <c r="BG788" s="53">
        <v>0.0</v>
      </c>
      <c r="BH788" s="53" t="str">
        <f>'[1]2023'!Q168</f>
        <v>#REF!</v>
      </c>
      <c r="BI788" s="27"/>
      <c r="BJ788" s="27"/>
      <c r="BK788" s="27" t="s">
        <v>76</v>
      </c>
      <c r="BL788" s="27"/>
    </row>
    <row r="789" ht="14.25" customHeight="1">
      <c r="A789" s="26" t="s">
        <v>55</v>
      </c>
      <c r="B789" s="26" t="s">
        <v>56</v>
      </c>
      <c r="C789" s="26" t="s">
        <v>57</v>
      </c>
      <c r="D789" s="26" t="s">
        <v>71</v>
      </c>
      <c r="E789" s="27" t="s">
        <v>2609</v>
      </c>
      <c r="F789" s="28" t="s">
        <v>2610</v>
      </c>
      <c r="G789" s="29">
        <v>45140.0</v>
      </c>
      <c r="H789" s="30">
        <v>45140.0</v>
      </c>
      <c r="I789" s="30">
        <v>45505.0</v>
      </c>
      <c r="J789" s="31" t="s">
        <v>2611</v>
      </c>
      <c r="K789" s="26" t="s">
        <v>62</v>
      </c>
      <c r="L789" s="32" t="s">
        <v>94</v>
      </c>
      <c r="M789" s="33">
        <v>15125.0</v>
      </c>
      <c r="N789" s="34">
        <v>16158.38</v>
      </c>
      <c r="O789" s="27" t="s">
        <v>76</v>
      </c>
      <c r="P789" s="35" t="s">
        <v>95</v>
      </c>
      <c r="Q789" s="35" t="s">
        <v>65</v>
      </c>
      <c r="R789" s="36">
        <v>45140.0</v>
      </c>
      <c r="S789" s="35" t="s">
        <v>66</v>
      </c>
      <c r="T789" s="35">
        <v>0.0</v>
      </c>
      <c r="U789" s="37" t="s">
        <v>67</v>
      </c>
      <c r="V789" s="101">
        <v>900000.0</v>
      </c>
      <c r="W789" s="38">
        <v>4102679.0</v>
      </c>
      <c r="X789" s="27">
        <v>2022.0</v>
      </c>
      <c r="Y789" s="39"/>
      <c r="Z789" s="79" t="s">
        <v>2612</v>
      </c>
      <c r="AA789" s="39"/>
      <c r="AB789" s="55"/>
      <c r="AC789" s="27">
        <f t="shared" si="539"/>
        <v>0</v>
      </c>
      <c r="AD789" s="41"/>
      <c r="AE789" s="42"/>
      <c r="AF789" s="27"/>
      <c r="AG789" s="43">
        <f t="shared" si="612"/>
        <v>3879.5625</v>
      </c>
      <c r="AH789" s="29"/>
      <c r="AI789" s="29"/>
      <c r="AJ789" s="29"/>
      <c r="AK789" s="29"/>
      <c r="AL789" s="27"/>
      <c r="AM789" s="44">
        <f>IF((BD789&lt;=2),AU789*10%,(IF((BD789&lt;=3),AU789*20%,IF((BD789&lt;=4),AU789*20%,IF((BD789&gt;=5),AU789*30%,0)))))</f>
        <v>316.490625</v>
      </c>
      <c r="AN789" s="63" t="s">
        <v>75</v>
      </c>
      <c r="AO789" s="37"/>
      <c r="AP789" s="47"/>
      <c r="AQ789" s="43">
        <f t="shared" si="610"/>
        <v>4083.75</v>
      </c>
      <c r="AR789" s="43">
        <f t="shared" si="448"/>
        <v>204.1875</v>
      </c>
      <c r="AS789" s="43">
        <f t="shared" si="449"/>
        <v>714.65625</v>
      </c>
      <c r="AT789" s="48">
        <f t="shared" si="450"/>
        <v>3164.90625</v>
      </c>
      <c r="AU789" s="49">
        <f t="shared" si="611"/>
        <v>3164.90625</v>
      </c>
      <c r="AV789" s="48"/>
      <c r="AW789" s="34">
        <f t="shared" si="540"/>
        <v>16158.38</v>
      </c>
      <c r="AX789" s="50">
        <f t="shared" si="413"/>
        <v>2848.415625</v>
      </c>
      <c r="AY789" s="43"/>
      <c r="AZ789" s="27"/>
      <c r="BA789" s="48">
        <f t="shared" si="604"/>
        <v>2848.415625</v>
      </c>
      <c r="BB789" s="27"/>
      <c r="BC789" s="27"/>
      <c r="BD789" s="51"/>
      <c r="BE789" s="52"/>
      <c r="BF789" s="27" t="s">
        <v>2609</v>
      </c>
      <c r="BG789" s="58" t="s">
        <v>2613</v>
      </c>
      <c r="BH789" s="53" t="str">
        <f>'[1]2023'!Q183</f>
        <v>#REF!</v>
      </c>
      <c r="BI789" s="27"/>
      <c r="BJ789" s="27"/>
      <c r="BK789" s="27" t="s">
        <v>76</v>
      </c>
      <c r="BL789" s="27"/>
    </row>
    <row r="790" ht="14.25" customHeight="1">
      <c r="A790" s="26" t="s">
        <v>55</v>
      </c>
      <c r="B790" s="26" t="s">
        <v>56</v>
      </c>
      <c r="C790" s="26" t="s">
        <v>57</v>
      </c>
      <c r="D790" s="26" t="s">
        <v>81</v>
      </c>
      <c r="E790" s="27" t="s">
        <v>2614</v>
      </c>
      <c r="F790" s="26" t="s">
        <v>2615</v>
      </c>
      <c r="G790" s="29">
        <v>45141.0</v>
      </c>
      <c r="H790" s="30">
        <v>45141.0</v>
      </c>
      <c r="I790" s="30">
        <v>45506.0</v>
      </c>
      <c r="J790" s="31" t="s">
        <v>2616</v>
      </c>
      <c r="K790" s="26" t="s">
        <v>352</v>
      </c>
      <c r="L790" s="32" t="s">
        <v>75</v>
      </c>
      <c r="M790" s="33">
        <v>28320.0</v>
      </c>
      <c r="N790" s="34">
        <v>30131.88</v>
      </c>
      <c r="O790" s="27" t="s">
        <v>76</v>
      </c>
      <c r="P790" s="35" t="s">
        <v>89</v>
      </c>
      <c r="Q790" s="35" t="s">
        <v>85</v>
      </c>
      <c r="R790" s="36">
        <v>45141.0</v>
      </c>
      <c r="S790" s="35" t="s">
        <v>86</v>
      </c>
      <c r="T790" s="35">
        <v>0.0</v>
      </c>
      <c r="U790" s="37" t="s">
        <v>67</v>
      </c>
      <c r="V790" s="38"/>
      <c r="W790" s="38"/>
      <c r="X790" s="27"/>
      <c r="Y790" s="39"/>
      <c r="Z790" s="39"/>
      <c r="AA790" s="39"/>
      <c r="AB790" s="27"/>
      <c r="AC790" s="27">
        <f t="shared" si="539"/>
        <v>0</v>
      </c>
      <c r="AD790" s="41">
        <f>IF(AND(S790="0",O790="Paid"),M790*15%,0)</f>
        <v>4248</v>
      </c>
      <c r="AE790" s="42"/>
      <c r="AF790" s="87">
        <v>45020.0</v>
      </c>
      <c r="AG790" s="43">
        <f t="shared" si="612"/>
        <v>7264.08</v>
      </c>
      <c r="AH790" s="29"/>
      <c r="AI790" s="29"/>
      <c r="AJ790" s="29"/>
      <c r="AK790" s="29"/>
      <c r="AL790" s="27"/>
      <c r="AM790" s="44"/>
      <c r="AN790" s="47"/>
      <c r="AO790" s="46"/>
      <c r="AP790" s="47"/>
      <c r="AQ790" s="43">
        <f t="shared" si="610"/>
        <v>7646.4</v>
      </c>
      <c r="AR790" s="43">
        <f t="shared" si="448"/>
        <v>382.32</v>
      </c>
      <c r="AS790" s="43">
        <f t="shared" si="449"/>
        <v>1338.12</v>
      </c>
      <c r="AT790" s="48">
        <f t="shared" si="450"/>
        <v>5925.96</v>
      </c>
      <c r="AU790" s="49">
        <f t="shared" si="611"/>
        <v>5925.96</v>
      </c>
      <c r="AV790" s="48"/>
      <c r="AW790" s="34">
        <f t="shared" si="540"/>
        <v>25883.88</v>
      </c>
      <c r="AX790" s="50">
        <f t="shared" si="413"/>
        <v>1677.96</v>
      </c>
      <c r="AY790" s="43"/>
      <c r="AZ790" s="27"/>
      <c r="BA790" s="48">
        <f t="shared" si="604"/>
        <v>5925.96</v>
      </c>
      <c r="BB790" s="27"/>
      <c r="BC790" s="27"/>
      <c r="BD790" s="51"/>
      <c r="BE790" s="52"/>
      <c r="BF790" s="27" t="s">
        <v>2614</v>
      </c>
      <c r="BG790" s="58" t="s">
        <v>2617</v>
      </c>
      <c r="BH790" s="53" t="str">
        <f>'[1]2023'!Q236</f>
        <v>#REF!</v>
      </c>
      <c r="BI790" s="27"/>
      <c r="BJ790" s="27"/>
      <c r="BK790" s="27" t="s">
        <v>76</v>
      </c>
      <c r="BL790" s="27"/>
    </row>
    <row r="791" ht="14.25" customHeight="1">
      <c r="A791" s="26" t="s">
        <v>55</v>
      </c>
      <c r="B791" s="26" t="s">
        <v>56</v>
      </c>
      <c r="C791" s="26" t="s">
        <v>57</v>
      </c>
      <c r="D791" s="26" t="s">
        <v>81</v>
      </c>
      <c r="E791" s="27" t="s">
        <v>2618</v>
      </c>
      <c r="F791" s="26" t="s">
        <v>2619</v>
      </c>
      <c r="G791" s="29">
        <v>45141.0</v>
      </c>
      <c r="H791" s="30">
        <v>45141.0</v>
      </c>
      <c r="I791" s="30">
        <v>45506.0</v>
      </c>
      <c r="J791" s="31" t="s">
        <v>2620</v>
      </c>
      <c r="K791" s="26" t="s">
        <v>352</v>
      </c>
      <c r="L791" s="32" t="s">
        <v>75</v>
      </c>
      <c r="M791" s="33">
        <v>22715.0</v>
      </c>
      <c r="N791" s="34">
        <v>24196.19</v>
      </c>
      <c r="O791" s="27" t="s">
        <v>76</v>
      </c>
      <c r="P791" s="35" t="s">
        <v>89</v>
      </c>
      <c r="Q791" s="35" t="s">
        <v>65</v>
      </c>
      <c r="R791" s="36">
        <v>45141.0</v>
      </c>
      <c r="S791" s="35" t="s">
        <v>86</v>
      </c>
      <c r="T791" s="35">
        <v>0.0</v>
      </c>
      <c r="U791" s="37" t="s">
        <v>67</v>
      </c>
      <c r="V791" s="38"/>
      <c r="W791" s="38"/>
      <c r="X791" s="27"/>
      <c r="Y791" s="39"/>
      <c r="Z791" s="39"/>
      <c r="AA791" s="39"/>
      <c r="AB791" s="40"/>
      <c r="AC791" s="27">
        <f t="shared" si="539"/>
        <v>0</v>
      </c>
      <c r="AD791" s="41"/>
      <c r="AE791" s="42"/>
      <c r="AF791" s="27"/>
      <c r="AG791" s="43">
        <f t="shared" si="612"/>
        <v>5826.3975</v>
      </c>
      <c r="AH791" s="29"/>
      <c r="AI791" s="29"/>
      <c r="AJ791" s="29"/>
      <c r="AK791" s="29"/>
      <c r="AL791" s="27"/>
      <c r="AM791" s="44"/>
      <c r="AN791" s="47"/>
      <c r="AO791" s="46"/>
      <c r="AP791" s="47"/>
      <c r="AQ791" s="43">
        <f t="shared" si="610"/>
        <v>6133.05</v>
      </c>
      <c r="AR791" s="43">
        <f t="shared" si="448"/>
        <v>306.6525</v>
      </c>
      <c r="AS791" s="43">
        <f t="shared" si="449"/>
        <v>1073.28375</v>
      </c>
      <c r="AT791" s="48">
        <f t="shared" si="450"/>
        <v>4753.11375</v>
      </c>
      <c r="AU791" s="49">
        <f t="shared" si="611"/>
        <v>4753.11375</v>
      </c>
      <c r="AV791" s="48"/>
      <c r="AW791" s="34">
        <f t="shared" si="540"/>
        <v>24196.19</v>
      </c>
      <c r="AX791" s="50">
        <f t="shared" si="413"/>
        <v>4753.11375</v>
      </c>
      <c r="AY791" s="43"/>
      <c r="AZ791" s="27"/>
      <c r="BA791" s="48">
        <f t="shared" si="604"/>
        <v>4753.11375</v>
      </c>
      <c r="BB791" s="27"/>
      <c r="BC791" s="27"/>
      <c r="BD791" s="51"/>
      <c r="BE791" s="52"/>
      <c r="BF791" s="27" t="s">
        <v>2618</v>
      </c>
      <c r="BG791" s="53">
        <v>45110.0</v>
      </c>
      <c r="BH791" s="53" t="str">
        <f>'[1]2023'!Q309</f>
        <v>#REF!</v>
      </c>
      <c r="BI791" s="27"/>
      <c r="BJ791" s="27"/>
      <c r="BK791" s="27" t="s">
        <v>76</v>
      </c>
      <c r="BL791" s="27"/>
    </row>
    <row r="792" ht="14.25" customHeight="1">
      <c r="A792" s="26" t="s">
        <v>55</v>
      </c>
      <c r="B792" s="26" t="s">
        <v>56</v>
      </c>
      <c r="C792" s="26" t="s">
        <v>57</v>
      </c>
      <c r="D792" s="26" t="s">
        <v>71</v>
      </c>
      <c r="E792" s="27" t="s">
        <v>2621</v>
      </c>
      <c r="F792" s="28" t="s">
        <v>2622</v>
      </c>
      <c r="G792" s="29">
        <v>45141.0</v>
      </c>
      <c r="H792" s="30">
        <v>45141.0</v>
      </c>
      <c r="I792" s="30">
        <v>45506.0</v>
      </c>
      <c r="J792" s="31" t="s">
        <v>2623</v>
      </c>
      <c r="K792" s="26" t="s">
        <v>352</v>
      </c>
      <c r="L792" s="32" t="s">
        <v>2624</v>
      </c>
      <c r="M792" s="33">
        <v>11375.0</v>
      </c>
      <c r="N792" s="34">
        <v>12187.13</v>
      </c>
      <c r="O792" s="27" t="s">
        <v>76</v>
      </c>
      <c r="P792" s="35" t="s">
        <v>104</v>
      </c>
      <c r="Q792" s="35" t="s">
        <v>108</v>
      </c>
      <c r="R792" s="36">
        <v>45141.0</v>
      </c>
      <c r="S792" s="35" t="s">
        <v>86</v>
      </c>
      <c r="T792" s="35">
        <v>0.0</v>
      </c>
      <c r="U792" s="37" t="s">
        <v>67</v>
      </c>
      <c r="V792" s="101">
        <v>750000.0</v>
      </c>
      <c r="W792" s="78">
        <v>56481.0</v>
      </c>
      <c r="X792" s="27">
        <v>2021.0</v>
      </c>
      <c r="Y792" s="39"/>
      <c r="Z792" s="79" t="s">
        <v>1707</v>
      </c>
      <c r="AA792" s="39"/>
      <c r="AB792" s="40"/>
      <c r="AC792" s="27">
        <f t="shared" si="539"/>
        <v>0</v>
      </c>
      <c r="AD792" s="41">
        <f t="shared" ref="AD792:AD795" si="614">IF(AND(S792="0",O792="Paid"),M792*15%,0)</f>
        <v>1706.25</v>
      </c>
      <c r="AE792" s="42"/>
      <c r="AF792" s="27" t="s">
        <v>75</v>
      </c>
      <c r="AG792" s="43">
        <f t="shared" si="612"/>
        <v>2917.6875</v>
      </c>
      <c r="AH792" s="29"/>
      <c r="AI792" s="29"/>
      <c r="AJ792" s="29"/>
      <c r="AK792" s="29"/>
      <c r="AL792" s="27"/>
      <c r="AM792" s="44"/>
      <c r="AN792" s="47"/>
      <c r="AO792" s="46"/>
      <c r="AP792" s="47"/>
      <c r="AQ792" s="43">
        <f t="shared" si="610"/>
        <v>3071.25</v>
      </c>
      <c r="AR792" s="43">
        <f t="shared" si="448"/>
        <v>153.5625</v>
      </c>
      <c r="AS792" s="43">
        <f t="shared" si="449"/>
        <v>537.46875</v>
      </c>
      <c r="AT792" s="48">
        <f t="shared" si="450"/>
        <v>2380.21875</v>
      </c>
      <c r="AU792" s="49">
        <f t="shared" si="611"/>
        <v>2380.21875</v>
      </c>
      <c r="AV792" s="48"/>
      <c r="AW792" s="34">
        <f t="shared" si="540"/>
        <v>10480.88</v>
      </c>
      <c r="AX792" s="50">
        <f t="shared" si="413"/>
        <v>673.96875</v>
      </c>
      <c r="AY792" s="84"/>
      <c r="AZ792" s="27"/>
      <c r="BA792" s="48">
        <f t="shared" si="604"/>
        <v>2380.21875</v>
      </c>
      <c r="BB792" s="27"/>
      <c r="BC792" s="27"/>
      <c r="BD792" s="51"/>
      <c r="BE792" s="52"/>
      <c r="BF792" s="27" t="s">
        <v>2621</v>
      </c>
      <c r="BG792" s="58" t="s">
        <v>2625</v>
      </c>
      <c r="BH792" s="53" t="str">
        <f>'[1]2023'!Q312</f>
        <v>#REF!</v>
      </c>
      <c r="BI792" s="27"/>
      <c r="BJ792" s="27"/>
      <c r="BK792" s="27" t="s">
        <v>76</v>
      </c>
      <c r="BL792" s="27"/>
    </row>
    <row r="793" ht="14.25" customHeight="1">
      <c r="A793" s="26" t="s">
        <v>55</v>
      </c>
      <c r="B793" s="26" t="s">
        <v>56</v>
      </c>
      <c r="C793" s="26" t="s">
        <v>57</v>
      </c>
      <c r="D793" s="26" t="s">
        <v>58</v>
      </c>
      <c r="E793" s="27" t="s">
        <v>1145</v>
      </c>
      <c r="F793" s="28" t="s">
        <v>2626</v>
      </c>
      <c r="G793" s="29">
        <v>45141.0</v>
      </c>
      <c r="H793" s="30">
        <v>45141.0</v>
      </c>
      <c r="I793" s="30">
        <v>45506.0</v>
      </c>
      <c r="J793" s="31" t="s">
        <v>2627</v>
      </c>
      <c r="K793" s="26" t="s">
        <v>352</v>
      </c>
      <c r="L793" s="32" t="s">
        <v>75</v>
      </c>
      <c r="M793" s="33">
        <v>1390.14</v>
      </c>
      <c r="N793" s="34">
        <v>1472.16</v>
      </c>
      <c r="O793" s="27" t="s">
        <v>76</v>
      </c>
      <c r="P793" s="35" t="s">
        <v>142</v>
      </c>
      <c r="Q793" s="35" t="s">
        <v>90</v>
      </c>
      <c r="R793" s="36">
        <v>45141.0</v>
      </c>
      <c r="S793" s="35" t="s">
        <v>86</v>
      </c>
      <c r="T793" s="35">
        <v>0.0</v>
      </c>
      <c r="U793" s="37" t="s">
        <v>67</v>
      </c>
      <c r="V793" s="38"/>
      <c r="W793" s="38"/>
      <c r="X793" s="27"/>
      <c r="Y793" s="39"/>
      <c r="Z793" s="39"/>
      <c r="AA793" s="39"/>
      <c r="AB793" s="40"/>
      <c r="AC793" s="27">
        <f t="shared" si="539"/>
        <v>0</v>
      </c>
      <c r="AD793" s="41">
        <f t="shared" si="614"/>
        <v>208.521</v>
      </c>
      <c r="AE793" s="42"/>
      <c r="AF793" s="29">
        <v>45267.0</v>
      </c>
      <c r="AG793" s="43">
        <f t="shared" si="612"/>
        <v>356.57091</v>
      </c>
      <c r="AH793" s="29"/>
      <c r="AI793" s="29"/>
      <c r="AJ793" s="29"/>
      <c r="AK793" s="29"/>
      <c r="AL793" s="27"/>
      <c r="AM793" s="44"/>
      <c r="AN793" s="47"/>
      <c r="AO793" s="46"/>
      <c r="AP793" s="47"/>
      <c r="AQ793" s="43">
        <f t="shared" si="610"/>
        <v>375.3378</v>
      </c>
      <c r="AR793" s="43">
        <f t="shared" si="448"/>
        <v>18.76689</v>
      </c>
      <c r="AS793" s="43">
        <f t="shared" si="449"/>
        <v>65.684115</v>
      </c>
      <c r="AT793" s="48">
        <f t="shared" si="450"/>
        <v>290.886795</v>
      </c>
      <c r="AU793" s="49">
        <f t="shared" si="611"/>
        <v>290.886795</v>
      </c>
      <c r="AV793" s="48"/>
      <c r="AW793" s="34">
        <f t="shared" si="540"/>
        <v>1263.639</v>
      </c>
      <c r="AX793" s="50">
        <f t="shared" si="413"/>
        <v>82.365795</v>
      </c>
      <c r="AY793" s="43"/>
      <c r="AZ793" s="27"/>
      <c r="BA793" s="48">
        <f t="shared" si="604"/>
        <v>290.886795</v>
      </c>
      <c r="BB793" s="27"/>
      <c r="BC793" s="27"/>
      <c r="BD793" s="51"/>
      <c r="BE793" s="52"/>
      <c r="BF793" s="27" t="s">
        <v>1143</v>
      </c>
      <c r="BG793" s="58" t="s">
        <v>2628</v>
      </c>
      <c r="BH793" s="53" t="str">
        <f>'[1]2023'!Q317</f>
        <v>#REF!</v>
      </c>
      <c r="BI793" s="27"/>
      <c r="BJ793" s="27"/>
      <c r="BK793" s="27" t="s">
        <v>76</v>
      </c>
      <c r="BL793" s="158"/>
    </row>
    <row r="794" ht="14.25" customHeight="1">
      <c r="A794" s="26" t="s">
        <v>55</v>
      </c>
      <c r="B794" s="26" t="s">
        <v>56</v>
      </c>
      <c r="C794" s="26" t="s">
        <v>57</v>
      </c>
      <c r="D794" s="26" t="s">
        <v>81</v>
      </c>
      <c r="E794" s="27" t="s">
        <v>2629</v>
      </c>
      <c r="F794" s="26" t="s">
        <v>2630</v>
      </c>
      <c r="G794" s="29">
        <v>45141.0</v>
      </c>
      <c r="H794" s="30">
        <v>45141.0</v>
      </c>
      <c r="I794" s="30">
        <v>45506.0</v>
      </c>
      <c r="J794" s="31">
        <v>0.0</v>
      </c>
      <c r="K794" s="26" t="s">
        <v>352</v>
      </c>
      <c r="L794" s="32" t="s">
        <v>75</v>
      </c>
      <c r="M794" s="33">
        <v>15930.0</v>
      </c>
      <c r="N794" s="34">
        <v>17010.87</v>
      </c>
      <c r="O794" s="27" t="s">
        <v>76</v>
      </c>
      <c r="P794" s="35" t="s">
        <v>89</v>
      </c>
      <c r="Q794" s="35" t="s">
        <v>90</v>
      </c>
      <c r="R794" s="36">
        <v>45141.0</v>
      </c>
      <c r="S794" s="35" t="s">
        <v>86</v>
      </c>
      <c r="T794" s="35">
        <v>0.0</v>
      </c>
      <c r="U794" s="37" t="s">
        <v>67</v>
      </c>
      <c r="V794" s="38"/>
      <c r="W794" s="38"/>
      <c r="X794" s="27"/>
      <c r="Y794" s="39"/>
      <c r="Z794" s="39"/>
      <c r="AA794" s="39"/>
      <c r="AB794" s="40"/>
      <c r="AC794" s="27">
        <f t="shared" si="539"/>
        <v>0</v>
      </c>
      <c r="AD794" s="41">
        <f t="shared" si="614"/>
        <v>2389.5</v>
      </c>
      <c r="AE794" s="42"/>
      <c r="AF794" s="27"/>
      <c r="AG794" s="43">
        <f t="shared" si="612"/>
        <v>4086.045</v>
      </c>
      <c r="AH794" s="29"/>
      <c r="AI794" s="29"/>
      <c r="AJ794" s="29"/>
      <c r="AK794" s="29"/>
      <c r="AL794" s="27"/>
      <c r="AM794" s="44"/>
      <c r="AN794" s="47"/>
      <c r="AO794" s="46"/>
      <c r="AP794" s="47"/>
      <c r="AQ794" s="43">
        <f t="shared" si="610"/>
        <v>4301.1</v>
      </c>
      <c r="AR794" s="43">
        <f t="shared" si="448"/>
        <v>215.055</v>
      </c>
      <c r="AS794" s="43">
        <f t="shared" si="449"/>
        <v>752.6925</v>
      </c>
      <c r="AT794" s="48">
        <f t="shared" si="450"/>
        <v>3333.3525</v>
      </c>
      <c r="AU794" s="49">
        <f t="shared" si="611"/>
        <v>3333.3525</v>
      </c>
      <c r="AV794" s="48"/>
      <c r="AW794" s="34">
        <f t="shared" si="540"/>
        <v>14621.37</v>
      </c>
      <c r="AX794" s="50">
        <f t="shared" si="413"/>
        <v>943.8525</v>
      </c>
      <c r="AY794" s="43"/>
      <c r="AZ794" s="27"/>
      <c r="BA794" s="48">
        <f t="shared" si="604"/>
        <v>3333.3525</v>
      </c>
      <c r="BB794" s="27"/>
      <c r="BC794" s="27"/>
      <c r="BD794" s="51"/>
      <c r="BE794" s="52"/>
      <c r="BF794" s="27" t="s">
        <v>2629</v>
      </c>
      <c r="BG794" s="53">
        <v>0.0</v>
      </c>
      <c r="BH794" s="53" t="str">
        <f>'[1]2023'!Q323</f>
        <v>#REF!</v>
      </c>
      <c r="BI794" s="27"/>
      <c r="BJ794" s="27"/>
      <c r="BK794" s="27" t="s">
        <v>76</v>
      </c>
      <c r="BL794" s="167" t="s">
        <v>2631</v>
      </c>
    </row>
    <row r="795" ht="14.25" customHeight="1">
      <c r="A795" s="26" t="s">
        <v>55</v>
      </c>
      <c r="B795" s="26" t="s">
        <v>56</v>
      </c>
      <c r="C795" s="26" t="s">
        <v>57</v>
      </c>
      <c r="D795" s="26" t="s">
        <v>81</v>
      </c>
      <c r="E795" s="27" t="s">
        <v>2632</v>
      </c>
      <c r="F795" s="26" t="s">
        <v>2633</v>
      </c>
      <c r="G795" s="29">
        <v>45141.0</v>
      </c>
      <c r="H795" s="30">
        <v>45141.0</v>
      </c>
      <c r="I795" s="30">
        <v>45506.0</v>
      </c>
      <c r="J795" s="31">
        <v>0.0</v>
      </c>
      <c r="K795" s="26" t="s">
        <v>352</v>
      </c>
      <c r="L795" s="32" t="s">
        <v>75</v>
      </c>
      <c r="M795" s="33">
        <v>24678.5</v>
      </c>
      <c r="N795" s="34">
        <v>26279.54</v>
      </c>
      <c r="O795" s="27" t="s">
        <v>76</v>
      </c>
      <c r="P795" s="35" t="s">
        <v>89</v>
      </c>
      <c r="Q795" s="35" t="s">
        <v>90</v>
      </c>
      <c r="R795" s="36">
        <v>45141.0</v>
      </c>
      <c r="S795" s="35" t="s">
        <v>86</v>
      </c>
      <c r="T795" s="35">
        <v>0.0</v>
      </c>
      <c r="U795" s="37" t="s">
        <v>67</v>
      </c>
      <c r="V795" s="38"/>
      <c r="W795" s="38"/>
      <c r="X795" s="27"/>
      <c r="Y795" s="39"/>
      <c r="Z795" s="39"/>
      <c r="AA795" s="39"/>
      <c r="AB795" s="40"/>
      <c r="AC795" s="27">
        <f t="shared" si="539"/>
        <v>0</v>
      </c>
      <c r="AD795" s="41">
        <f t="shared" si="614"/>
        <v>3701.775</v>
      </c>
      <c r="AE795" s="42"/>
      <c r="AF795" s="27"/>
      <c r="AG795" s="43">
        <f t="shared" si="612"/>
        <v>6330.03525</v>
      </c>
      <c r="AH795" s="29"/>
      <c r="AI795" s="29"/>
      <c r="AJ795" s="29"/>
      <c r="AK795" s="29"/>
      <c r="AL795" s="27"/>
      <c r="AM795" s="44"/>
      <c r="AN795" s="47"/>
      <c r="AO795" s="46"/>
      <c r="AP795" s="47"/>
      <c r="AQ795" s="43">
        <f t="shared" si="610"/>
        <v>6663.195</v>
      </c>
      <c r="AR795" s="43">
        <f t="shared" si="448"/>
        <v>333.15975</v>
      </c>
      <c r="AS795" s="43">
        <f t="shared" si="449"/>
        <v>1166.059125</v>
      </c>
      <c r="AT795" s="48">
        <f t="shared" si="450"/>
        <v>5163.976125</v>
      </c>
      <c r="AU795" s="49">
        <f t="shared" si="611"/>
        <v>5163.976125</v>
      </c>
      <c r="AV795" s="48"/>
      <c r="AW795" s="34">
        <f t="shared" si="540"/>
        <v>22577.765</v>
      </c>
      <c r="AX795" s="50">
        <f t="shared" si="413"/>
        <v>1462.201125</v>
      </c>
      <c r="AY795" s="43"/>
      <c r="AZ795" s="27"/>
      <c r="BA795" s="48">
        <f t="shared" si="604"/>
        <v>5163.976125</v>
      </c>
      <c r="BB795" s="27"/>
      <c r="BC795" s="27"/>
      <c r="BD795" s="51"/>
      <c r="BE795" s="52"/>
      <c r="BF795" s="27" t="s">
        <v>2632</v>
      </c>
      <c r="BG795" s="58" t="s">
        <v>2634</v>
      </c>
      <c r="BH795" s="53" t="str">
        <f>'[1]2023'!Q329</f>
        <v>#REF!</v>
      </c>
      <c r="BI795" s="27"/>
      <c r="BJ795" s="27"/>
      <c r="BK795" s="27" t="s">
        <v>76</v>
      </c>
      <c r="BL795" s="44"/>
    </row>
    <row r="796" ht="14.25" customHeight="1">
      <c r="A796" s="26" t="s">
        <v>55</v>
      </c>
      <c r="B796" s="26" t="s">
        <v>56</v>
      </c>
      <c r="C796" s="26" t="s">
        <v>57</v>
      </c>
      <c r="D796" s="26" t="s">
        <v>58</v>
      </c>
      <c r="E796" s="27" t="s">
        <v>2635</v>
      </c>
      <c r="F796" s="28" t="s">
        <v>2636</v>
      </c>
      <c r="G796" s="29">
        <v>45141.0</v>
      </c>
      <c r="H796" s="30">
        <v>45141.0</v>
      </c>
      <c r="I796" s="30">
        <v>45506.0</v>
      </c>
      <c r="J796" s="31">
        <v>0.0</v>
      </c>
      <c r="K796" s="26" t="s">
        <v>455</v>
      </c>
      <c r="L796" s="69">
        <v>44993.0</v>
      </c>
      <c r="M796" s="33">
        <v>7467.94</v>
      </c>
      <c r="N796" s="34">
        <v>7908.56</v>
      </c>
      <c r="O796" s="27" t="s">
        <v>76</v>
      </c>
      <c r="P796" s="35" t="s">
        <v>122</v>
      </c>
      <c r="Q796" s="35" t="s">
        <v>65</v>
      </c>
      <c r="R796" s="36">
        <v>45141.0</v>
      </c>
      <c r="S796" s="35" t="s">
        <v>86</v>
      </c>
      <c r="T796" s="35">
        <v>0.0</v>
      </c>
      <c r="U796" s="37" t="s">
        <v>58</v>
      </c>
      <c r="V796" s="38"/>
      <c r="W796" s="38"/>
      <c r="X796" s="27"/>
      <c r="Y796" s="39"/>
      <c r="Z796" s="39"/>
      <c r="AA796" s="39"/>
      <c r="AB796" s="27"/>
      <c r="AC796" s="27">
        <f t="shared" si="539"/>
        <v>0</v>
      </c>
      <c r="AD796" s="41"/>
      <c r="AE796" s="42"/>
      <c r="AF796" s="27"/>
      <c r="AG796" s="43">
        <f t="shared" si="612"/>
        <v>1915.52661</v>
      </c>
      <c r="AH796" s="29"/>
      <c r="AI796" s="29"/>
      <c r="AJ796" s="29"/>
      <c r="AK796" s="29"/>
      <c r="AL796" s="27"/>
      <c r="AM796" s="44"/>
      <c r="AN796" s="47"/>
      <c r="AO796" s="46"/>
      <c r="AP796" s="47"/>
      <c r="AQ796" s="43">
        <f t="shared" si="610"/>
        <v>0</v>
      </c>
      <c r="AR796" s="43">
        <f t="shared" si="448"/>
        <v>0</v>
      </c>
      <c r="AS796" s="43">
        <f t="shared" si="449"/>
        <v>0</v>
      </c>
      <c r="AT796" s="48">
        <f t="shared" si="450"/>
        <v>0</v>
      </c>
      <c r="AU796" s="49">
        <f t="shared" ref="AU796:AU797" si="615">AQ796-AR796-AS796-AC796-AO796</f>
        <v>0</v>
      </c>
      <c r="AV796" s="48"/>
      <c r="AW796" s="34">
        <f t="shared" si="540"/>
        <v>7908.56</v>
      </c>
      <c r="AX796" s="50">
        <f t="shared" si="413"/>
        <v>1915.52661</v>
      </c>
      <c r="AY796" s="43"/>
      <c r="AZ796" s="47"/>
      <c r="BA796" s="48">
        <f t="shared" si="604"/>
        <v>0</v>
      </c>
      <c r="BB796" s="27"/>
      <c r="BC796" s="27"/>
      <c r="BD796" s="51"/>
      <c r="BE796" s="52"/>
      <c r="BF796" s="27" t="s">
        <v>2635</v>
      </c>
      <c r="BG796" s="53">
        <v>0.0</v>
      </c>
      <c r="BH796" s="53" t="str">
        <f>'[1]2023'!Q1145</f>
        <v>#REF!</v>
      </c>
      <c r="BI796" s="27"/>
      <c r="BJ796" s="27"/>
      <c r="BK796" s="27" t="s">
        <v>76</v>
      </c>
      <c r="BL796" s="27"/>
    </row>
    <row r="797" ht="14.25" customHeight="1">
      <c r="A797" s="26" t="s">
        <v>55</v>
      </c>
      <c r="B797" s="26" t="s">
        <v>56</v>
      </c>
      <c r="C797" s="26" t="s">
        <v>57</v>
      </c>
      <c r="D797" s="26" t="s">
        <v>81</v>
      </c>
      <c r="E797" s="27" t="s">
        <v>2637</v>
      </c>
      <c r="F797" s="28" t="s">
        <v>2638</v>
      </c>
      <c r="G797" s="182">
        <v>45141.0</v>
      </c>
      <c r="H797" s="30">
        <v>45141.0</v>
      </c>
      <c r="I797" s="30">
        <v>45506.0</v>
      </c>
      <c r="J797" s="31" t="s">
        <v>2639</v>
      </c>
      <c r="K797" s="26" t="s">
        <v>455</v>
      </c>
      <c r="L797" s="183" t="s">
        <v>63</v>
      </c>
      <c r="M797" s="33">
        <v>35400.0</v>
      </c>
      <c r="N797" s="34">
        <v>37809.6</v>
      </c>
      <c r="O797" s="27" t="s">
        <v>76</v>
      </c>
      <c r="P797" s="35" t="s">
        <v>142</v>
      </c>
      <c r="Q797" s="35" t="s">
        <v>108</v>
      </c>
      <c r="R797" s="36">
        <v>45141.0</v>
      </c>
      <c r="S797" s="35" t="s">
        <v>86</v>
      </c>
      <c r="T797" s="35">
        <v>0.0</v>
      </c>
      <c r="U797" s="37" t="s">
        <v>67</v>
      </c>
      <c r="V797" s="38">
        <v>1500000.0</v>
      </c>
      <c r="W797" s="78" t="s">
        <v>2640</v>
      </c>
      <c r="X797" s="27">
        <v>2022.0</v>
      </c>
      <c r="Y797" s="79" t="s">
        <v>2641</v>
      </c>
      <c r="Z797" s="79" t="s">
        <v>208</v>
      </c>
      <c r="AA797" s="39"/>
      <c r="AB797" s="27"/>
      <c r="AC797" s="27">
        <f t="shared" si="539"/>
        <v>0</v>
      </c>
      <c r="AD797" s="41">
        <f>IF(AND(S797="0",O797="Paid"),(M797*15%)-AC797,0)</f>
        <v>5310</v>
      </c>
      <c r="AE797" s="42"/>
      <c r="AF797" s="29">
        <v>45057.0</v>
      </c>
      <c r="AG797" s="43">
        <f t="shared" si="612"/>
        <v>9080.1</v>
      </c>
      <c r="AH797" s="29"/>
      <c r="AI797" s="29"/>
      <c r="AJ797" s="29"/>
      <c r="AK797" s="29"/>
      <c r="AL797" s="27"/>
      <c r="AM797" s="44"/>
      <c r="AN797" s="47"/>
      <c r="AO797" s="46"/>
      <c r="AP797" s="47"/>
      <c r="AQ797" s="43">
        <f t="shared" si="610"/>
        <v>9558</v>
      </c>
      <c r="AR797" s="43">
        <f t="shared" si="448"/>
        <v>477.9</v>
      </c>
      <c r="AS797" s="43">
        <f t="shared" si="449"/>
        <v>1672.65</v>
      </c>
      <c r="AT797" s="48">
        <f t="shared" si="450"/>
        <v>7407.45</v>
      </c>
      <c r="AU797" s="49">
        <f t="shared" si="615"/>
        <v>7407.45</v>
      </c>
      <c r="AV797" s="48"/>
      <c r="AW797" s="34">
        <f t="shared" si="540"/>
        <v>32499.6</v>
      </c>
      <c r="AX797" s="50">
        <f t="shared" si="413"/>
        <v>2097.45</v>
      </c>
      <c r="AY797" s="43"/>
      <c r="AZ797" s="47"/>
      <c r="BA797" s="48">
        <f t="shared" si="604"/>
        <v>7407.45</v>
      </c>
      <c r="BB797" s="27"/>
      <c r="BC797" s="27"/>
      <c r="BD797" s="51"/>
      <c r="BE797" s="52"/>
      <c r="BF797" s="27"/>
      <c r="BG797" s="53">
        <v>0.0</v>
      </c>
      <c r="BH797" s="53" t="str">
        <f>'[1]2023'!Q1357</f>
        <v>#REF!</v>
      </c>
      <c r="BI797" s="27"/>
      <c r="BJ797" s="27"/>
      <c r="BK797" s="27" t="s">
        <v>76</v>
      </c>
      <c r="BL797" s="27"/>
    </row>
    <row r="798" ht="14.25" customHeight="1">
      <c r="A798" s="26" t="s">
        <v>55</v>
      </c>
      <c r="B798" s="26" t="s">
        <v>56</v>
      </c>
      <c r="C798" s="26" t="s">
        <v>57</v>
      </c>
      <c r="D798" s="26" t="s">
        <v>81</v>
      </c>
      <c r="E798" s="27" t="s">
        <v>2642</v>
      </c>
      <c r="F798" s="28" t="s">
        <v>2643</v>
      </c>
      <c r="G798" s="29">
        <v>45142.0</v>
      </c>
      <c r="H798" s="30">
        <v>45142.0</v>
      </c>
      <c r="I798" s="30">
        <v>45507.0</v>
      </c>
      <c r="J798" s="31" t="s">
        <v>2644</v>
      </c>
      <c r="K798" s="26" t="s">
        <v>420</v>
      </c>
      <c r="L798" s="32" t="s">
        <v>305</v>
      </c>
      <c r="M798" s="33">
        <v>20650.0</v>
      </c>
      <c r="N798" s="34">
        <v>22009.35</v>
      </c>
      <c r="O798" s="27" t="s">
        <v>76</v>
      </c>
      <c r="P798" s="35" t="s">
        <v>142</v>
      </c>
      <c r="Q798" s="35" t="s">
        <v>90</v>
      </c>
      <c r="R798" s="36">
        <v>45142.0</v>
      </c>
      <c r="S798" s="35" t="s">
        <v>86</v>
      </c>
      <c r="T798" s="35">
        <v>0.0</v>
      </c>
      <c r="U798" s="37" t="s">
        <v>67</v>
      </c>
      <c r="V798" s="38"/>
      <c r="W798" s="38"/>
      <c r="X798" s="27"/>
      <c r="Y798" s="39"/>
      <c r="Z798" s="79" t="s">
        <v>407</v>
      </c>
      <c r="AA798" s="39"/>
      <c r="AB798" s="40"/>
      <c r="AC798" s="27">
        <f t="shared" si="539"/>
        <v>0</v>
      </c>
      <c r="AD798" s="41">
        <f>IF(AND(S798="0",O798="Paid"),M798*15%,0)</f>
        <v>3097.5</v>
      </c>
      <c r="AE798" s="42"/>
      <c r="AF798" s="27" t="s">
        <v>306</v>
      </c>
      <c r="AG798" s="43">
        <f t="shared" si="612"/>
        <v>5296.725</v>
      </c>
      <c r="AH798" s="29"/>
      <c r="AI798" s="29"/>
      <c r="AJ798" s="29"/>
      <c r="AK798" s="29"/>
      <c r="AL798" s="27"/>
      <c r="AM798" s="44"/>
      <c r="AN798" s="47"/>
      <c r="AO798" s="46"/>
      <c r="AP798" s="47"/>
      <c r="AQ798" s="43">
        <f t="shared" si="610"/>
        <v>5575.5</v>
      </c>
      <c r="AR798" s="43">
        <f t="shared" si="448"/>
        <v>278.775</v>
      </c>
      <c r="AS798" s="43">
        <f t="shared" si="449"/>
        <v>975.7125</v>
      </c>
      <c r="AT798" s="48">
        <f t="shared" si="450"/>
        <v>4321.0125</v>
      </c>
      <c r="AU798" s="49">
        <f t="shared" ref="AU798:AU801" si="616">AQ798-AR798-AS798-AC798</f>
        <v>4321.0125</v>
      </c>
      <c r="AV798" s="48"/>
      <c r="AW798" s="82">
        <f t="shared" si="540"/>
        <v>18911.85</v>
      </c>
      <c r="AX798" s="50">
        <f t="shared" si="413"/>
        <v>1223.5125</v>
      </c>
      <c r="AY798" s="43"/>
      <c r="AZ798" s="27"/>
      <c r="BA798" s="48">
        <f t="shared" si="604"/>
        <v>4321.0125</v>
      </c>
      <c r="BB798" s="27"/>
      <c r="BC798" s="27"/>
      <c r="BD798" s="51"/>
      <c r="BE798" s="52"/>
      <c r="BF798" s="27" t="s">
        <v>2642</v>
      </c>
      <c r="BG798" s="53">
        <v>0.0</v>
      </c>
      <c r="BH798" s="53" t="str">
        <f>'[1]2023'!Q370</f>
        <v>#REF!</v>
      </c>
      <c r="BI798" s="27"/>
      <c r="BJ798" s="27"/>
      <c r="BK798" s="27" t="s">
        <v>76</v>
      </c>
      <c r="BL798" s="27"/>
    </row>
    <row r="799" ht="14.25" customHeight="1">
      <c r="A799" s="26" t="s">
        <v>55</v>
      </c>
      <c r="B799" s="26" t="s">
        <v>56</v>
      </c>
      <c r="C799" s="26" t="s">
        <v>57</v>
      </c>
      <c r="D799" s="26" t="s">
        <v>81</v>
      </c>
      <c r="E799" s="27" t="s">
        <v>2645</v>
      </c>
      <c r="F799" s="28" t="s">
        <v>2646</v>
      </c>
      <c r="G799" s="29">
        <v>45142.0</v>
      </c>
      <c r="H799" s="30">
        <v>45142.0</v>
      </c>
      <c r="I799" s="30">
        <v>45507.0</v>
      </c>
      <c r="J799" s="31">
        <v>0.0</v>
      </c>
      <c r="K799" s="26" t="s">
        <v>420</v>
      </c>
      <c r="L799" s="32" t="s">
        <v>63</v>
      </c>
      <c r="M799" s="33">
        <v>0.0</v>
      </c>
      <c r="N799" s="34">
        <v>0.0</v>
      </c>
      <c r="O799" s="27" t="s">
        <v>64</v>
      </c>
      <c r="P799" s="35">
        <v>0.0</v>
      </c>
      <c r="Q799" s="35" t="s">
        <v>90</v>
      </c>
      <c r="R799" s="36">
        <v>45142.0</v>
      </c>
      <c r="S799" s="35" t="s">
        <v>86</v>
      </c>
      <c r="T799" s="35">
        <v>0.0</v>
      </c>
      <c r="U799" s="37" t="s">
        <v>67</v>
      </c>
      <c r="V799" s="38"/>
      <c r="W799" s="38"/>
      <c r="X799" s="27"/>
      <c r="Y799" s="39"/>
      <c r="Z799" s="79" t="s">
        <v>476</v>
      </c>
      <c r="AA799" s="39"/>
      <c r="AB799" s="40"/>
      <c r="AC799" s="27">
        <f t="shared" si="539"/>
        <v>0</v>
      </c>
      <c r="AD799" s="41">
        <f>IF(AND(S799="0",O799="Paid"),(M799*15%)-AC799,0)</f>
        <v>0</v>
      </c>
      <c r="AE799" s="42"/>
      <c r="AF799" s="27"/>
      <c r="AG799" s="43">
        <f t="shared" si="612"/>
        <v>0</v>
      </c>
      <c r="AH799" s="29"/>
      <c r="AI799" s="29"/>
      <c r="AJ799" s="29"/>
      <c r="AK799" s="29"/>
      <c r="AL799" s="27"/>
      <c r="AM799" s="44"/>
      <c r="AN799" s="93"/>
      <c r="AO799" s="46"/>
      <c r="AP799" s="47"/>
      <c r="AQ799" s="43" t="b">
        <f>IF(O799="Paid",IF(U799="Motor Plus",(M799*27%),IF(U799="Motor One",(M799*22%),(IF(U799="Golden",(M799*25%),(IF(U799="Classic",(M799*15%),(IF(U799="Wethaq",(M799*28%),IF(U799="Alwataniya",(M799*21%))*0)))))))))</f>
        <v>0</v>
      </c>
      <c r="AR799" s="43">
        <f t="shared" si="448"/>
        <v>0</v>
      </c>
      <c r="AS799" s="43">
        <f t="shared" si="449"/>
        <v>0</v>
      </c>
      <c r="AT799" s="48">
        <f t="shared" si="450"/>
        <v>0</v>
      </c>
      <c r="AU799" s="49">
        <f t="shared" si="616"/>
        <v>0</v>
      </c>
      <c r="AV799" s="48"/>
      <c r="AW799" s="34">
        <f t="shared" si="540"/>
        <v>0</v>
      </c>
      <c r="AX799" s="50">
        <f t="shared" si="413"/>
        <v>0</v>
      </c>
      <c r="AY799" s="43"/>
      <c r="AZ799" s="43"/>
      <c r="BA799" s="48">
        <f t="shared" si="604"/>
        <v>0</v>
      </c>
      <c r="BB799" s="27"/>
      <c r="BC799" s="27"/>
      <c r="BD799" s="51"/>
      <c r="BE799" s="52"/>
      <c r="BF799" s="27" t="s">
        <v>2645</v>
      </c>
      <c r="BG799" s="53">
        <v>0.0</v>
      </c>
      <c r="BH799" s="53" t="str">
        <f>'[1]2023'!Q486</f>
        <v>#REF!</v>
      </c>
      <c r="BI799" s="27"/>
      <c r="BJ799" s="27"/>
      <c r="BK799" s="27" t="s">
        <v>64</v>
      </c>
      <c r="BL799" s="27"/>
    </row>
    <row r="800" ht="14.25" customHeight="1">
      <c r="A800" s="26" t="s">
        <v>55</v>
      </c>
      <c r="B800" s="26" t="s">
        <v>56</v>
      </c>
      <c r="C800" s="26" t="s">
        <v>57</v>
      </c>
      <c r="D800" s="26" t="s">
        <v>81</v>
      </c>
      <c r="E800" s="27" t="s">
        <v>2647</v>
      </c>
      <c r="F800" s="28" t="s">
        <v>2648</v>
      </c>
      <c r="G800" s="29">
        <v>45142.0</v>
      </c>
      <c r="H800" s="30">
        <v>45142.0</v>
      </c>
      <c r="I800" s="30">
        <v>45507.0</v>
      </c>
      <c r="J800" s="31">
        <v>0.0</v>
      </c>
      <c r="K800" s="26" t="s">
        <v>420</v>
      </c>
      <c r="L800" s="32" t="s">
        <v>75</v>
      </c>
      <c r="M800" s="33">
        <v>28320.0</v>
      </c>
      <c r="N800" s="34">
        <v>30131.88</v>
      </c>
      <c r="O800" s="27" t="s">
        <v>76</v>
      </c>
      <c r="P800" s="35" t="s">
        <v>89</v>
      </c>
      <c r="Q800" s="35" t="s">
        <v>90</v>
      </c>
      <c r="R800" s="36">
        <v>45142.0</v>
      </c>
      <c r="S800" s="35" t="s">
        <v>86</v>
      </c>
      <c r="T800" s="35">
        <v>0.0</v>
      </c>
      <c r="U800" s="37" t="s">
        <v>67</v>
      </c>
      <c r="V800" s="38"/>
      <c r="W800" s="38"/>
      <c r="X800" s="27"/>
      <c r="Y800" s="39"/>
      <c r="Z800" s="79" t="s">
        <v>208</v>
      </c>
      <c r="AA800" s="39"/>
      <c r="AB800" s="40"/>
      <c r="AC800" s="27">
        <f t="shared" si="539"/>
        <v>0</v>
      </c>
      <c r="AD800" s="41">
        <f t="shared" ref="AD800:AD801" si="617">IF(AND(S800="0",O800="Paid"),M800*15%,0)</f>
        <v>4248</v>
      </c>
      <c r="AE800" s="42"/>
      <c r="AF800" s="27"/>
      <c r="AG800" s="43">
        <f t="shared" si="612"/>
        <v>7264.08</v>
      </c>
      <c r="AH800" s="29"/>
      <c r="AI800" s="29"/>
      <c r="AJ800" s="29"/>
      <c r="AK800" s="29"/>
      <c r="AL800" s="27"/>
      <c r="AM800" s="44"/>
      <c r="AN800" s="93"/>
      <c r="AO800" s="46"/>
      <c r="AP800" s="47"/>
      <c r="AQ800" s="43">
        <f t="shared" ref="AQ800:AQ801" si="618">IF(U800="Motor Plus",(M800*27%),IF(U800="Motor One",(M800*22%),(IF(U800="Golden",(M800*25%),(IF(U800="Classic",(M800*15%),(IF(U800="Wethaq",(M800*28%),IF(U800="Alwataniya",(M800*21%))*0))))))))</f>
        <v>7646.4</v>
      </c>
      <c r="AR800" s="43">
        <f t="shared" si="448"/>
        <v>382.32</v>
      </c>
      <c r="AS800" s="43">
        <f t="shared" si="449"/>
        <v>1338.12</v>
      </c>
      <c r="AT800" s="48">
        <f t="shared" si="450"/>
        <v>5925.96</v>
      </c>
      <c r="AU800" s="49">
        <f t="shared" si="616"/>
        <v>5925.96</v>
      </c>
      <c r="AV800" s="48"/>
      <c r="AW800" s="34">
        <f t="shared" si="540"/>
        <v>25883.88</v>
      </c>
      <c r="AX800" s="50">
        <f t="shared" si="413"/>
        <v>1677.96</v>
      </c>
      <c r="AY800" s="43"/>
      <c r="AZ800" s="43"/>
      <c r="BA800" s="48">
        <f t="shared" si="604"/>
        <v>5925.96</v>
      </c>
      <c r="BB800" s="27"/>
      <c r="BC800" s="27"/>
      <c r="BD800" s="51"/>
      <c r="BE800" s="52"/>
      <c r="BF800" s="27" t="s">
        <v>2647</v>
      </c>
      <c r="BG800" s="53">
        <v>0.0</v>
      </c>
      <c r="BH800" s="53" t="str">
        <f>'[1]2023'!Q490</f>
        <v>#REF!</v>
      </c>
      <c r="BI800" s="27"/>
      <c r="BJ800" s="27"/>
      <c r="BK800" s="27" t="s">
        <v>76</v>
      </c>
      <c r="BL800" s="27"/>
    </row>
    <row r="801" ht="14.25" customHeight="1">
      <c r="A801" s="26" t="s">
        <v>55</v>
      </c>
      <c r="B801" s="26" t="s">
        <v>56</v>
      </c>
      <c r="C801" s="26" t="s">
        <v>57</v>
      </c>
      <c r="D801" s="26" t="s">
        <v>81</v>
      </c>
      <c r="E801" s="27" t="s">
        <v>2649</v>
      </c>
      <c r="F801" s="28" t="s">
        <v>2650</v>
      </c>
      <c r="G801" s="29">
        <v>45143.0</v>
      </c>
      <c r="H801" s="30">
        <v>45143.0</v>
      </c>
      <c r="I801" s="30">
        <v>45508.0</v>
      </c>
      <c r="J801" s="31">
        <v>0.0</v>
      </c>
      <c r="K801" s="26" t="s">
        <v>427</v>
      </c>
      <c r="L801" s="32" t="s">
        <v>75</v>
      </c>
      <c r="M801" s="33">
        <v>14868.75</v>
      </c>
      <c r="N801" s="34">
        <v>15887.01</v>
      </c>
      <c r="O801" s="27" t="s">
        <v>76</v>
      </c>
      <c r="P801" s="35" t="s">
        <v>122</v>
      </c>
      <c r="Q801" s="35" t="s">
        <v>90</v>
      </c>
      <c r="R801" s="36">
        <v>45143.0</v>
      </c>
      <c r="S801" s="35" t="s">
        <v>86</v>
      </c>
      <c r="T801" s="35">
        <v>0.0</v>
      </c>
      <c r="U801" s="37" t="s">
        <v>67</v>
      </c>
      <c r="V801" s="38"/>
      <c r="W801" s="38"/>
      <c r="X801" s="27"/>
      <c r="Y801" s="39"/>
      <c r="Z801" s="79" t="s">
        <v>764</v>
      </c>
      <c r="AA801" s="39"/>
      <c r="AB801" s="40"/>
      <c r="AC801" s="27">
        <f t="shared" si="539"/>
        <v>0</v>
      </c>
      <c r="AD801" s="41">
        <f t="shared" si="617"/>
        <v>2230.3125</v>
      </c>
      <c r="AE801" s="42"/>
      <c r="AF801" s="27"/>
      <c r="AG801" s="43">
        <f t="shared" si="612"/>
        <v>3813.834375</v>
      </c>
      <c r="AH801" s="29"/>
      <c r="AI801" s="29"/>
      <c r="AJ801" s="29"/>
      <c r="AK801" s="29"/>
      <c r="AL801" s="27"/>
      <c r="AM801" s="44"/>
      <c r="AN801" s="93"/>
      <c r="AO801" s="46"/>
      <c r="AP801" s="47"/>
      <c r="AQ801" s="43">
        <f t="shared" si="618"/>
        <v>4014.5625</v>
      </c>
      <c r="AR801" s="43">
        <f t="shared" si="448"/>
        <v>200.728125</v>
      </c>
      <c r="AS801" s="43">
        <f t="shared" si="449"/>
        <v>702.5484375</v>
      </c>
      <c r="AT801" s="48">
        <f t="shared" si="450"/>
        <v>3111.285938</v>
      </c>
      <c r="AU801" s="49">
        <f t="shared" si="616"/>
        <v>3111.285938</v>
      </c>
      <c r="AV801" s="48"/>
      <c r="AW801" s="34">
        <f t="shared" si="540"/>
        <v>13656.6975</v>
      </c>
      <c r="AX801" s="50">
        <f t="shared" si="413"/>
        <v>880.9734375</v>
      </c>
      <c r="AY801" s="43"/>
      <c r="AZ801" s="43"/>
      <c r="BA801" s="48">
        <f t="shared" si="604"/>
        <v>3111.285938</v>
      </c>
      <c r="BB801" s="27"/>
      <c r="BC801" s="27"/>
      <c r="BD801" s="51"/>
      <c r="BE801" s="52"/>
      <c r="BF801" s="27" t="s">
        <v>2649</v>
      </c>
      <c r="BG801" s="53">
        <v>0.0</v>
      </c>
      <c r="BH801" s="53" t="str">
        <f>'[1]2023'!Q552</f>
        <v>#REF!</v>
      </c>
      <c r="BI801" s="27"/>
      <c r="BJ801" s="27"/>
      <c r="BK801" s="27" t="s">
        <v>76</v>
      </c>
      <c r="BL801" s="27"/>
    </row>
    <row r="802" ht="14.25" customHeight="1">
      <c r="A802" s="26" t="s">
        <v>55</v>
      </c>
      <c r="B802" s="26" t="s">
        <v>56</v>
      </c>
      <c r="C802" s="26" t="s">
        <v>57</v>
      </c>
      <c r="D802" s="26" t="s">
        <v>71</v>
      </c>
      <c r="E802" s="27" t="s">
        <v>2651</v>
      </c>
      <c r="F802" s="28" t="s">
        <v>2652</v>
      </c>
      <c r="G802" s="29">
        <v>45143.0</v>
      </c>
      <c r="H802" s="30">
        <v>45143.0</v>
      </c>
      <c r="I802" s="30">
        <v>45508.0</v>
      </c>
      <c r="J802" s="31" t="s">
        <v>2653</v>
      </c>
      <c r="K802" s="26" t="s">
        <v>427</v>
      </c>
      <c r="L802" s="69">
        <v>45143.0</v>
      </c>
      <c r="M802" s="33">
        <v>23075.0</v>
      </c>
      <c r="N802" s="34">
        <v>24579.43</v>
      </c>
      <c r="O802" s="27" t="s">
        <v>76</v>
      </c>
      <c r="P802" s="35" t="s">
        <v>430</v>
      </c>
      <c r="Q802" s="35" t="s">
        <v>65</v>
      </c>
      <c r="R802" s="36">
        <v>45143.0</v>
      </c>
      <c r="S802" s="35" t="s">
        <v>1103</v>
      </c>
      <c r="T802" s="54" t="s">
        <v>1385</v>
      </c>
      <c r="U802" s="37" t="s">
        <v>67</v>
      </c>
      <c r="V802" s="38">
        <v>710000.0</v>
      </c>
      <c r="W802" s="78"/>
      <c r="X802" s="27">
        <v>2022.0</v>
      </c>
      <c r="Y802" s="39"/>
      <c r="Z802" s="79" t="s">
        <v>558</v>
      </c>
      <c r="AA802" s="39"/>
      <c r="AB802" s="40">
        <v>0.05</v>
      </c>
      <c r="AC802" s="27">
        <v>1300.0</v>
      </c>
      <c r="AD802" s="41"/>
      <c r="AE802" s="42"/>
      <c r="AF802" s="27"/>
      <c r="AG802" s="43">
        <f t="shared" si="612"/>
        <v>5918.7375</v>
      </c>
      <c r="AH802" s="29"/>
      <c r="AI802" s="29"/>
      <c r="AJ802" s="29"/>
      <c r="AK802" s="29"/>
      <c r="AL802" s="27"/>
      <c r="AM802" s="49">
        <f>(AQ802-AR802-AS802-(M802*15%))*30%</f>
        <v>410.158125</v>
      </c>
      <c r="AN802" s="184">
        <v>45083.0</v>
      </c>
      <c r="AO802" s="46">
        <f>(M802*15%)-AC802</f>
        <v>2161.25</v>
      </c>
      <c r="AP802" s="57">
        <v>45113.0</v>
      </c>
      <c r="AQ802" s="43">
        <f>M802*27%</f>
        <v>6230.25</v>
      </c>
      <c r="AR802" s="43">
        <f t="shared" si="448"/>
        <v>311.5125</v>
      </c>
      <c r="AS802" s="43">
        <f t="shared" si="449"/>
        <v>1090.29375</v>
      </c>
      <c r="AT802" s="48">
        <f t="shared" si="450"/>
        <v>4828.44375</v>
      </c>
      <c r="AU802" s="48">
        <f>AQ802-AR802-AS802</f>
        <v>4828.44375</v>
      </c>
      <c r="AV802" s="133">
        <v>95.0</v>
      </c>
      <c r="AW802" s="34">
        <f t="shared" si="540"/>
        <v>23279.43</v>
      </c>
      <c r="AX802" s="50">
        <f t="shared" si="413"/>
        <v>2162.035625</v>
      </c>
      <c r="AY802" s="43"/>
      <c r="AZ802" s="43"/>
      <c r="BA802" s="48">
        <f t="shared" si="604"/>
        <v>2257.035625</v>
      </c>
      <c r="BB802" s="27"/>
      <c r="BC802" s="27"/>
      <c r="BD802" s="51"/>
      <c r="BE802" s="52"/>
      <c r="BF802" s="27" t="s">
        <v>2651</v>
      </c>
      <c r="BG802" s="58" t="s">
        <v>2654</v>
      </c>
      <c r="BH802" s="53" t="str">
        <f>'[1]2023'!Q601</f>
        <v>#REF!</v>
      </c>
      <c r="BI802" s="27"/>
      <c r="BJ802" s="27"/>
      <c r="BK802" s="27" t="s">
        <v>76</v>
      </c>
      <c r="BL802" s="27"/>
    </row>
    <row r="803" ht="14.25" customHeight="1">
      <c r="A803" s="26" t="s">
        <v>68</v>
      </c>
      <c r="B803" s="26" t="s">
        <v>56</v>
      </c>
      <c r="C803" s="26" t="s">
        <v>57</v>
      </c>
      <c r="D803" s="26" t="s">
        <v>71</v>
      </c>
      <c r="E803" s="27" t="s">
        <v>2655</v>
      </c>
      <c r="F803" s="28" t="s">
        <v>2656</v>
      </c>
      <c r="G803" s="29">
        <v>45143.0</v>
      </c>
      <c r="H803" s="30">
        <v>45143.0</v>
      </c>
      <c r="I803" s="30">
        <v>45508.0</v>
      </c>
      <c r="J803" s="31" t="s">
        <v>2657</v>
      </c>
      <c r="K803" s="26" t="s">
        <v>427</v>
      </c>
      <c r="L803" s="32" t="s">
        <v>63</v>
      </c>
      <c r="M803" s="33">
        <v>8365.59</v>
      </c>
      <c r="N803" s="34">
        <v>9000.0</v>
      </c>
      <c r="O803" s="27" t="s">
        <v>64</v>
      </c>
      <c r="P803" s="35">
        <v>0.0</v>
      </c>
      <c r="Q803" s="35">
        <v>0.0</v>
      </c>
      <c r="R803" s="36">
        <v>45162.0</v>
      </c>
      <c r="S803" s="35" t="s">
        <v>676</v>
      </c>
      <c r="T803" s="35">
        <v>0.0</v>
      </c>
      <c r="U803" s="37">
        <v>0.0</v>
      </c>
      <c r="V803" s="38">
        <v>400000.0</v>
      </c>
      <c r="W803" s="38"/>
      <c r="X803" s="27"/>
      <c r="Y803" s="39"/>
      <c r="Z803" s="79" t="s">
        <v>2658</v>
      </c>
      <c r="AA803" s="39"/>
      <c r="AB803" s="40"/>
      <c r="AC803" s="27">
        <f t="shared" ref="AC803:AC1127" si="619">M803*AB803</f>
        <v>0</v>
      </c>
      <c r="AD803" s="41">
        <f t="shared" ref="AD803:AD805" si="620">IF(AND(S803="0",O803="Paid"),(M803*15%)-AC803,0)</f>
        <v>0</v>
      </c>
      <c r="AE803" s="42"/>
      <c r="AF803" s="27"/>
      <c r="AG803" s="43">
        <f t="shared" ref="AG803:AG804" si="621">IF(O803="Paid",IF(A803="Alwataniya",(M803*21%)-((M803*21%)*5%),IF((A803="GIG"),(M803*25%)-((M803*25%)*5%),IF((A803="Allianz"),(M803*27%)-((M803*27%)*20%),0))),0)</f>
        <v>0</v>
      </c>
      <c r="AH803" s="29"/>
      <c r="AI803" s="29"/>
      <c r="AJ803" s="29"/>
      <c r="AK803" s="29"/>
      <c r="AL803" s="27"/>
      <c r="AM803" s="44"/>
      <c r="AN803" s="93"/>
      <c r="AO803" s="46"/>
      <c r="AP803" s="47"/>
      <c r="AQ803" s="43" t="b">
        <f t="shared" ref="AQ803:AQ804" si="622">IF(O803="Paid",IF(U803="Motor Plus",(M803*27%),IF(U803="Motor One",(M803*22%),(IF(U803="Golden",(M803*25%),(IF(U803="Classic",(M803*15%),(IF(U803="Wethaq",(M803*28%),IF(U803="Alwataniya",(M803*21%))*0)))))))))</f>
        <v>0</v>
      </c>
      <c r="AR803" s="43">
        <f t="shared" si="448"/>
        <v>0</v>
      </c>
      <c r="AS803" s="43">
        <f t="shared" si="449"/>
        <v>0</v>
      </c>
      <c r="AT803" s="48">
        <f t="shared" si="450"/>
        <v>0</v>
      </c>
      <c r="AU803" s="49">
        <f t="shared" ref="AU803:AU812" si="623">AQ803-AR803-AS803-AC803</f>
        <v>0</v>
      </c>
      <c r="AV803" s="48"/>
      <c r="AW803" s="34">
        <f t="shared" si="540"/>
        <v>9000</v>
      </c>
      <c r="AX803" s="50">
        <f t="shared" si="413"/>
        <v>0</v>
      </c>
      <c r="AY803" s="43"/>
      <c r="AZ803" s="43"/>
      <c r="BA803" s="48">
        <f t="shared" si="604"/>
        <v>0</v>
      </c>
      <c r="BB803" s="27"/>
      <c r="BC803" s="27"/>
      <c r="BD803" s="51"/>
      <c r="BE803" s="52"/>
      <c r="BF803" s="27" t="s">
        <v>2655</v>
      </c>
      <c r="BG803" s="53">
        <v>0.0</v>
      </c>
      <c r="BH803" s="53" t="str">
        <f t="shared" ref="BH803:BH804" si="624">'[1]2023'!Q608</f>
        <v>#REF!</v>
      </c>
      <c r="BI803" s="27"/>
      <c r="BJ803" s="27"/>
      <c r="BK803" s="27" t="s">
        <v>64</v>
      </c>
      <c r="BL803" s="27"/>
    </row>
    <row r="804" ht="14.25" customHeight="1">
      <c r="A804" s="26" t="s">
        <v>68</v>
      </c>
      <c r="B804" s="26" t="s">
        <v>56</v>
      </c>
      <c r="C804" s="26" t="s">
        <v>57</v>
      </c>
      <c r="D804" s="26" t="s">
        <v>71</v>
      </c>
      <c r="E804" s="27" t="s">
        <v>2659</v>
      </c>
      <c r="F804" s="28" t="s">
        <v>2660</v>
      </c>
      <c r="G804" s="29">
        <v>45143.0</v>
      </c>
      <c r="H804" s="30">
        <v>45143.0</v>
      </c>
      <c r="I804" s="30">
        <v>45508.0</v>
      </c>
      <c r="J804" s="31" t="s">
        <v>2661</v>
      </c>
      <c r="K804" s="26" t="s">
        <v>427</v>
      </c>
      <c r="L804" s="32" t="s">
        <v>63</v>
      </c>
      <c r="M804" s="33">
        <v>18701.92</v>
      </c>
      <c r="N804" s="34">
        <v>20000.0</v>
      </c>
      <c r="O804" s="27" t="s">
        <v>64</v>
      </c>
      <c r="P804" s="35">
        <v>0.0</v>
      </c>
      <c r="Q804" s="35">
        <v>0.0</v>
      </c>
      <c r="R804" s="36">
        <v>45162.0</v>
      </c>
      <c r="S804" s="35" t="s">
        <v>848</v>
      </c>
      <c r="T804" s="35">
        <v>0.0</v>
      </c>
      <c r="U804" s="37">
        <v>0.0</v>
      </c>
      <c r="V804" s="38">
        <v>1000000.0</v>
      </c>
      <c r="W804" s="38"/>
      <c r="X804" s="27"/>
      <c r="Y804" s="39"/>
      <c r="Z804" s="39" t="s">
        <v>2662</v>
      </c>
      <c r="AA804" s="39"/>
      <c r="AB804" s="40"/>
      <c r="AC804" s="27">
        <f t="shared" si="619"/>
        <v>0</v>
      </c>
      <c r="AD804" s="41">
        <f t="shared" si="620"/>
        <v>0</v>
      </c>
      <c r="AE804" s="42"/>
      <c r="AF804" s="27"/>
      <c r="AG804" s="43">
        <f t="shared" si="621"/>
        <v>0</v>
      </c>
      <c r="AH804" s="29"/>
      <c r="AI804" s="29"/>
      <c r="AJ804" s="29"/>
      <c r="AK804" s="29"/>
      <c r="AL804" s="27"/>
      <c r="AM804" s="44"/>
      <c r="AN804" s="93"/>
      <c r="AO804" s="46"/>
      <c r="AP804" s="47"/>
      <c r="AQ804" s="43" t="b">
        <f t="shared" si="622"/>
        <v>0</v>
      </c>
      <c r="AR804" s="43">
        <f t="shared" si="448"/>
        <v>0</v>
      </c>
      <c r="AS804" s="43">
        <f t="shared" si="449"/>
        <v>0</v>
      </c>
      <c r="AT804" s="48">
        <f t="shared" si="450"/>
        <v>0</v>
      </c>
      <c r="AU804" s="49">
        <f t="shared" si="623"/>
        <v>0</v>
      </c>
      <c r="AV804" s="48"/>
      <c r="AW804" s="34">
        <f t="shared" si="540"/>
        <v>20000</v>
      </c>
      <c r="AX804" s="50">
        <f t="shared" si="413"/>
        <v>0</v>
      </c>
      <c r="AY804" s="43"/>
      <c r="AZ804" s="43"/>
      <c r="BA804" s="48">
        <f t="shared" si="604"/>
        <v>0</v>
      </c>
      <c r="BB804" s="27"/>
      <c r="BC804" s="27"/>
      <c r="BD804" s="51"/>
      <c r="BE804" s="52"/>
      <c r="BF804" s="27" t="s">
        <v>2659</v>
      </c>
      <c r="BG804" s="58" t="s">
        <v>2663</v>
      </c>
      <c r="BH804" s="53" t="str">
        <f t="shared" si="624"/>
        <v>#REF!</v>
      </c>
      <c r="BI804" s="27"/>
      <c r="BJ804" s="27"/>
      <c r="BK804" s="27" t="s">
        <v>64</v>
      </c>
      <c r="BL804" s="27"/>
    </row>
    <row r="805" ht="14.25" customHeight="1">
      <c r="A805" s="26" t="s">
        <v>55</v>
      </c>
      <c r="B805" s="26" t="s">
        <v>56</v>
      </c>
      <c r="C805" s="26" t="s">
        <v>57</v>
      </c>
      <c r="D805" s="26" t="s">
        <v>81</v>
      </c>
      <c r="E805" s="27" t="s">
        <v>2664</v>
      </c>
      <c r="F805" s="28" t="s">
        <v>2665</v>
      </c>
      <c r="G805" s="29">
        <v>45144.0</v>
      </c>
      <c r="H805" s="30">
        <v>45144.0</v>
      </c>
      <c r="I805" s="30">
        <v>45509.0</v>
      </c>
      <c r="J805" s="31">
        <v>0.0</v>
      </c>
      <c r="K805" s="26" t="s">
        <v>440</v>
      </c>
      <c r="L805" s="32" t="s">
        <v>75</v>
      </c>
      <c r="M805" s="33">
        <v>22095.5</v>
      </c>
      <c r="N805" s="34">
        <v>28575.14</v>
      </c>
      <c r="O805" s="27" t="s">
        <v>76</v>
      </c>
      <c r="P805" s="35" t="s">
        <v>430</v>
      </c>
      <c r="Q805" s="35" t="s">
        <v>90</v>
      </c>
      <c r="R805" s="36">
        <v>45144.0</v>
      </c>
      <c r="S805" s="35" t="s">
        <v>86</v>
      </c>
      <c r="T805" s="35">
        <v>0.0</v>
      </c>
      <c r="U805" s="37" t="s">
        <v>67</v>
      </c>
      <c r="V805" s="38"/>
      <c r="W805" s="38"/>
      <c r="X805" s="27"/>
      <c r="Y805" s="39"/>
      <c r="Z805" s="79" t="s">
        <v>208</v>
      </c>
      <c r="AA805" s="39"/>
      <c r="AB805" s="40"/>
      <c r="AC805" s="27">
        <f t="shared" si="619"/>
        <v>0</v>
      </c>
      <c r="AD805" s="41">
        <f t="shared" si="620"/>
        <v>3314.325</v>
      </c>
      <c r="AE805" s="42"/>
      <c r="AF805" s="27"/>
      <c r="AG805" s="43">
        <f t="shared" ref="AG805:AG806" si="625">IF(O805="Paid",IF(A805="Alwataniya",(M805*21%)-((M805*21%)*5%),IF((A805="GIG"),(M805*25%)-((M805*25%)*5%),IF((A805="Allianz"),(M805*27%)-((M805*27%)*5%),0))),0)</f>
        <v>5667.49575</v>
      </c>
      <c r="AH805" s="29"/>
      <c r="AI805" s="29"/>
      <c r="AJ805" s="29"/>
      <c r="AK805" s="29"/>
      <c r="AL805" s="27"/>
      <c r="AM805" s="44"/>
      <c r="AN805" s="93"/>
      <c r="AO805" s="46"/>
      <c r="AP805" s="47"/>
      <c r="AQ805" s="43">
        <f t="shared" ref="AQ805:AQ810" si="626">IF(U805="Motor Plus",(M805*27%),IF(U805="Motor One",(M805*22%),(IF(U805="Golden",(M805*25%),(IF(U805="Classic",(M805*15%),(IF(U805="Wethaq",(M805*28%),IF(U805="Alwataniya",(M805*21%))*0))))))))</f>
        <v>5965.785</v>
      </c>
      <c r="AR805" s="43">
        <f t="shared" si="448"/>
        <v>298.28925</v>
      </c>
      <c r="AS805" s="43">
        <f t="shared" si="449"/>
        <v>1044.012375</v>
      </c>
      <c r="AT805" s="48">
        <f t="shared" si="450"/>
        <v>4623.483375</v>
      </c>
      <c r="AU805" s="49">
        <f t="shared" si="623"/>
        <v>4623.483375</v>
      </c>
      <c r="AV805" s="48"/>
      <c r="AW805" s="34">
        <f t="shared" si="540"/>
        <v>25260.815</v>
      </c>
      <c r="AX805" s="50">
        <f t="shared" si="413"/>
        <v>1309.158375</v>
      </c>
      <c r="AY805" s="43"/>
      <c r="AZ805" s="43"/>
      <c r="BA805" s="48">
        <f t="shared" si="604"/>
        <v>4623.483375</v>
      </c>
      <c r="BB805" s="27"/>
      <c r="BC805" s="27"/>
      <c r="BD805" s="51"/>
      <c r="BE805" s="52"/>
      <c r="BF805" s="27" t="s">
        <v>2664</v>
      </c>
      <c r="BG805" s="53">
        <v>0.0</v>
      </c>
      <c r="BH805" s="53" t="str">
        <f>'[1]2023'!Q638</f>
        <v>#REF!</v>
      </c>
      <c r="BI805" s="27"/>
      <c r="BJ805" s="27"/>
      <c r="BK805" s="27" t="s">
        <v>76</v>
      </c>
      <c r="BL805" s="27"/>
    </row>
    <row r="806" ht="14.25" customHeight="1">
      <c r="A806" s="26" t="s">
        <v>55</v>
      </c>
      <c r="B806" s="26" t="s">
        <v>56</v>
      </c>
      <c r="C806" s="26" t="s">
        <v>57</v>
      </c>
      <c r="D806" s="26" t="s">
        <v>81</v>
      </c>
      <c r="E806" s="27" t="s">
        <v>2666</v>
      </c>
      <c r="F806" s="28" t="s">
        <v>2667</v>
      </c>
      <c r="G806" s="29">
        <v>45144.0</v>
      </c>
      <c r="H806" s="30">
        <v>45144.0</v>
      </c>
      <c r="I806" s="30">
        <v>45509.0</v>
      </c>
      <c r="J806" s="31">
        <v>0.0</v>
      </c>
      <c r="K806" s="26" t="s">
        <v>440</v>
      </c>
      <c r="L806" s="32" t="s">
        <v>75</v>
      </c>
      <c r="M806" s="33">
        <v>21175.0</v>
      </c>
      <c r="N806" s="34">
        <v>22565.33</v>
      </c>
      <c r="O806" s="27" t="s">
        <v>76</v>
      </c>
      <c r="P806" s="35" t="s">
        <v>89</v>
      </c>
      <c r="Q806" s="35" t="s">
        <v>108</v>
      </c>
      <c r="R806" s="36">
        <v>45144.0</v>
      </c>
      <c r="S806" s="35" t="s">
        <v>86</v>
      </c>
      <c r="T806" s="35">
        <v>0.0</v>
      </c>
      <c r="U806" s="37" t="s">
        <v>67</v>
      </c>
      <c r="V806" s="38"/>
      <c r="W806" s="38"/>
      <c r="X806" s="27"/>
      <c r="Y806" s="39"/>
      <c r="Z806" s="39"/>
      <c r="AA806" s="39"/>
      <c r="AB806" s="40"/>
      <c r="AC806" s="27">
        <f t="shared" si="619"/>
        <v>0</v>
      </c>
      <c r="AD806" s="41">
        <f>IF(AND(S806="0",O806="Paid"),M806*15%,0)</f>
        <v>3176.25</v>
      </c>
      <c r="AE806" s="42"/>
      <c r="AF806" s="27" t="s">
        <v>305</v>
      </c>
      <c r="AG806" s="43">
        <f t="shared" si="625"/>
        <v>5431.3875</v>
      </c>
      <c r="AH806" s="29"/>
      <c r="AI806" s="29"/>
      <c r="AJ806" s="29"/>
      <c r="AK806" s="29"/>
      <c r="AL806" s="27"/>
      <c r="AM806" s="44"/>
      <c r="AN806" s="63"/>
      <c r="AO806" s="46"/>
      <c r="AP806" s="47"/>
      <c r="AQ806" s="43">
        <f t="shared" si="626"/>
        <v>5717.25</v>
      </c>
      <c r="AR806" s="43">
        <f t="shared" si="448"/>
        <v>285.8625</v>
      </c>
      <c r="AS806" s="43">
        <f t="shared" si="449"/>
        <v>1000.51875</v>
      </c>
      <c r="AT806" s="48">
        <f t="shared" si="450"/>
        <v>4430.86875</v>
      </c>
      <c r="AU806" s="49">
        <f t="shared" si="623"/>
        <v>4430.86875</v>
      </c>
      <c r="AV806" s="48"/>
      <c r="AW806" s="34">
        <f t="shared" si="540"/>
        <v>19389.08</v>
      </c>
      <c r="AX806" s="50">
        <f t="shared" si="413"/>
        <v>1254.61875</v>
      </c>
      <c r="AY806" s="43"/>
      <c r="AZ806" s="43"/>
      <c r="BA806" s="48">
        <f t="shared" si="604"/>
        <v>4430.86875</v>
      </c>
      <c r="BB806" s="27"/>
      <c r="BC806" s="27"/>
      <c r="BD806" s="51"/>
      <c r="BE806" s="52"/>
      <c r="BF806" s="27" t="s">
        <v>2666</v>
      </c>
      <c r="BG806" s="53">
        <v>0.0</v>
      </c>
      <c r="BH806" s="53" t="str">
        <f>'[1]2023'!Q763</f>
        <v>#REF!</v>
      </c>
      <c r="BI806" s="27"/>
      <c r="BJ806" s="27"/>
      <c r="BK806" s="27" t="s">
        <v>76</v>
      </c>
      <c r="BL806" s="27"/>
    </row>
    <row r="807" ht="14.25" customHeight="1">
      <c r="A807" s="26" t="s">
        <v>111</v>
      </c>
      <c r="B807" s="26" t="s">
        <v>56</v>
      </c>
      <c r="C807" s="26" t="s">
        <v>57</v>
      </c>
      <c r="D807" s="26" t="s">
        <v>71</v>
      </c>
      <c r="E807" s="27" t="s">
        <v>2668</v>
      </c>
      <c r="F807" s="28" t="s">
        <v>2669</v>
      </c>
      <c r="G807" s="29">
        <v>45144.0</v>
      </c>
      <c r="H807" s="30">
        <v>45144.0</v>
      </c>
      <c r="I807" s="30">
        <v>45509.0</v>
      </c>
      <c r="J807" s="31" t="s">
        <v>2670</v>
      </c>
      <c r="K807" s="26" t="s">
        <v>440</v>
      </c>
      <c r="L807" s="32" t="s">
        <v>75</v>
      </c>
      <c r="M807" s="33">
        <v>12053.07</v>
      </c>
      <c r="N807" s="34">
        <v>13020.0</v>
      </c>
      <c r="O807" s="27" t="s">
        <v>76</v>
      </c>
      <c r="P807" s="35" t="s">
        <v>430</v>
      </c>
      <c r="Q807" s="35" t="s">
        <v>114</v>
      </c>
      <c r="R807" s="36">
        <v>45153.0</v>
      </c>
      <c r="S807" s="35" t="s">
        <v>78</v>
      </c>
      <c r="T807" s="54" t="s">
        <v>1271</v>
      </c>
      <c r="U807" s="37" t="s">
        <v>149</v>
      </c>
      <c r="V807" s="38">
        <v>600000.0</v>
      </c>
      <c r="W807" s="38"/>
      <c r="X807" s="27"/>
      <c r="Y807" s="39"/>
      <c r="Z807" s="79" t="s">
        <v>2671</v>
      </c>
      <c r="AA807" s="39"/>
      <c r="AB807" s="40"/>
      <c r="AC807" s="27">
        <f t="shared" si="619"/>
        <v>0</v>
      </c>
      <c r="AD807" s="41"/>
      <c r="AE807" s="42"/>
      <c r="AF807" s="27"/>
      <c r="AG807" s="43">
        <f>IF(AND(O807="Paid",A807="GIG"),((M807*15%)-(((M807*15%)*5%))),0)</f>
        <v>1717.562475</v>
      </c>
      <c r="AH807" s="29" t="s">
        <v>901</v>
      </c>
      <c r="AI807" s="29" t="s">
        <v>902</v>
      </c>
      <c r="AJ807" s="40"/>
      <c r="AK807" s="62" t="s">
        <v>63</v>
      </c>
      <c r="AL807" s="27"/>
      <c r="AM807" s="44"/>
      <c r="AN807" s="63"/>
      <c r="AO807" s="46">
        <f>(M807*8%)-AC807</f>
        <v>964.2456</v>
      </c>
      <c r="AP807" s="63" t="s">
        <v>2017</v>
      </c>
      <c r="AQ807" s="43">
        <f t="shared" si="626"/>
        <v>1807.9605</v>
      </c>
      <c r="AR807" s="43">
        <f t="shared" si="448"/>
        <v>90.398025</v>
      </c>
      <c r="AS807" s="43">
        <f t="shared" si="449"/>
        <v>316.3930875</v>
      </c>
      <c r="AT807" s="48">
        <f t="shared" si="450"/>
        <v>1401.169388</v>
      </c>
      <c r="AU807" s="49">
        <f t="shared" si="623"/>
        <v>1401.169388</v>
      </c>
      <c r="AV807" s="48"/>
      <c r="AW807" s="34">
        <f t="shared" si="540"/>
        <v>13020</v>
      </c>
      <c r="AX807" s="50">
        <f t="shared" si="413"/>
        <v>436.9237875</v>
      </c>
      <c r="AY807" s="43"/>
      <c r="AZ807" s="43"/>
      <c r="BA807" s="48">
        <f t="shared" si="604"/>
        <v>436.9237875</v>
      </c>
      <c r="BB807" s="27"/>
      <c r="BC807" s="27"/>
      <c r="BD807" s="51"/>
      <c r="BE807" s="52"/>
      <c r="BF807" s="27" t="s">
        <v>2672</v>
      </c>
      <c r="BG807" s="53">
        <v>0.0</v>
      </c>
      <c r="BH807" s="53" t="str">
        <f>'[1]2023'!Q797</f>
        <v>#REF!</v>
      </c>
      <c r="BI807" s="27"/>
      <c r="BJ807" s="27"/>
      <c r="BK807" s="27" t="s">
        <v>76</v>
      </c>
      <c r="BL807" s="27"/>
    </row>
    <row r="808" ht="14.25" customHeight="1">
      <c r="A808" s="26" t="s">
        <v>55</v>
      </c>
      <c r="B808" s="26" t="s">
        <v>56</v>
      </c>
      <c r="C808" s="26" t="s">
        <v>57</v>
      </c>
      <c r="D808" s="26" t="s">
        <v>58</v>
      </c>
      <c r="E808" s="27" t="s">
        <v>2673</v>
      </c>
      <c r="F808" s="28" t="s">
        <v>2674</v>
      </c>
      <c r="G808" s="29">
        <v>45144.0</v>
      </c>
      <c r="H808" s="30">
        <v>45144.0</v>
      </c>
      <c r="I808" s="30">
        <v>45509.0</v>
      </c>
      <c r="J808" s="31">
        <v>0.0</v>
      </c>
      <c r="K808" s="26" t="s">
        <v>440</v>
      </c>
      <c r="L808" s="32" t="s">
        <v>1498</v>
      </c>
      <c r="M808" s="33">
        <v>19338.28</v>
      </c>
      <c r="N808" s="34">
        <v>20479.24</v>
      </c>
      <c r="O808" s="27" t="s">
        <v>76</v>
      </c>
      <c r="P808" s="35" t="s">
        <v>77</v>
      </c>
      <c r="Q808" s="35" t="s">
        <v>65</v>
      </c>
      <c r="R808" s="36">
        <v>45144.0</v>
      </c>
      <c r="S808" s="35" t="s">
        <v>86</v>
      </c>
      <c r="T808" s="35">
        <v>0.0</v>
      </c>
      <c r="U808" s="37" t="s">
        <v>157</v>
      </c>
      <c r="V808" s="38"/>
      <c r="W808" s="38"/>
      <c r="X808" s="27"/>
      <c r="Y808" s="39"/>
      <c r="Z808" s="39"/>
      <c r="AA808" s="39"/>
      <c r="AB808" s="40"/>
      <c r="AC808" s="27">
        <f t="shared" si="619"/>
        <v>0</v>
      </c>
      <c r="AD808" s="41"/>
      <c r="AE808" s="42"/>
      <c r="AF808" s="27"/>
      <c r="AG808" s="43">
        <f t="shared" ref="AG808:AG810" si="627">IF(O808="Paid",IF(A808="Alwataniya",(M808*21%)-((M808*21%)*5%),IF((A808="GIG"),(M808*25%)-((M808*25%)*5%),IF((A808="Allianz"),(M808*27%)-((M808*27%)*5%),0))),0)</f>
        <v>4960.26882</v>
      </c>
      <c r="AH808" s="29"/>
      <c r="AI808" s="29"/>
      <c r="AJ808" s="29"/>
      <c r="AK808" s="29"/>
      <c r="AL808" s="27"/>
      <c r="AM808" s="44"/>
      <c r="AN808" s="63"/>
      <c r="AO808" s="46"/>
      <c r="AP808" s="47"/>
      <c r="AQ808" s="43">
        <f t="shared" si="626"/>
        <v>4254.4216</v>
      </c>
      <c r="AR808" s="43">
        <f t="shared" si="448"/>
        <v>212.72108</v>
      </c>
      <c r="AS808" s="43">
        <f t="shared" si="449"/>
        <v>744.52378</v>
      </c>
      <c r="AT808" s="48">
        <f t="shared" si="450"/>
        <v>3297.17674</v>
      </c>
      <c r="AU808" s="49">
        <f t="shared" si="623"/>
        <v>3297.17674</v>
      </c>
      <c r="AV808" s="48"/>
      <c r="AW808" s="34">
        <f t="shared" si="540"/>
        <v>20479.24</v>
      </c>
      <c r="AX808" s="50">
        <f t="shared" si="413"/>
        <v>4215.74504</v>
      </c>
      <c r="AY808" s="43"/>
      <c r="AZ808" s="43"/>
      <c r="BA808" s="48">
        <f t="shared" si="604"/>
        <v>3297.17674</v>
      </c>
      <c r="BB808" s="27"/>
      <c r="BC808" s="27"/>
      <c r="BD808" s="51"/>
      <c r="BE808" s="52"/>
      <c r="BF808" s="27" t="s">
        <v>2673</v>
      </c>
      <c r="BG808" s="53">
        <v>0.0</v>
      </c>
      <c r="BH808" s="53" t="str">
        <f>'[1]2023'!Q803</f>
        <v>#REF!</v>
      </c>
      <c r="BI808" s="27"/>
      <c r="BJ808" s="27"/>
      <c r="BK808" s="27" t="s">
        <v>76</v>
      </c>
      <c r="BL808" s="64" t="s">
        <v>1499</v>
      </c>
    </row>
    <row r="809" ht="14.25" customHeight="1">
      <c r="A809" s="26" t="s">
        <v>55</v>
      </c>
      <c r="B809" s="26" t="s">
        <v>56</v>
      </c>
      <c r="C809" s="26" t="s">
        <v>57</v>
      </c>
      <c r="D809" s="26" t="s">
        <v>58</v>
      </c>
      <c r="E809" s="27" t="s">
        <v>2675</v>
      </c>
      <c r="F809" s="28" t="s">
        <v>2676</v>
      </c>
      <c r="G809" s="29">
        <v>45144.0</v>
      </c>
      <c r="H809" s="30">
        <v>45144.0</v>
      </c>
      <c r="I809" s="30">
        <v>45509.0</v>
      </c>
      <c r="J809" s="31">
        <v>0.0</v>
      </c>
      <c r="K809" s="26" t="s">
        <v>440</v>
      </c>
      <c r="L809" s="32" t="s">
        <v>75</v>
      </c>
      <c r="M809" s="33">
        <v>12315.81</v>
      </c>
      <c r="N809" s="34">
        <v>13045.0</v>
      </c>
      <c r="O809" s="27" t="s">
        <v>76</v>
      </c>
      <c r="P809" s="35" t="s">
        <v>430</v>
      </c>
      <c r="Q809" s="35" t="s">
        <v>108</v>
      </c>
      <c r="R809" s="36">
        <v>45144.0</v>
      </c>
      <c r="S809" s="35" t="s">
        <v>86</v>
      </c>
      <c r="T809" s="35">
        <v>0.0</v>
      </c>
      <c r="U809" s="37" t="s">
        <v>67</v>
      </c>
      <c r="V809" s="38"/>
      <c r="W809" s="38"/>
      <c r="X809" s="27"/>
      <c r="Y809" s="39"/>
      <c r="Z809" s="39"/>
      <c r="AA809" s="39"/>
      <c r="AB809" s="40"/>
      <c r="AC809" s="27">
        <f t="shared" si="619"/>
        <v>0</v>
      </c>
      <c r="AD809" s="41">
        <f>IF(AND(S809="0",O809="Paid"),M809*15%,0)</f>
        <v>1847.3715</v>
      </c>
      <c r="AE809" s="42"/>
      <c r="AF809" s="77"/>
      <c r="AG809" s="43">
        <f t="shared" si="627"/>
        <v>3159.005265</v>
      </c>
      <c r="AH809" s="29"/>
      <c r="AI809" s="29"/>
      <c r="AJ809" s="29"/>
      <c r="AK809" s="29"/>
      <c r="AL809" s="27"/>
      <c r="AM809" s="44"/>
      <c r="AN809" s="63"/>
      <c r="AO809" s="46"/>
      <c r="AP809" s="47"/>
      <c r="AQ809" s="43">
        <f t="shared" si="626"/>
        <v>3325.2687</v>
      </c>
      <c r="AR809" s="43">
        <f t="shared" si="448"/>
        <v>166.263435</v>
      </c>
      <c r="AS809" s="43">
        <f t="shared" si="449"/>
        <v>581.9220225</v>
      </c>
      <c r="AT809" s="48">
        <f t="shared" si="450"/>
        <v>2577.083243</v>
      </c>
      <c r="AU809" s="49">
        <f t="shared" si="623"/>
        <v>2577.083243</v>
      </c>
      <c r="AV809" s="48"/>
      <c r="AW809" s="34">
        <f t="shared" si="540"/>
        <v>11197.6285</v>
      </c>
      <c r="AX809" s="50">
        <f t="shared" si="413"/>
        <v>729.7117425</v>
      </c>
      <c r="AY809" s="43"/>
      <c r="AZ809" s="43"/>
      <c r="BA809" s="48">
        <f t="shared" si="604"/>
        <v>2577.083243</v>
      </c>
      <c r="BB809" s="27"/>
      <c r="BC809" s="27"/>
      <c r="BD809" s="51"/>
      <c r="BE809" s="52"/>
      <c r="BF809" s="27" t="s">
        <v>2677</v>
      </c>
      <c r="BG809" s="53">
        <v>0.0</v>
      </c>
      <c r="BH809" s="53" t="str">
        <f>'[1]2023'!Q829</f>
        <v>#REF!</v>
      </c>
      <c r="BI809" s="27"/>
      <c r="BJ809" s="27"/>
      <c r="BK809" s="27" t="s">
        <v>76</v>
      </c>
      <c r="BL809" s="27"/>
    </row>
    <row r="810" ht="14.25" customHeight="1">
      <c r="A810" s="26" t="s">
        <v>55</v>
      </c>
      <c r="B810" s="26" t="s">
        <v>56</v>
      </c>
      <c r="C810" s="26" t="s">
        <v>57</v>
      </c>
      <c r="D810" s="26" t="s">
        <v>81</v>
      </c>
      <c r="E810" s="27" t="s">
        <v>2678</v>
      </c>
      <c r="F810" s="28" t="s">
        <v>2679</v>
      </c>
      <c r="G810" s="29">
        <v>45144.0</v>
      </c>
      <c r="H810" s="30">
        <v>45144.0</v>
      </c>
      <c r="I810" s="30">
        <v>45509.0</v>
      </c>
      <c r="J810" s="31">
        <v>0.0</v>
      </c>
      <c r="K810" s="26" t="s">
        <v>440</v>
      </c>
      <c r="L810" s="32" t="s">
        <v>75</v>
      </c>
      <c r="M810" s="33">
        <v>23600.0</v>
      </c>
      <c r="N810" s="34">
        <v>25133.4</v>
      </c>
      <c r="O810" s="27" t="s">
        <v>76</v>
      </c>
      <c r="P810" s="35" t="s">
        <v>430</v>
      </c>
      <c r="Q810" s="35" t="s">
        <v>90</v>
      </c>
      <c r="R810" s="36">
        <v>45144.0</v>
      </c>
      <c r="S810" s="35" t="s">
        <v>86</v>
      </c>
      <c r="T810" s="35">
        <v>0.0</v>
      </c>
      <c r="U810" s="37" t="s">
        <v>67</v>
      </c>
      <c r="V810" s="38"/>
      <c r="W810" s="38"/>
      <c r="X810" s="27"/>
      <c r="Y810" s="39"/>
      <c r="Z810" s="79" t="s">
        <v>232</v>
      </c>
      <c r="AA810" s="39"/>
      <c r="AB810" s="40"/>
      <c r="AC810" s="27">
        <f t="shared" si="619"/>
        <v>0</v>
      </c>
      <c r="AD810" s="41">
        <f>IF(AND(S810="0",O810="Paid"),(M810*15%)-AC810,0)</f>
        <v>3540</v>
      </c>
      <c r="AE810" s="42"/>
      <c r="AF810" s="27"/>
      <c r="AG810" s="43">
        <f t="shared" si="627"/>
        <v>6053.4</v>
      </c>
      <c r="AH810" s="29"/>
      <c r="AI810" s="29"/>
      <c r="AJ810" s="29"/>
      <c r="AK810" s="29"/>
      <c r="AL810" s="27"/>
      <c r="AM810" s="44"/>
      <c r="AN810" s="63"/>
      <c r="AO810" s="46"/>
      <c r="AP810" s="47"/>
      <c r="AQ810" s="43">
        <f t="shared" si="626"/>
        <v>6372</v>
      </c>
      <c r="AR810" s="43">
        <f t="shared" si="448"/>
        <v>318.6</v>
      </c>
      <c r="AS810" s="43">
        <f t="shared" si="449"/>
        <v>1115.1</v>
      </c>
      <c r="AT810" s="48">
        <f t="shared" si="450"/>
        <v>4938.3</v>
      </c>
      <c r="AU810" s="49">
        <f t="shared" si="623"/>
        <v>4938.3</v>
      </c>
      <c r="AV810" s="48"/>
      <c r="AW810" s="34">
        <f t="shared" si="540"/>
        <v>21593.4</v>
      </c>
      <c r="AX810" s="50">
        <f t="shared" si="413"/>
        <v>1398.3</v>
      </c>
      <c r="AY810" s="43"/>
      <c r="AZ810" s="43"/>
      <c r="BA810" s="48">
        <f t="shared" si="604"/>
        <v>4938.3</v>
      </c>
      <c r="BB810" s="27"/>
      <c r="BC810" s="27"/>
      <c r="BD810" s="51"/>
      <c r="BE810" s="52"/>
      <c r="BF810" s="27" t="s">
        <v>2678</v>
      </c>
      <c r="BG810" s="53">
        <v>0.0</v>
      </c>
      <c r="BH810" s="53" t="str">
        <f>'[1]2023'!Q840</f>
        <v>#REF!</v>
      </c>
      <c r="BI810" s="27"/>
      <c r="BJ810" s="27"/>
      <c r="BK810" s="27" t="s">
        <v>76</v>
      </c>
      <c r="BL810" s="158"/>
    </row>
    <row r="811" ht="14.25" customHeight="1">
      <c r="A811" s="26" t="s">
        <v>1634</v>
      </c>
      <c r="B811" s="26" t="s">
        <v>69</v>
      </c>
      <c r="C811" s="26" t="s">
        <v>70</v>
      </c>
      <c r="D811" s="26" t="s">
        <v>71</v>
      </c>
      <c r="E811" s="27" t="s">
        <v>2680</v>
      </c>
      <c r="F811" s="26" t="s">
        <v>2310</v>
      </c>
      <c r="G811" s="29">
        <v>45144.0</v>
      </c>
      <c r="H811" s="30">
        <v>45144.0</v>
      </c>
      <c r="I811" s="30">
        <v>45509.0</v>
      </c>
      <c r="J811" s="31">
        <v>0.0</v>
      </c>
      <c r="K811" s="26" t="s">
        <v>440</v>
      </c>
      <c r="L811" s="69">
        <v>45144.0</v>
      </c>
      <c r="M811" s="153">
        <v>962.0</v>
      </c>
      <c r="N811" s="154">
        <v>10790.0</v>
      </c>
      <c r="O811" s="27" t="s">
        <v>76</v>
      </c>
      <c r="P811" s="35" t="s">
        <v>77</v>
      </c>
      <c r="Q811" s="35">
        <v>0.0</v>
      </c>
      <c r="R811" s="36">
        <v>45144.0</v>
      </c>
      <c r="S811" s="35" t="s">
        <v>78</v>
      </c>
      <c r="T811" s="54" t="s">
        <v>79</v>
      </c>
      <c r="U811" s="37" t="s">
        <v>69</v>
      </c>
      <c r="V811" s="38"/>
      <c r="W811" s="38"/>
      <c r="X811" s="27"/>
      <c r="Y811" s="39"/>
      <c r="Z811" s="39"/>
      <c r="AA811" s="39"/>
      <c r="AB811" s="40"/>
      <c r="AC811" s="27">
        <f t="shared" si="619"/>
        <v>0</v>
      </c>
      <c r="AD811" s="41"/>
      <c r="AE811" s="42"/>
      <c r="AF811" s="27"/>
      <c r="AG811" s="43">
        <f>IF(O811="Paid",IF(A811="Egyptian",(M811*19.5%)-((M811*19.5%)*5%)))</f>
        <v>178.2105</v>
      </c>
      <c r="AH811" s="29" t="s">
        <v>1107</v>
      </c>
      <c r="AI811" s="29"/>
      <c r="AJ811" s="40">
        <v>0.195</v>
      </c>
      <c r="AK811" s="29">
        <v>45085.0</v>
      </c>
      <c r="AL811" s="27"/>
      <c r="AM811" s="44"/>
      <c r="AN811" s="56"/>
      <c r="AO811" s="46">
        <f>((M811*AJ811)-((M811*AJ811)*22.5%))*80%</f>
        <v>116.3058</v>
      </c>
      <c r="AP811" s="57" t="s">
        <v>1980</v>
      </c>
      <c r="AQ811" s="43">
        <f>M811*AJ811</f>
        <v>187.59</v>
      </c>
      <c r="AR811" s="43">
        <f t="shared" si="448"/>
        <v>9.3795</v>
      </c>
      <c r="AS811" s="43">
        <f t="shared" si="449"/>
        <v>32.82825</v>
      </c>
      <c r="AT811" s="48">
        <f t="shared" si="450"/>
        <v>145.38225</v>
      </c>
      <c r="AU811" s="49">
        <f t="shared" si="623"/>
        <v>145.38225</v>
      </c>
      <c r="AV811" s="48"/>
      <c r="AW811" s="34">
        <f t="shared" si="540"/>
        <v>10790</v>
      </c>
      <c r="AX811" s="50">
        <f t="shared" si="413"/>
        <v>29.07645</v>
      </c>
      <c r="AY811" s="43"/>
      <c r="AZ811" s="43"/>
      <c r="BA811" s="48" t="str">
        <f>IF(S811&lt;&gt;0,AU811-#REF!-AM811,(AG811-AD811-AE811-AS811))</f>
        <v>#REF!</v>
      </c>
      <c r="BB811" s="27"/>
      <c r="BC811" s="27"/>
      <c r="BD811" s="51"/>
      <c r="BE811" s="52"/>
      <c r="BF811" s="27" t="s">
        <v>2680</v>
      </c>
      <c r="BG811" s="58" t="s">
        <v>2681</v>
      </c>
      <c r="BH811" s="53" t="str">
        <f>'[1]2023'!Q849</f>
        <v>#REF!</v>
      </c>
      <c r="BI811" s="27"/>
      <c r="BJ811" s="27"/>
      <c r="BK811" s="27" t="s">
        <v>76</v>
      </c>
      <c r="BL811" s="185" t="s">
        <v>2682</v>
      </c>
    </row>
    <row r="812" ht="14.25" customHeight="1">
      <c r="A812" s="26" t="s">
        <v>55</v>
      </c>
      <c r="B812" s="26" t="s">
        <v>56</v>
      </c>
      <c r="C812" s="26" t="s">
        <v>57</v>
      </c>
      <c r="D812" s="26" t="s">
        <v>81</v>
      </c>
      <c r="E812" s="27" t="s">
        <v>2683</v>
      </c>
      <c r="F812" s="28" t="s">
        <v>2684</v>
      </c>
      <c r="G812" s="29">
        <v>45145.0</v>
      </c>
      <c r="H812" s="30">
        <v>45145.0</v>
      </c>
      <c r="I812" s="30">
        <v>45510.0</v>
      </c>
      <c r="J812" s="31">
        <v>0.0</v>
      </c>
      <c r="K812" s="26" t="s">
        <v>887</v>
      </c>
      <c r="L812" s="32" t="s">
        <v>75</v>
      </c>
      <c r="M812" s="33">
        <v>23010.0</v>
      </c>
      <c r="N812" s="34">
        <v>24508.59</v>
      </c>
      <c r="O812" s="27" t="s">
        <v>76</v>
      </c>
      <c r="P812" s="35" t="s">
        <v>122</v>
      </c>
      <c r="Q812" s="35" t="s">
        <v>65</v>
      </c>
      <c r="R812" s="36">
        <v>45145.0</v>
      </c>
      <c r="S812" s="35" t="s">
        <v>86</v>
      </c>
      <c r="T812" s="35">
        <v>0.0</v>
      </c>
      <c r="U812" s="37" t="s">
        <v>67</v>
      </c>
      <c r="V812" s="38"/>
      <c r="W812" s="38"/>
      <c r="X812" s="27"/>
      <c r="Y812" s="39"/>
      <c r="Z812" s="39"/>
      <c r="AA812" s="39"/>
      <c r="AB812" s="40"/>
      <c r="AC812" s="27">
        <f t="shared" si="619"/>
        <v>0</v>
      </c>
      <c r="AD812" s="41"/>
      <c r="AE812" s="42"/>
      <c r="AF812" s="27"/>
      <c r="AG812" s="43">
        <f t="shared" ref="AG812:AG813" si="628">IF(O812="Paid",IF(A812="Alwataniya",(M812*21%)-((M812*21%)*5%),IF((A812="GIG"),(M812*25%)-((M812*25%)*5%),IF((A812="Allianz"),(M812*27%)-((M812*27%)*5%),0))),0)</f>
        <v>5902.065</v>
      </c>
      <c r="AH812" s="29"/>
      <c r="AI812" s="29"/>
      <c r="AJ812" s="29"/>
      <c r="AK812" s="29"/>
      <c r="AL812" s="27"/>
      <c r="AM812" s="44"/>
      <c r="AN812" s="47"/>
      <c r="AO812" s="46">
        <f>IF(T812&lt;&gt;0,M812*15%,0)</f>
        <v>0</v>
      </c>
      <c r="AP812" s="47"/>
      <c r="AQ812" s="43">
        <f t="shared" ref="AQ812:AQ817" si="629">IF(U812="Motor Plus",(M812*27%),IF(U812="Motor One",(M812*22%),(IF(U812="Golden",(M812*25%),(IF(U812="Classic",(M812*15%),(IF(U812="Wethaq",(M812*28%),IF(U812="Alwataniya",(M812*21%))*0))))))))</f>
        <v>6212.7</v>
      </c>
      <c r="AR812" s="43">
        <f t="shared" si="448"/>
        <v>310.635</v>
      </c>
      <c r="AS812" s="43">
        <f t="shared" si="449"/>
        <v>1087.2225</v>
      </c>
      <c r="AT812" s="48">
        <f t="shared" si="450"/>
        <v>4814.8425</v>
      </c>
      <c r="AU812" s="49">
        <f t="shared" si="623"/>
        <v>4814.8425</v>
      </c>
      <c r="AV812" s="48"/>
      <c r="AW812" s="34">
        <f t="shared" si="540"/>
        <v>24508.59</v>
      </c>
      <c r="AX812" s="50">
        <f t="shared" si="413"/>
        <v>4814.8425</v>
      </c>
      <c r="AY812" s="43">
        <f>IF(T812&lt;&gt;0,(AU812-AO812),0)*30%</f>
        <v>0</v>
      </c>
      <c r="AZ812" s="43"/>
      <c r="BA812" s="48">
        <f t="shared" ref="BA812:BA813" si="630">IF(S812&lt;&gt;0,AU812-AO812-AM812,(AG812-AD812-AE812-AS812))</f>
        <v>4814.8425</v>
      </c>
      <c r="BB812" s="27"/>
      <c r="BC812" s="27"/>
      <c r="BD812" s="51"/>
      <c r="BE812" s="52"/>
      <c r="BF812" s="27" t="s">
        <v>2685</v>
      </c>
      <c r="BG812" s="53">
        <v>0.0</v>
      </c>
      <c r="BH812" s="53" t="str">
        <f>'[1]2023'!Q905</f>
        <v>#REF!</v>
      </c>
      <c r="BI812" s="27"/>
      <c r="BJ812" s="27"/>
      <c r="BK812" s="27" t="s">
        <v>76</v>
      </c>
      <c r="BL812" s="44"/>
    </row>
    <row r="813" ht="14.25" customHeight="1">
      <c r="A813" s="26" t="s">
        <v>55</v>
      </c>
      <c r="B813" s="26" t="s">
        <v>56</v>
      </c>
      <c r="C813" s="26" t="s">
        <v>57</v>
      </c>
      <c r="D813" s="26" t="s">
        <v>81</v>
      </c>
      <c r="E813" s="27" t="s">
        <v>2686</v>
      </c>
      <c r="F813" s="28" t="s">
        <v>2687</v>
      </c>
      <c r="G813" s="29">
        <v>45145.0</v>
      </c>
      <c r="H813" s="30">
        <v>45145.0</v>
      </c>
      <c r="I813" s="30">
        <v>45510.0</v>
      </c>
      <c r="J813" s="31" t="s">
        <v>2688</v>
      </c>
      <c r="K813" s="26" t="s">
        <v>455</v>
      </c>
      <c r="L813" s="32" t="s">
        <v>2554</v>
      </c>
      <c r="M813" s="33">
        <f>3581*4</f>
        <v>14324</v>
      </c>
      <c r="N813" s="34">
        <f>3933.28+3792.28*3</f>
        <v>15310.12</v>
      </c>
      <c r="O813" s="27" t="s">
        <v>76</v>
      </c>
      <c r="P813" s="35" t="s">
        <v>95</v>
      </c>
      <c r="Q813" s="35" t="s">
        <v>65</v>
      </c>
      <c r="R813" s="36">
        <v>45145.0</v>
      </c>
      <c r="S813" s="35" t="s">
        <v>86</v>
      </c>
      <c r="T813" s="35">
        <v>0.0</v>
      </c>
      <c r="U813" s="37" t="s">
        <v>67</v>
      </c>
      <c r="V813" s="38"/>
      <c r="W813" s="38"/>
      <c r="X813" s="27"/>
      <c r="Y813" s="39"/>
      <c r="Z813" s="39"/>
      <c r="AA813" s="39"/>
      <c r="AB813" s="40"/>
      <c r="AC813" s="27">
        <f t="shared" si="619"/>
        <v>0</v>
      </c>
      <c r="AD813" s="41"/>
      <c r="AE813" s="42"/>
      <c r="AF813" s="27"/>
      <c r="AG813" s="43">
        <f t="shared" si="628"/>
        <v>3674.106</v>
      </c>
      <c r="AH813" s="29"/>
      <c r="AI813" s="29"/>
      <c r="AJ813" s="29"/>
      <c r="AK813" s="29"/>
      <c r="AL813" s="27"/>
      <c r="AM813" s="27"/>
      <c r="AN813" s="47"/>
      <c r="AO813" s="76"/>
      <c r="AP813" s="47"/>
      <c r="AQ813" s="43">
        <f t="shared" si="629"/>
        <v>3867.48</v>
      </c>
      <c r="AR813" s="43">
        <f t="shared" si="448"/>
        <v>193.374</v>
      </c>
      <c r="AS813" s="43">
        <f t="shared" si="449"/>
        <v>676.809</v>
      </c>
      <c r="AT813" s="48">
        <f t="shared" si="450"/>
        <v>2997.297</v>
      </c>
      <c r="AU813" s="49">
        <f>AQ813-AR813-AS813-AC813-AO813</f>
        <v>2997.297</v>
      </c>
      <c r="AV813" s="48"/>
      <c r="AW813" s="34">
        <f t="shared" si="540"/>
        <v>15310.12</v>
      </c>
      <c r="AX813" s="50">
        <f t="shared" si="413"/>
        <v>2997.297</v>
      </c>
      <c r="AY813" s="43"/>
      <c r="AZ813" s="47"/>
      <c r="BA813" s="48">
        <f t="shared" si="630"/>
        <v>2997.297</v>
      </c>
      <c r="BB813" s="27"/>
      <c r="BC813" s="27"/>
      <c r="BD813" s="51"/>
      <c r="BE813" s="52"/>
      <c r="BF813" s="27" t="s">
        <v>2686</v>
      </c>
      <c r="BG813" s="58" t="s">
        <v>2689</v>
      </c>
      <c r="BH813" s="53" t="str">
        <f>'[1]2023'!Q1071</f>
        <v>#REF!</v>
      </c>
      <c r="BI813" s="27"/>
      <c r="BJ813" s="27"/>
      <c r="BK813" s="27" t="s">
        <v>76</v>
      </c>
      <c r="BL813" s="27"/>
    </row>
    <row r="814" ht="14.25" customHeight="1">
      <c r="A814" s="26" t="s">
        <v>68</v>
      </c>
      <c r="B814" s="26" t="s">
        <v>56</v>
      </c>
      <c r="C814" s="26" t="s">
        <v>57</v>
      </c>
      <c r="D814" s="26" t="s">
        <v>71</v>
      </c>
      <c r="E814" s="27" t="s">
        <v>2690</v>
      </c>
      <c r="F814" s="28" t="s">
        <v>2691</v>
      </c>
      <c r="G814" s="29">
        <v>45146.0</v>
      </c>
      <c r="H814" s="30">
        <v>45146.0</v>
      </c>
      <c r="I814" s="30">
        <v>45511.0</v>
      </c>
      <c r="J814" s="31" t="s">
        <v>2692</v>
      </c>
      <c r="K814" s="26" t="s">
        <v>455</v>
      </c>
      <c r="L814" s="32" t="s">
        <v>483</v>
      </c>
      <c r="M814" s="33">
        <v>18601.37</v>
      </c>
      <c r="N814" s="34">
        <v>20000.0</v>
      </c>
      <c r="O814" s="27" t="s">
        <v>76</v>
      </c>
      <c r="P814" s="35" t="s">
        <v>162</v>
      </c>
      <c r="Q814" s="35">
        <v>0.0</v>
      </c>
      <c r="R814" s="36">
        <v>45165.0</v>
      </c>
      <c r="S814" s="35" t="s">
        <v>78</v>
      </c>
      <c r="T814" s="54" t="s">
        <v>510</v>
      </c>
      <c r="U814" s="37" t="s">
        <v>68</v>
      </c>
      <c r="V814" s="38">
        <v>1000000.0</v>
      </c>
      <c r="W814" s="38"/>
      <c r="X814" s="27"/>
      <c r="Y814" s="39"/>
      <c r="Z814" s="39" t="s">
        <v>2693</v>
      </c>
      <c r="AA814" s="39"/>
      <c r="AB814" s="40"/>
      <c r="AC814" s="27">
        <f t="shared" si="619"/>
        <v>0</v>
      </c>
      <c r="AD814" s="41"/>
      <c r="AE814" s="42"/>
      <c r="AF814" s="27"/>
      <c r="AG814" s="43">
        <f>M814*28%-((M814*28%)*5%)</f>
        <v>4947.96442</v>
      </c>
      <c r="AH814" s="29">
        <v>44994.0</v>
      </c>
      <c r="AI814" s="29" t="s">
        <v>1324</v>
      </c>
      <c r="AJ814" s="55">
        <v>0.28</v>
      </c>
      <c r="AK814" s="29" t="s">
        <v>1325</v>
      </c>
      <c r="AL814" s="27"/>
      <c r="AM814" s="44"/>
      <c r="AN814" s="104"/>
      <c r="AO814" s="95">
        <f>M814*AJ814-((M814*AJ814)*22.5%)</f>
        <v>4036.49729</v>
      </c>
      <c r="AP814" s="47" t="s">
        <v>2569</v>
      </c>
      <c r="AQ814" s="43">
        <f t="shared" si="629"/>
        <v>5208.3836</v>
      </c>
      <c r="AR814" s="43">
        <f t="shared" si="448"/>
        <v>260.41918</v>
      </c>
      <c r="AS814" s="43">
        <f t="shared" si="449"/>
        <v>911.46713</v>
      </c>
      <c r="AT814" s="48">
        <f t="shared" si="450"/>
        <v>4036.49729</v>
      </c>
      <c r="AU814" s="49" t="str">
        <f>AQ814-AR814-AS814-AC814-#REF!</f>
        <v>#REF!</v>
      </c>
      <c r="AV814" s="48"/>
      <c r="AW814" s="34">
        <f t="shared" si="540"/>
        <v>20000</v>
      </c>
      <c r="AX814" s="50">
        <f t="shared" si="413"/>
        <v>0</v>
      </c>
      <c r="AY814" s="43"/>
      <c r="AZ814" s="47"/>
      <c r="BA814" s="48" t="str">
        <f>IF(S814&lt;&gt;0,AU814-#REF!-AM814,(AG814-AD814-AE814-AS814))</f>
        <v>#REF!</v>
      </c>
      <c r="BB814" s="27"/>
      <c r="BC814" s="27"/>
      <c r="BD814" s="51"/>
      <c r="BE814" s="52"/>
      <c r="BF814" s="27" t="s">
        <v>2690</v>
      </c>
      <c r="BG814" s="58" t="s">
        <v>562</v>
      </c>
      <c r="BH814" s="53" t="str">
        <f t="shared" ref="BH814:BH816" si="631">'[1]2023'!Q1053</f>
        <v>#REF!</v>
      </c>
      <c r="BI814" s="27"/>
      <c r="BJ814" s="27"/>
      <c r="BK814" s="27" t="s">
        <v>76</v>
      </c>
      <c r="BL814" s="27"/>
    </row>
    <row r="815" ht="14.25" customHeight="1">
      <c r="A815" s="26" t="s">
        <v>55</v>
      </c>
      <c r="B815" s="26" t="s">
        <v>56</v>
      </c>
      <c r="C815" s="26" t="s">
        <v>57</v>
      </c>
      <c r="D815" s="26" t="s">
        <v>81</v>
      </c>
      <c r="E815" s="27" t="s">
        <v>2694</v>
      </c>
      <c r="F815" s="28" t="s">
        <v>2695</v>
      </c>
      <c r="G815" s="29">
        <v>45146.0</v>
      </c>
      <c r="H815" s="30">
        <v>45146.0</v>
      </c>
      <c r="I815" s="30">
        <v>45511.0</v>
      </c>
      <c r="J815" s="31">
        <v>0.0</v>
      </c>
      <c r="K815" s="26" t="s">
        <v>455</v>
      </c>
      <c r="L815" s="32" t="s">
        <v>75</v>
      </c>
      <c r="M815" s="33">
        <v>18636.63</v>
      </c>
      <c r="N815" s="34">
        <v>19879.19</v>
      </c>
      <c r="O815" s="27" t="s">
        <v>76</v>
      </c>
      <c r="P815" s="35" t="s">
        <v>430</v>
      </c>
      <c r="Q815" s="35" t="s">
        <v>90</v>
      </c>
      <c r="R815" s="36">
        <v>45146.0</v>
      </c>
      <c r="S815" s="35" t="s">
        <v>86</v>
      </c>
      <c r="T815" s="35">
        <v>0.0</v>
      </c>
      <c r="U815" s="37" t="s">
        <v>67</v>
      </c>
      <c r="V815" s="38"/>
      <c r="W815" s="38"/>
      <c r="X815" s="27"/>
      <c r="Y815" s="39"/>
      <c r="Z815" s="79" t="s">
        <v>232</v>
      </c>
      <c r="AA815" s="39"/>
      <c r="AB815" s="40"/>
      <c r="AC815" s="27">
        <f t="shared" si="619"/>
        <v>0</v>
      </c>
      <c r="AD815" s="41">
        <f t="shared" ref="AD815:AD816" si="632">IF(AND(S815="0",O815="Paid"),(M815*15%)-AC815,0)</f>
        <v>2795.4945</v>
      </c>
      <c r="AE815" s="42"/>
      <c r="AF815" s="27"/>
      <c r="AG815" s="43">
        <f>IF(O815="Paid",IF(A815="Alwataniya",(M815*21%)-((M815*21%)*5%),IF((A815="GIG"),(M815*25%)-((M815*25%)*5%),IF((A815="Allianz"),(M815*27%)-((M815*27%)*5%),0))),0)</f>
        <v>4780.295595</v>
      </c>
      <c r="AH815" s="29"/>
      <c r="AI815" s="29"/>
      <c r="AJ815" s="29"/>
      <c r="AK815" s="29"/>
      <c r="AL815" s="27"/>
      <c r="AM815" s="44"/>
      <c r="AN815" s="47"/>
      <c r="AO815" s="46"/>
      <c r="AP815" s="47"/>
      <c r="AQ815" s="43">
        <f t="shared" si="629"/>
        <v>5031.8901</v>
      </c>
      <c r="AR815" s="43">
        <f t="shared" si="448"/>
        <v>251.594505</v>
      </c>
      <c r="AS815" s="43">
        <f t="shared" si="449"/>
        <v>880.5807675</v>
      </c>
      <c r="AT815" s="48">
        <f t="shared" si="450"/>
        <v>3899.714828</v>
      </c>
      <c r="AU815" s="49">
        <f t="shared" ref="AU815:AU825" si="633">AQ815-AR815-AS815-AC815-AO815</f>
        <v>3899.714828</v>
      </c>
      <c r="AV815" s="48"/>
      <c r="AW815" s="34">
        <f t="shared" si="540"/>
        <v>17083.6955</v>
      </c>
      <c r="AX815" s="50">
        <f t="shared" si="413"/>
        <v>1104.220328</v>
      </c>
      <c r="AY815" s="43"/>
      <c r="AZ815" s="47"/>
      <c r="BA815" s="48">
        <f t="shared" ref="BA815:BA825" si="634">IF(S815&lt;&gt;0,AU815-AO815-AM815,(AG815-AD815-AE815-AS815))</f>
        <v>3899.714828</v>
      </c>
      <c r="BB815" s="27"/>
      <c r="BC815" s="27"/>
      <c r="BD815" s="51"/>
      <c r="BE815" s="52"/>
      <c r="BF815" s="27" t="s">
        <v>2694</v>
      </c>
      <c r="BG815" s="53">
        <v>0.0</v>
      </c>
      <c r="BH815" s="53" t="str">
        <f t="shared" si="631"/>
        <v>#REF!</v>
      </c>
      <c r="BI815" s="27"/>
      <c r="BJ815" s="27"/>
      <c r="BK815" s="27" t="s">
        <v>76</v>
      </c>
      <c r="BL815" s="27"/>
    </row>
    <row r="816" ht="14.25" customHeight="1">
      <c r="A816" s="26" t="s">
        <v>68</v>
      </c>
      <c r="B816" s="26" t="s">
        <v>56</v>
      </c>
      <c r="C816" s="26" t="s">
        <v>57</v>
      </c>
      <c r="D816" s="26" t="s">
        <v>71</v>
      </c>
      <c r="E816" s="27" t="s">
        <v>2696</v>
      </c>
      <c r="F816" s="28" t="s">
        <v>2697</v>
      </c>
      <c r="G816" s="29">
        <v>45146.0</v>
      </c>
      <c r="H816" s="30">
        <v>45146.0</v>
      </c>
      <c r="I816" s="30">
        <v>45511.0</v>
      </c>
      <c r="J816" s="88" t="s">
        <v>461</v>
      </c>
      <c r="K816" s="26" t="s">
        <v>455</v>
      </c>
      <c r="L816" s="32" t="s">
        <v>480</v>
      </c>
      <c r="M816" s="33">
        <v>32915.38</v>
      </c>
      <c r="N816" s="34">
        <v>35200.0</v>
      </c>
      <c r="O816" s="27" t="s">
        <v>76</v>
      </c>
      <c r="P816" s="35" t="s">
        <v>142</v>
      </c>
      <c r="Q816" s="54" t="s">
        <v>462</v>
      </c>
      <c r="R816" s="36">
        <v>45165.0</v>
      </c>
      <c r="S816" s="35" t="s">
        <v>86</v>
      </c>
      <c r="T816" s="35">
        <v>0.0</v>
      </c>
      <c r="U816" s="37" t="s">
        <v>68</v>
      </c>
      <c r="V816" s="38">
        <v>1760000.0</v>
      </c>
      <c r="W816" s="38"/>
      <c r="X816" s="27"/>
      <c r="Y816" s="39"/>
      <c r="Z816" s="79" t="s">
        <v>2698</v>
      </c>
      <c r="AA816" s="39"/>
      <c r="AB816" s="40"/>
      <c r="AC816" s="27">
        <f t="shared" si="619"/>
        <v>0</v>
      </c>
      <c r="AD816" s="41">
        <f t="shared" si="632"/>
        <v>4937.307</v>
      </c>
      <c r="AE816" s="42">
        <v>900.0</v>
      </c>
      <c r="AF816" s="29">
        <v>45177.0</v>
      </c>
      <c r="AG816" s="43">
        <f>M816*28%-(M816*28%)*5%</f>
        <v>8755.49108</v>
      </c>
      <c r="AH816" s="29">
        <v>45086.0</v>
      </c>
      <c r="AI816" s="27" t="s">
        <v>464</v>
      </c>
      <c r="AJ816" s="40">
        <v>0.28</v>
      </c>
      <c r="AK816" s="29" t="s">
        <v>465</v>
      </c>
      <c r="AL816" s="27"/>
      <c r="AM816" s="44"/>
      <c r="AN816" s="47"/>
      <c r="AO816" s="46"/>
      <c r="AP816" s="47"/>
      <c r="AQ816" s="43">
        <f t="shared" si="629"/>
        <v>9216.3064</v>
      </c>
      <c r="AR816" s="43">
        <f t="shared" si="448"/>
        <v>460.81532</v>
      </c>
      <c r="AS816" s="43">
        <f t="shared" si="449"/>
        <v>1612.85362</v>
      </c>
      <c r="AT816" s="48">
        <f t="shared" si="450"/>
        <v>7142.63746</v>
      </c>
      <c r="AU816" s="49">
        <f t="shared" si="633"/>
        <v>7142.63746</v>
      </c>
      <c r="AV816" s="48"/>
      <c r="AW816" s="34">
        <f t="shared" si="540"/>
        <v>29362.693</v>
      </c>
      <c r="AX816" s="50">
        <f t="shared" si="413"/>
        <v>1305.33046</v>
      </c>
      <c r="AY816" s="43"/>
      <c r="AZ816" s="47"/>
      <c r="BA816" s="48">
        <f t="shared" si="634"/>
        <v>7142.63746</v>
      </c>
      <c r="BB816" s="27"/>
      <c r="BC816" s="27"/>
      <c r="BD816" s="51"/>
      <c r="BE816" s="52"/>
      <c r="BF816" s="27" t="s">
        <v>2696</v>
      </c>
      <c r="BG816" s="58" t="s">
        <v>562</v>
      </c>
      <c r="BH816" s="53" t="str">
        <f t="shared" si="631"/>
        <v>#REF!</v>
      </c>
      <c r="BI816" s="27"/>
      <c r="BJ816" s="27"/>
      <c r="BK816" s="27" t="s">
        <v>76</v>
      </c>
      <c r="BL816" s="27"/>
    </row>
    <row r="817" ht="14.25" customHeight="1">
      <c r="A817" s="26" t="s">
        <v>55</v>
      </c>
      <c r="B817" s="26" t="s">
        <v>56</v>
      </c>
      <c r="C817" s="26" t="s">
        <v>57</v>
      </c>
      <c r="D817" s="26" t="s">
        <v>71</v>
      </c>
      <c r="E817" s="27" t="s">
        <v>2699</v>
      </c>
      <c r="F817" s="28" t="s">
        <v>2700</v>
      </c>
      <c r="G817" s="29">
        <v>45146.0</v>
      </c>
      <c r="H817" s="30">
        <v>45146.0</v>
      </c>
      <c r="I817" s="30">
        <v>45511.0</v>
      </c>
      <c r="J817" s="31" t="s">
        <v>2701</v>
      </c>
      <c r="K817" s="26" t="s">
        <v>455</v>
      </c>
      <c r="L817" s="69">
        <v>45207.0</v>
      </c>
      <c r="M817" s="33">
        <v>26125.0</v>
      </c>
      <c r="N817" s="34">
        <v>27938.01</v>
      </c>
      <c r="O817" s="27" t="s">
        <v>76</v>
      </c>
      <c r="P817" s="35" t="s">
        <v>430</v>
      </c>
      <c r="Q817" s="35" t="s">
        <v>65</v>
      </c>
      <c r="R817" s="36">
        <v>45146.0</v>
      </c>
      <c r="S817" s="35" t="s">
        <v>231</v>
      </c>
      <c r="T817" s="35">
        <v>0.0</v>
      </c>
      <c r="U817" s="37" t="s">
        <v>67</v>
      </c>
      <c r="V817" s="38">
        <v>1000000.0</v>
      </c>
      <c r="W817" s="78"/>
      <c r="X817" s="27"/>
      <c r="Y817" s="39"/>
      <c r="Z817" s="79" t="s">
        <v>2702</v>
      </c>
      <c r="AA817" s="39"/>
      <c r="AB817" s="40"/>
      <c r="AC817" s="27">
        <f t="shared" si="619"/>
        <v>0</v>
      </c>
      <c r="AD817" s="41"/>
      <c r="AE817" s="42"/>
      <c r="AF817" s="27"/>
      <c r="AG817" s="43">
        <f>IF(O817="Paid",IF(A817="Alwataniya",(M817*21%)-((M817*21%)*5%),IF((A817="GIG"),(M817*25%)-((M817*25%)*5%),IF((A817="Allianz"),(M817*27%)-((M817*27%)*5%),0))),0)</f>
        <v>6701.0625</v>
      </c>
      <c r="AH817" s="29"/>
      <c r="AI817" s="29"/>
      <c r="AJ817" s="29"/>
      <c r="AK817" s="29"/>
      <c r="AL817" s="27"/>
      <c r="AM817" s="44">
        <f>IF((BD817&lt;=2),AU817*10%,(IF((BD817&lt;=3),AU817*20%,IF((BD817&lt;=4),AU817*20%,IF((BD817&gt;=5),AU817*30%,(IF((BD817="lead"),AU817*30%,0)))))))</f>
        <v>154.790625</v>
      </c>
      <c r="AN817" s="47"/>
      <c r="AO817" s="46">
        <f>M817*15%</f>
        <v>3918.75</v>
      </c>
      <c r="AP817" s="57">
        <v>45086.0</v>
      </c>
      <c r="AQ817" s="43">
        <f t="shared" si="629"/>
        <v>7053.75</v>
      </c>
      <c r="AR817" s="43">
        <f t="shared" si="448"/>
        <v>352.6875</v>
      </c>
      <c r="AS817" s="43">
        <f t="shared" si="449"/>
        <v>1234.40625</v>
      </c>
      <c r="AT817" s="48">
        <f t="shared" si="450"/>
        <v>5466.65625</v>
      </c>
      <c r="AU817" s="49">
        <f t="shared" si="633"/>
        <v>1547.90625</v>
      </c>
      <c r="AV817" s="48"/>
      <c r="AW817" s="34">
        <f t="shared" si="540"/>
        <v>27938.01</v>
      </c>
      <c r="AX817" s="50">
        <f t="shared" si="413"/>
        <v>1393.115625</v>
      </c>
      <c r="AY817" s="43"/>
      <c r="AZ817" s="47"/>
      <c r="BA817" s="48">
        <f t="shared" si="634"/>
        <v>-2525.634375</v>
      </c>
      <c r="BB817" s="27"/>
      <c r="BC817" s="27"/>
      <c r="BD817" s="51"/>
      <c r="BE817" s="52"/>
      <c r="BF817" s="27" t="s">
        <v>2699</v>
      </c>
      <c r="BG817" s="53">
        <v>0.0</v>
      </c>
      <c r="BH817" s="53" t="str">
        <f>'[1]2023'!Q1059</f>
        <v>#REF!</v>
      </c>
      <c r="BI817" s="27"/>
      <c r="BJ817" s="27"/>
      <c r="BK817" s="27" t="s">
        <v>76</v>
      </c>
      <c r="BL817" s="27"/>
    </row>
    <row r="818" ht="14.25" customHeight="1">
      <c r="A818" s="26" t="s">
        <v>181</v>
      </c>
      <c r="B818" s="26" t="s">
        <v>56</v>
      </c>
      <c r="C818" s="26" t="s">
        <v>57</v>
      </c>
      <c r="D818" s="26" t="s">
        <v>71</v>
      </c>
      <c r="E818" s="27" t="s">
        <v>2703</v>
      </c>
      <c r="F818" s="28" t="s">
        <v>2704</v>
      </c>
      <c r="G818" s="29">
        <v>45146.0</v>
      </c>
      <c r="H818" s="30">
        <v>45146.0</v>
      </c>
      <c r="I818" s="30">
        <v>45511.0</v>
      </c>
      <c r="J818" s="31" t="s">
        <v>2705</v>
      </c>
      <c r="K818" s="26" t="s">
        <v>455</v>
      </c>
      <c r="L818" s="69">
        <v>45207.0</v>
      </c>
      <c r="M818" s="33">
        <v>37986.94</v>
      </c>
      <c r="N818" s="34">
        <v>40600.0</v>
      </c>
      <c r="O818" s="27" t="s">
        <v>76</v>
      </c>
      <c r="P818" s="35" t="s">
        <v>89</v>
      </c>
      <c r="Q818" s="35">
        <v>0.0</v>
      </c>
      <c r="R818" s="36">
        <v>45146.0</v>
      </c>
      <c r="S818" s="35" t="s">
        <v>676</v>
      </c>
      <c r="T818" s="35">
        <v>0.0</v>
      </c>
      <c r="U818" s="37" t="s">
        <v>181</v>
      </c>
      <c r="V818" s="38">
        <v>2800000.0</v>
      </c>
      <c r="W818" s="38"/>
      <c r="X818" s="27"/>
      <c r="Y818" s="39"/>
      <c r="Z818" s="79" t="s">
        <v>2706</v>
      </c>
      <c r="AA818" s="39"/>
      <c r="AB818" s="40"/>
      <c r="AC818" s="27">
        <f t="shared" si="619"/>
        <v>0</v>
      </c>
      <c r="AD818" s="41">
        <f t="shared" ref="AD818:AD821" si="635">IF(AND(S818="0",O818="Paid"),(M818*15%)-AC818,0)</f>
        <v>0</v>
      </c>
      <c r="AE818" s="42"/>
      <c r="AF818" s="27"/>
      <c r="AG818" s="43">
        <f t="shared" ref="AG818:AG819" si="636">IF(O818="Paid",IF(A818="Alwataniya",(M818*21%)-((M818*21%)*5%),IF((A818="GIG"),(M818*25%)-((M818*25%)*5%),IF((A818="Allianz"),(M818*27%)-((M818*27%)*20%),0))),0)</f>
        <v>7578.39453</v>
      </c>
      <c r="AH818" s="29" t="s">
        <v>480</v>
      </c>
      <c r="AI818" s="29" t="s">
        <v>2707</v>
      </c>
      <c r="AJ818" s="29"/>
      <c r="AK818" s="29" t="s">
        <v>458</v>
      </c>
      <c r="AL818" s="27"/>
      <c r="AM818" s="44">
        <f t="shared" ref="AM818:AM819" si="637">IF((BD818&lt;=2),AU818*10%,(IF((BD818=3),AU818*20%,IF((BD818=4),AU818*20%,IF((BD818&gt;=5),AU818*30%,(IF((BD818="lead"),AU818*30%,0)))))))</f>
        <v>618.2374485</v>
      </c>
      <c r="AN818" s="57">
        <v>44995.0</v>
      </c>
      <c r="AO818" s="46"/>
      <c r="AP818" s="47"/>
      <c r="AQ818" s="43">
        <f t="shared" ref="AQ818:AQ819" si="638">M818*21%</f>
        <v>7977.2574</v>
      </c>
      <c r="AR818" s="43">
        <f t="shared" si="448"/>
        <v>398.86287</v>
      </c>
      <c r="AS818" s="43">
        <f t="shared" si="449"/>
        <v>1396.020045</v>
      </c>
      <c r="AT818" s="48">
        <f t="shared" si="450"/>
        <v>6182.374485</v>
      </c>
      <c r="AU818" s="49">
        <f t="shared" si="633"/>
        <v>6182.374485</v>
      </c>
      <c r="AV818" s="106">
        <f t="shared" ref="AV818:AV819" si="639">AU818*10%</f>
        <v>618.2374485</v>
      </c>
      <c r="AW818" s="34">
        <f t="shared" si="540"/>
        <v>40600</v>
      </c>
      <c r="AX818" s="50">
        <f t="shared" si="413"/>
        <v>4945.899588</v>
      </c>
      <c r="AY818" s="43"/>
      <c r="AZ818" s="47"/>
      <c r="BA818" s="48">
        <f t="shared" si="634"/>
        <v>5564.137037</v>
      </c>
      <c r="BB818" s="27"/>
      <c r="BC818" s="27"/>
      <c r="BD818" s="51">
        <v>1.0</v>
      </c>
      <c r="BE818" s="52"/>
      <c r="BF818" s="27" t="s">
        <v>2703</v>
      </c>
      <c r="BG818" s="53">
        <v>0.0</v>
      </c>
      <c r="BH818" s="53" t="str">
        <f t="shared" ref="BH818:BH819" si="640">'[1]2023'!Q1061</f>
        <v>#REF!</v>
      </c>
      <c r="BI818" s="27"/>
      <c r="BJ818" s="27"/>
      <c r="BK818" s="27" t="s">
        <v>76</v>
      </c>
      <c r="BL818" s="27"/>
    </row>
    <row r="819" ht="14.25" customHeight="1">
      <c r="A819" s="26" t="s">
        <v>181</v>
      </c>
      <c r="B819" s="26" t="s">
        <v>56</v>
      </c>
      <c r="C819" s="26" t="s">
        <v>57</v>
      </c>
      <c r="D819" s="26" t="s">
        <v>71</v>
      </c>
      <c r="E819" s="27" t="s">
        <v>2708</v>
      </c>
      <c r="F819" s="28" t="s">
        <v>2709</v>
      </c>
      <c r="G819" s="29">
        <v>45146.0</v>
      </c>
      <c r="H819" s="30">
        <v>45146.0</v>
      </c>
      <c r="I819" s="30">
        <v>45511.0</v>
      </c>
      <c r="J819" s="31" t="s">
        <v>2705</v>
      </c>
      <c r="K819" s="26" t="s">
        <v>455</v>
      </c>
      <c r="L819" s="69">
        <v>45207.0</v>
      </c>
      <c r="M819" s="33">
        <v>21088.44</v>
      </c>
      <c r="N819" s="34">
        <v>22620.0</v>
      </c>
      <c r="O819" s="27" t="s">
        <v>76</v>
      </c>
      <c r="P819" s="35" t="s">
        <v>89</v>
      </c>
      <c r="Q819" s="35">
        <v>0.0</v>
      </c>
      <c r="R819" s="36">
        <v>45146.0</v>
      </c>
      <c r="S819" s="35" t="s">
        <v>676</v>
      </c>
      <c r="T819" s="35">
        <v>0.0</v>
      </c>
      <c r="U819" s="37" t="s">
        <v>181</v>
      </c>
      <c r="V819" s="38">
        <v>1300000.0</v>
      </c>
      <c r="W819" s="38"/>
      <c r="X819" s="27"/>
      <c r="Y819" s="39"/>
      <c r="Z819" s="79" t="s">
        <v>2706</v>
      </c>
      <c r="AA819" s="39"/>
      <c r="AB819" s="40"/>
      <c r="AC819" s="27">
        <f t="shared" si="619"/>
        <v>0</v>
      </c>
      <c r="AD819" s="41">
        <f t="shared" si="635"/>
        <v>0</v>
      </c>
      <c r="AE819" s="42"/>
      <c r="AF819" s="27"/>
      <c r="AG819" s="43">
        <f t="shared" si="636"/>
        <v>4207.14378</v>
      </c>
      <c r="AH819" s="29" t="s">
        <v>480</v>
      </c>
      <c r="AI819" s="29" t="s">
        <v>2707</v>
      </c>
      <c r="AJ819" s="29"/>
      <c r="AK819" s="29" t="s">
        <v>458</v>
      </c>
      <c r="AL819" s="27"/>
      <c r="AM819" s="44">
        <f t="shared" si="637"/>
        <v>343.214361</v>
      </c>
      <c r="AN819" s="57">
        <v>44995.0</v>
      </c>
      <c r="AO819" s="46"/>
      <c r="AP819" s="47"/>
      <c r="AQ819" s="43">
        <f t="shared" si="638"/>
        <v>4428.5724</v>
      </c>
      <c r="AR819" s="43">
        <f t="shared" si="448"/>
        <v>221.42862</v>
      </c>
      <c r="AS819" s="43">
        <f t="shared" si="449"/>
        <v>775.00017</v>
      </c>
      <c r="AT819" s="48">
        <f t="shared" si="450"/>
        <v>3432.14361</v>
      </c>
      <c r="AU819" s="49">
        <f t="shared" si="633"/>
        <v>3432.14361</v>
      </c>
      <c r="AV819" s="106">
        <f t="shared" si="639"/>
        <v>343.214361</v>
      </c>
      <c r="AW819" s="34">
        <f t="shared" si="540"/>
        <v>22620</v>
      </c>
      <c r="AX819" s="50">
        <f t="shared" si="413"/>
        <v>2745.714888</v>
      </c>
      <c r="AY819" s="43"/>
      <c r="AZ819" s="47"/>
      <c r="BA819" s="48">
        <f t="shared" si="634"/>
        <v>3088.929249</v>
      </c>
      <c r="BB819" s="27"/>
      <c r="BC819" s="27"/>
      <c r="BD819" s="51">
        <v>1.0</v>
      </c>
      <c r="BE819" s="52"/>
      <c r="BF819" s="27" t="s">
        <v>2708</v>
      </c>
      <c r="BG819" s="53">
        <v>0.0</v>
      </c>
      <c r="BH819" s="53" t="str">
        <f t="shared" si="640"/>
        <v>#REF!</v>
      </c>
      <c r="BI819" s="27"/>
      <c r="BJ819" s="27"/>
      <c r="BK819" s="27" t="s">
        <v>76</v>
      </c>
      <c r="BL819" s="27"/>
    </row>
    <row r="820" ht="14.25" customHeight="1">
      <c r="A820" s="26" t="s">
        <v>55</v>
      </c>
      <c r="B820" s="26" t="s">
        <v>56</v>
      </c>
      <c r="C820" s="26" t="s">
        <v>57</v>
      </c>
      <c r="D820" s="26" t="s">
        <v>58</v>
      </c>
      <c r="E820" s="27" t="s">
        <v>2710</v>
      </c>
      <c r="F820" s="28" t="s">
        <v>1101</v>
      </c>
      <c r="G820" s="29">
        <v>45146.0</v>
      </c>
      <c r="H820" s="30">
        <v>45146.0</v>
      </c>
      <c r="I820" s="30">
        <v>45511.0</v>
      </c>
      <c r="J820" s="31">
        <v>0.0</v>
      </c>
      <c r="K820" s="26" t="s">
        <v>455</v>
      </c>
      <c r="L820" s="89">
        <v>45147.0</v>
      </c>
      <c r="M820" s="33">
        <v>1556.98</v>
      </c>
      <c r="N820" s="34">
        <v>1648.84</v>
      </c>
      <c r="O820" s="27" t="s">
        <v>76</v>
      </c>
      <c r="P820" s="35" t="s">
        <v>122</v>
      </c>
      <c r="Q820" s="35">
        <v>0.0</v>
      </c>
      <c r="R820" s="36">
        <v>45146.0</v>
      </c>
      <c r="S820" s="35" t="s">
        <v>86</v>
      </c>
      <c r="T820" s="35">
        <v>0.0</v>
      </c>
      <c r="U820" s="37">
        <v>0.0</v>
      </c>
      <c r="V820" s="38"/>
      <c r="W820" s="38"/>
      <c r="X820" s="27"/>
      <c r="Y820" s="39"/>
      <c r="Z820" s="39"/>
      <c r="AA820" s="39"/>
      <c r="AB820" s="27"/>
      <c r="AC820" s="27">
        <f t="shared" si="619"/>
        <v>0</v>
      </c>
      <c r="AD820" s="41">
        <f t="shared" si="635"/>
        <v>233.547</v>
      </c>
      <c r="AE820" s="42"/>
      <c r="AF820" s="27"/>
      <c r="AG820" s="43">
        <f t="shared" ref="AG820:AG824" si="641">IF(O820="Paid",IF(A820="Alwataniya",(M820*21%)-((M820*21%)*5%),IF((A820="GIG"),(M820*25%)-((M820*25%)*5%),IF((A820="Allianz"),(M820*27%)-((M820*27%)*5%),0))),0)</f>
        <v>399.36537</v>
      </c>
      <c r="AH820" s="29"/>
      <c r="AI820" s="29"/>
      <c r="AJ820" s="29"/>
      <c r="AK820" s="29"/>
      <c r="AL820" s="27"/>
      <c r="AM820" s="44"/>
      <c r="AN820" s="47"/>
      <c r="AO820" s="46"/>
      <c r="AP820" s="47"/>
      <c r="AQ820" s="43">
        <f t="shared" ref="AQ820:AQ821" si="642">IF(O820="Paid",IF(U820="Motor Plus",(M820*27%),IF(U820="Motor One",(M820*22%),(IF(U820="Golden",(M820*25%),(IF(U820="Classic",(M820*15%),(IF(U820="Wethaq",(M820*28%),IF(U820="Alwataniya",(M820*21%))*0)))))))))</f>
        <v>0</v>
      </c>
      <c r="AR820" s="43">
        <f t="shared" si="448"/>
        <v>0</v>
      </c>
      <c r="AS820" s="43">
        <f t="shared" si="449"/>
        <v>0</v>
      </c>
      <c r="AT820" s="48">
        <f t="shared" si="450"/>
        <v>0</v>
      </c>
      <c r="AU820" s="49">
        <f t="shared" si="633"/>
        <v>0</v>
      </c>
      <c r="AV820" s="48"/>
      <c r="AW820" s="34">
        <f t="shared" si="540"/>
        <v>1415.293</v>
      </c>
      <c r="AX820" s="50">
        <f t="shared" si="413"/>
        <v>165.81837</v>
      </c>
      <c r="AY820" s="43"/>
      <c r="AZ820" s="47"/>
      <c r="BA820" s="48">
        <f t="shared" si="634"/>
        <v>0</v>
      </c>
      <c r="BB820" s="27"/>
      <c r="BC820" s="27"/>
      <c r="BD820" s="51"/>
      <c r="BE820" s="52"/>
      <c r="BF820" s="27" t="s">
        <v>2710</v>
      </c>
      <c r="BG820" s="53">
        <v>0.0</v>
      </c>
      <c r="BH820" s="53" t="str">
        <f t="shared" ref="BH820:BH821" si="643">'[1]2023'!Q1158</f>
        <v>#REF!</v>
      </c>
      <c r="BI820" s="27"/>
      <c r="BJ820" s="27"/>
      <c r="BK820" s="27" t="s">
        <v>76</v>
      </c>
      <c r="BL820" s="27"/>
    </row>
    <row r="821" ht="14.25" customHeight="1">
      <c r="A821" s="26" t="s">
        <v>55</v>
      </c>
      <c r="B821" s="26" t="s">
        <v>56</v>
      </c>
      <c r="C821" s="26" t="s">
        <v>57</v>
      </c>
      <c r="D821" s="26" t="s">
        <v>58</v>
      </c>
      <c r="E821" s="27" t="s">
        <v>2711</v>
      </c>
      <c r="F821" s="28" t="s">
        <v>2712</v>
      </c>
      <c r="G821" s="29">
        <v>45146.0</v>
      </c>
      <c r="H821" s="30">
        <v>45146.0</v>
      </c>
      <c r="I821" s="30">
        <v>45511.0</v>
      </c>
      <c r="J821" s="31">
        <v>0.0</v>
      </c>
      <c r="K821" s="26" t="s">
        <v>455</v>
      </c>
      <c r="L821" s="89">
        <v>45169.0</v>
      </c>
      <c r="M821" s="33">
        <v>7671.04</v>
      </c>
      <c r="N821" s="34">
        <v>8264.63</v>
      </c>
      <c r="O821" s="27" t="s">
        <v>76</v>
      </c>
      <c r="P821" s="35" t="s">
        <v>430</v>
      </c>
      <c r="Q821" s="35">
        <v>0.0</v>
      </c>
      <c r="R821" s="36">
        <v>45146.0</v>
      </c>
      <c r="S821" s="35" t="s">
        <v>86</v>
      </c>
      <c r="T821" s="35">
        <v>0.0</v>
      </c>
      <c r="U821" s="37">
        <v>0.0</v>
      </c>
      <c r="V821" s="38"/>
      <c r="W821" s="38"/>
      <c r="X821" s="27"/>
      <c r="Y821" s="39"/>
      <c r="Z821" s="39"/>
      <c r="AA821" s="39"/>
      <c r="AB821" s="27"/>
      <c r="AC821" s="27">
        <f t="shared" si="619"/>
        <v>0</v>
      </c>
      <c r="AD821" s="41">
        <f t="shared" si="635"/>
        <v>1150.656</v>
      </c>
      <c r="AE821" s="42"/>
      <c r="AF821" s="27"/>
      <c r="AG821" s="43">
        <f t="shared" si="641"/>
        <v>1967.62176</v>
      </c>
      <c r="AH821" s="29"/>
      <c r="AI821" s="29"/>
      <c r="AJ821" s="29"/>
      <c r="AK821" s="29"/>
      <c r="AL821" s="27"/>
      <c r="AM821" s="44"/>
      <c r="AN821" s="47"/>
      <c r="AO821" s="46"/>
      <c r="AP821" s="47"/>
      <c r="AQ821" s="43">
        <f t="shared" si="642"/>
        <v>0</v>
      </c>
      <c r="AR821" s="43">
        <f t="shared" si="448"/>
        <v>0</v>
      </c>
      <c r="AS821" s="43">
        <f t="shared" si="449"/>
        <v>0</v>
      </c>
      <c r="AT821" s="48">
        <f t="shared" si="450"/>
        <v>0</v>
      </c>
      <c r="AU821" s="49">
        <f t="shared" si="633"/>
        <v>0</v>
      </c>
      <c r="AV821" s="48"/>
      <c r="AW821" s="34">
        <f t="shared" si="540"/>
        <v>7113.974</v>
      </c>
      <c r="AX821" s="50">
        <f t="shared" si="413"/>
        <v>816.96576</v>
      </c>
      <c r="AY821" s="43"/>
      <c r="AZ821" s="47"/>
      <c r="BA821" s="48">
        <f t="shared" si="634"/>
        <v>0</v>
      </c>
      <c r="BB821" s="27"/>
      <c r="BC821" s="27"/>
      <c r="BD821" s="51"/>
      <c r="BE821" s="52"/>
      <c r="BF821" s="27" t="s">
        <v>2711</v>
      </c>
      <c r="BG821" s="53">
        <v>0.0</v>
      </c>
      <c r="BH821" s="53" t="str">
        <f t="shared" si="643"/>
        <v>#REF!</v>
      </c>
      <c r="BI821" s="27"/>
      <c r="BJ821" s="27"/>
      <c r="BK821" s="27" t="s">
        <v>76</v>
      </c>
      <c r="BL821" s="27"/>
    </row>
    <row r="822" ht="14.25" customHeight="1">
      <c r="A822" s="26" t="s">
        <v>55</v>
      </c>
      <c r="B822" s="26" t="s">
        <v>56</v>
      </c>
      <c r="C822" s="26" t="s">
        <v>57</v>
      </c>
      <c r="D822" s="26" t="s">
        <v>81</v>
      </c>
      <c r="E822" s="27" t="s">
        <v>2713</v>
      </c>
      <c r="F822" s="28" t="s">
        <v>2714</v>
      </c>
      <c r="G822" s="29">
        <v>45147.0</v>
      </c>
      <c r="H822" s="30">
        <v>45147.0</v>
      </c>
      <c r="I822" s="30">
        <v>45512.0</v>
      </c>
      <c r="J822" s="31" t="s">
        <v>2715</v>
      </c>
      <c r="K822" s="26" t="s">
        <v>455</v>
      </c>
      <c r="L822" s="69">
        <v>45208.0</v>
      </c>
      <c r="M822" s="33">
        <v>24261.76</v>
      </c>
      <c r="N822" s="34">
        <v>25834.2</v>
      </c>
      <c r="O822" s="27" t="s">
        <v>76</v>
      </c>
      <c r="P822" s="35" t="s">
        <v>77</v>
      </c>
      <c r="Q822" s="35" t="s">
        <v>65</v>
      </c>
      <c r="R822" s="36">
        <v>45147.0</v>
      </c>
      <c r="S822" s="35" t="s">
        <v>86</v>
      </c>
      <c r="T822" s="35">
        <v>0.0</v>
      </c>
      <c r="U822" s="37" t="s">
        <v>67</v>
      </c>
      <c r="V822" s="38"/>
      <c r="W822" s="38"/>
      <c r="X822" s="27"/>
      <c r="Y822" s="39"/>
      <c r="Z822" s="39"/>
      <c r="AA822" s="39"/>
      <c r="AB822" s="27"/>
      <c r="AC822" s="27">
        <f t="shared" si="619"/>
        <v>0</v>
      </c>
      <c r="AD822" s="41"/>
      <c r="AE822" s="42"/>
      <c r="AF822" s="27"/>
      <c r="AG822" s="43">
        <f t="shared" si="641"/>
        <v>6223.14144</v>
      </c>
      <c r="AH822" s="29"/>
      <c r="AI822" s="29"/>
      <c r="AJ822" s="29"/>
      <c r="AK822" s="29"/>
      <c r="AL822" s="27"/>
      <c r="AM822" s="44"/>
      <c r="AN822" s="47"/>
      <c r="AO822" s="46"/>
      <c r="AP822" s="47"/>
      <c r="AQ822" s="43">
        <f t="shared" ref="AQ822:AQ823" si="644">IF(U822="Motor Plus",(M822*27%),IF(U822="Motor One",(M822*22%),(IF(U822="Golden",(M822*25%),(IF(U822="Classic",(M822*15%),(IF(U822="Wethaq",(M822*28%),IF(U822="Alwataniya",(M822*21%))*0))))))))</f>
        <v>6550.6752</v>
      </c>
      <c r="AR822" s="43">
        <f t="shared" si="448"/>
        <v>327.53376</v>
      </c>
      <c r="AS822" s="43">
        <f t="shared" si="449"/>
        <v>1146.36816</v>
      </c>
      <c r="AT822" s="48">
        <f t="shared" si="450"/>
        <v>5076.77328</v>
      </c>
      <c r="AU822" s="49">
        <f t="shared" si="633"/>
        <v>5076.77328</v>
      </c>
      <c r="AV822" s="48"/>
      <c r="AW822" s="34">
        <f t="shared" si="540"/>
        <v>25834.2</v>
      </c>
      <c r="AX822" s="50">
        <f t="shared" si="413"/>
        <v>5076.77328</v>
      </c>
      <c r="AY822" s="43"/>
      <c r="AZ822" s="47"/>
      <c r="BA822" s="48">
        <f t="shared" si="634"/>
        <v>5076.77328</v>
      </c>
      <c r="BB822" s="27"/>
      <c r="BC822" s="27"/>
      <c r="BD822" s="51"/>
      <c r="BE822" s="52"/>
      <c r="BF822" s="27" t="s">
        <v>2713</v>
      </c>
      <c r="BG822" s="53">
        <v>0.0</v>
      </c>
      <c r="BH822" s="53" t="str">
        <f>'[1]2023'!Q1099</f>
        <v>#REF!</v>
      </c>
      <c r="BI822" s="27"/>
      <c r="BJ822" s="27"/>
      <c r="BK822" s="27" t="s">
        <v>76</v>
      </c>
      <c r="BL822" s="27"/>
    </row>
    <row r="823" ht="14.25" customHeight="1">
      <c r="A823" s="26" t="s">
        <v>55</v>
      </c>
      <c r="B823" s="26" t="s">
        <v>1786</v>
      </c>
      <c r="C823" s="26" t="s">
        <v>57</v>
      </c>
      <c r="D823" s="26" t="s">
        <v>81</v>
      </c>
      <c r="E823" s="27" t="s">
        <v>2716</v>
      </c>
      <c r="F823" s="28" t="s">
        <v>2717</v>
      </c>
      <c r="G823" s="29">
        <v>45147.0</v>
      </c>
      <c r="H823" s="30">
        <v>45147.0</v>
      </c>
      <c r="I823" s="30">
        <v>45512.0</v>
      </c>
      <c r="J823" s="31" t="s">
        <v>2718</v>
      </c>
      <c r="K823" s="26" t="s">
        <v>475</v>
      </c>
      <c r="L823" s="32" t="s">
        <v>63</v>
      </c>
      <c r="M823" s="33">
        <v>27521.08</v>
      </c>
      <c r="N823" s="34">
        <v>28043.98</v>
      </c>
      <c r="O823" s="27" t="s">
        <v>76</v>
      </c>
      <c r="P823" s="35">
        <v>0.0</v>
      </c>
      <c r="Q823" s="35">
        <v>0.0</v>
      </c>
      <c r="R823" s="36">
        <v>45147.0</v>
      </c>
      <c r="S823" s="35" t="s">
        <v>231</v>
      </c>
      <c r="T823" s="35">
        <v>0.0</v>
      </c>
      <c r="U823" s="37" t="s">
        <v>1786</v>
      </c>
      <c r="V823" s="38"/>
      <c r="W823" s="38"/>
      <c r="X823" s="27"/>
      <c r="Y823" s="39"/>
      <c r="Z823" s="39"/>
      <c r="AA823" s="39"/>
      <c r="AB823" s="27"/>
      <c r="AC823" s="27">
        <f t="shared" si="619"/>
        <v>0</v>
      </c>
      <c r="AD823" s="41">
        <f t="shared" ref="AD823:AD825" si="645">IF(AND(S823="0",O823="Paid"),(M823*15%)-AC823,0)</f>
        <v>0</v>
      </c>
      <c r="AE823" s="42"/>
      <c r="AF823" s="27"/>
      <c r="AG823" s="43">
        <f t="shared" si="641"/>
        <v>7059.15702</v>
      </c>
      <c r="AH823" s="29"/>
      <c r="AI823" s="29"/>
      <c r="AJ823" s="29"/>
      <c r="AK823" s="29"/>
      <c r="AL823" s="27"/>
      <c r="AM823" s="70">
        <f>M823*5%</f>
        <v>1376.054</v>
      </c>
      <c r="AN823" s="57">
        <v>44995.0</v>
      </c>
      <c r="AO823" s="46"/>
      <c r="AP823" s="47"/>
      <c r="AQ823" s="43">
        <f t="shared" si="644"/>
        <v>0</v>
      </c>
      <c r="AR823" s="43">
        <f t="shared" si="448"/>
        <v>0</v>
      </c>
      <c r="AS823" s="43">
        <f t="shared" si="449"/>
        <v>0</v>
      </c>
      <c r="AT823" s="48">
        <f t="shared" si="450"/>
        <v>0</v>
      </c>
      <c r="AU823" s="49">
        <f t="shared" si="633"/>
        <v>0</v>
      </c>
      <c r="AV823" s="48"/>
      <c r="AW823" s="34">
        <f t="shared" si="540"/>
        <v>28043.98</v>
      </c>
      <c r="AX823" s="50">
        <f t="shared" si="413"/>
        <v>5683.10302</v>
      </c>
      <c r="AY823" s="43"/>
      <c r="AZ823" s="47"/>
      <c r="BA823" s="48">
        <f t="shared" si="634"/>
        <v>-1376.054</v>
      </c>
      <c r="BB823" s="27"/>
      <c r="BC823" s="27"/>
      <c r="BD823" s="51"/>
      <c r="BE823" s="52"/>
      <c r="BF823" s="27"/>
      <c r="BG823" s="53">
        <v>0.0</v>
      </c>
      <c r="BH823" s="53" t="str">
        <f>'[1]2023'!Q1207</f>
        <v>#REF!</v>
      </c>
      <c r="BI823" s="27"/>
      <c r="BJ823" s="27"/>
      <c r="BK823" s="27" t="s">
        <v>76</v>
      </c>
      <c r="BL823" s="27"/>
    </row>
    <row r="824" ht="14.25" customHeight="1">
      <c r="A824" s="26" t="s">
        <v>55</v>
      </c>
      <c r="B824" s="26" t="s">
        <v>56</v>
      </c>
      <c r="C824" s="26" t="s">
        <v>57</v>
      </c>
      <c r="D824" s="26" t="s">
        <v>81</v>
      </c>
      <c r="E824" s="27" t="s">
        <v>2719</v>
      </c>
      <c r="F824" s="28" t="s">
        <v>2720</v>
      </c>
      <c r="G824" s="29">
        <v>45148.0</v>
      </c>
      <c r="H824" s="30">
        <v>45148.0</v>
      </c>
      <c r="I824" s="30">
        <v>45513.0</v>
      </c>
      <c r="J824" s="31" t="s">
        <v>2721</v>
      </c>
      <c r="K824" s="26" t="s">
        <v>455</v>
      </c>
      <c r="L824" s="32" t="s">
        <v>63</v>
      </c>
      <c r="M824" s="33">
        <v>0.0</v>
      </c>
      <c r="N824" s="34">
        <v>0.0</v>
      </c>
      <c r="O824" s="27" t="s">
        <v>64</v>
      </c>
      <c r="P824" s="35">
        <v>0.0</v>
      </c>
      <c r="Q824" s="35" t="s">
        <v>108</v>
      </c>
      <c r="R824" s="36">
        <v>45148.0</v>
      </c>
      <c r="S824" s="35" t="s">
        <v>86</v>
      </c>
      <c r="T824" s="35">
        <v>0.0</v>
      </c>
      <c r="U824" s="37">
        <v>0.0</v>
      </c>
      <c r="V824" s="38"/>
      <c r="W824" s="38"/>
      <c r="X824" s="27"/>
      <c r="Y824" s="39"/>
      <c r="Z824" s="39"/>
      <c r="AA824" s="39"/>
      <c r="AB824" s="40"/>
      <c r="AC824" s="27">
        <f t="shared" si="619"/>
        <v>0</v>
      </c>
      <c r="AD824" s="41">
        <f t="shared" si="645"/>
        <v>0</v>
      </c>
      <c r="AE824" s="42"/>
      <c r="AF824" s="27"/>
      <c r="AG824" s="43">
        <f t="shared" si="641"/>
        <v>0</v>
      </c>
      <c r="AH824" s="29"/>
      <c r="AI824" s="29"/>
      <c r="AJ824" s="29"/>
      <c r="AK824" s="29"/>
      <c r="AL824" s="27"/>
      <c r="AM824" s="44"/>
      <c r="AN824" s="47"/>
      <c r="AO824" s="46"/>
      <c r="AP824" s="47"/>
      <c r="AQ824" s="43" t="b">
        <f t="shared" ref="AQ824:AQ825" si="646">IF(O824="Paid",IF(U824="Motor Plus",(M824*27%),IF(U824="Motor One",(M824*22%),(IF(U824="Golden",(M824*25%),(IF(U824="Classic",(M824*15%),(IF(U824="Wethaq",(M824*28%),IF(U824="Alwataniya",(M824*21%))*0)))))))))</f>
        <v>0</v>
      </c>
      <c r="AR824" s="43">
        <f t="shared" si="448"/>
        <v>0</v>
      </c>
      <c r="AS824" s="43">
        <f t="shared" si="449"/>
        <v>0</v>
      </c>
      <c r="AT824" s="48">
        <f t="shared" si="450"/>
        <v>0</v>
      </c>
      <c r="AU824" s="49">
        <f t="shared" si="633"/>
        <v>0</v>
      </c>
      <c r="AV824" s="48"/>
      <c r="AW824" s="34">
        <f t="shared" si="540"/>
        <v>0</v>
      </c>
      <c r="AX824" s="50">
        <f t="shared" si="413"/>
        <v>0</v>
      </c>
      <c r="AY824" s="43"/>
      <c r="AZ824" s="47"/>
      <c r="BA824" s="48">
        <f t="shared" si="634"/>
        <v>0</v>
      </c>
      <c r="BB824" s="27"/>
      <c r="BC824" s="27"/>
      <c r="BD824" s="51"/>
      <c r="BE824" s="52"/>
      <c r="BF824" s="27" t="s">
        <v>2719</v>
      </c>
      <c r="BG824" s="58" t="s">
        <v>2592</v>
      </c>
      <c r="BH824" s="53" t="str">
        <f>'[1]2023'!Q1075</f>
        <v>#REF!</v>
      </c>
      <c r="BI824" s="27"/>
      <c r="BJ824" s="27"/>
      <c r="BK824" s="27" t="s">
        <v>64</v>
      </c>
      <c r="BL824" s="27"/>
    </row>
    <row r="825" ht="14.25" customHeight="1">
      <c r="A825" s="26" t="s">
        <v>68</v>
      </c>
      <c r="B825" s="26" t="s">
        <v>2722</v>
      </c>
      <c r="C825" s="26" t="s">
        <v>70</v>
      </c>
      <c r="D825" s="26" t="s">
        <v>71</v>
      </c>
      <c r="E825" s="27" t="s">
        <v>2723</v>
      </c>
      <c r="F825" s="28" t="s">
        <v>2724</v>
      </c>
      <c r="G825" s="29">
        <v>45148.0</v>
      </c>
      <c r="H825" s="30">
        <v>45148.0</v>
      </c>
      <c r="I825" s="30">
        <v>45513.0</v>
      </c>
      <c r="J825" s="31">
        <v>0.0</v>
      </c>
      <c r="K825" s="26" t="s">
        <v>2374</v>
      </c>
      <c r="L825" s="32" t="s">
        <v>63</v>
      </c>
      <c r="M825" s="160">
        <v>15600.0</v>
      </c>
      <c r="N825" s="82">
        <v>16700.0</v>
      </c>
      <c r="O825" s="27" t="s">
        <v>64</v>
      </c>
      <c r="P825" s="35">
        <v>0.0</v>
      </c>
      <c r="Q825" s="35">
        <v>0.0</v>
      </c>
      <c r="R825" s="36">
        <v>45168.0</v>
      </c>
      <c r="S825" s="35" t="s">
        <v>86</v>
      </c>
      <c r="T825" s="35">
        <v>0.0</v>
      </c>
      <c r="U825" s="37" t="s">
        <v>67</v>
      </c>
      <c r="V825" s="38">
        <v>400000.0</v>
      </c>
      <c r="W825" s="78"/>
      <c r="X825" s="27"/>
      <c r="Y825" s="39"/>
      <c r="Z825" s="39"/>
      <c r="AA825" s="39"/>
      <c r="AB825" s="27"/>
      <c r="AC825" s="27">
        <f t="shared" si="619"/>
        <v>0</v>
      </c>
      <c r="AD825" s="41">
        <f t="shared" si="645"/>
        <v>0</v>
      </c>
      <c r="AE825" s="42"/>
      <c r="AF825" s="27"/>
      <c r="AG825" s="43">
        <f>IF(O825="Paid",IF(A825="Wethaq",(M825*28%)-((M825*28%)*5%),IF((A825="GIG"),(M825*25%)-((M825*25%)*5%),IF((A825="Allianz"),(M825*27%)-((M825*27%)*20%),0))),0)</f>
        <v>0</v>
      </c>
      <c r="AH825" s="29"/>
      <c r="AI825" s="29"/>
      <c r="AJ825" s="29"/>
      <c r="AK825" s="29"/>
      <c r="AL825" s="27"/>
      <c r="AM825" s="44"/>
      <c r="AN825" s="47"/>
      <c r="AO825" s="46"/>
      <c r="AP825" s="47"/>
      <c r="AQ825" s="43" t="b">
        <f t="shared" si="646"/>
        <v>0</v>
      </c>
      <c r="AR825" s="43">
        <f t="shared" si="448"/>
        <v>0</v>
      </c>
      <c r="AS825" s="43">
        <f t="shared" si="449"/>
        <v>0</v>
      </c>
      <c r="AT825" s="48">
        <f t="shared" si="450"/>
        <v>0</v>
      </c>
      <c r="AU825" s="49">
        <f t="shared" si="633"/>
        <v>0</v>
      </c>
      <c r="AV825" s="48"/>
      <c r="AW825" s="34">
        <f t="shared" si="540"/>
        <v>16700</v>
      </c>
      <c r="AX825" s="50">
        <f t="shared" si="413"/>
        <v>0</v>
      </c>
      <c r="AY825" s="43"/>
      <c r="AZ825" s="47"/>
      <c r="BA825" s="48">
        <f t="shared" si="634"/>
        <v>0</v>
      </c>
      <c r="BB825" s="27"/>
      <c r="BC825" s="27"/>
      <c r="BD825" s="51"/>
      <c r="BE825" s="52"/>
      <c r="BF825" s="27"/>
      <c r="BG825" s="58" t="s">
        <v>2725</v>
      </c>
      <c r="BH825" s="53" t="str">
        <f>'[1]2023'!Q1660</f>
        <v>#REF!</v>
      </c>
      <c r="BI825" s="27"/>
      <c r="BJ825" s="27"/>
      <c r="BK825" s="27" t="s">
        <v>1102</v>
      </c>
      <c r="BL825" s="27"/>
    </row>
    <row r="826" ht="14.25" customHeight="1">
      <c r="A826" s="26" t="s">
        <v>68</v>
      </c>
      <c r="B826" s="26" t="s">
        <v>56</v>
      </c>
      <c r="C826" s="26" t="s">
        <v>57</v>
      </c>
      <c r="D826" s="26" t="s">
        <v>81</v>
      </c>
      <c r="E826" s="27" t="s">
        <v>2726</v>
      </c>
      <c r="F826" s="28" t="s">
        <v>2727</v>
      </c>
      <c r="G826" s="29">
        <v>45149.0</v>
      </c>
      <c r="H826" s="30">
        <v>45149.0</v>
      </c>
      <c r="I826" s="30">
        <v>45514.0</v>
      </c>
      <c r="J826" s="31">
        <v>0.0</v>
      </c>
      <c r="K826" s="26" t="s">
        <v>455</v>
      </c>
      <c r="L826" s="32" t="s">
        <v>487</v>
      </c>
      <c r="M826" s="33">
        <v>13392.99</v>
      </c>
      <c r="N826" s="34">
        <v>14400.0</v>
      </c>
      <c r="O826" s="27" t="s">
        <v>76</v>
      </c>
      <c r="P826" s="35" t="s">
        <v>162</v>
      </c>
      <c r="Q826" s="35">
        <v>0.0</v>
      </c>
      <c r="R826" s="36">
        <v>45168.0</v>
      </c>
      <c r="S826" s="35" t="s">
        <v>78</v>
      </c>
      <c r="T826" s="54" t="s">
        <v>79</v>
      </c>
      <c r="U826" s="37" t="s">
        <v>68</v>
      </c>
      <c r="V826" s="38">
        <v>600000.0</v>
      </c>
      <c r="W826" s="38"/>
      <c r="X826" s="27"/>
      <c r="Y826" s="39"/>
      <c r="Z826" s="79" t="s">
        <v>2728</v>
      </c>
      <c r="AA826" s="39"/>
      <c r="AB826" s="40">
        <v>0.052</v>
      </c>
      <c r="AC826" s="27">
        <f t="shared" si="619"/>
        <v>696.43548</v>
      </c>
      <c r="AD826" s="41"/>
      <c r="AE826" s="42"/>
      <c r="AF826" s="27"/>
      <c r="AG826" s="159">
        <f>IF(O826="Paid",IF(A826="Wethaq",(M826*28%)-((M826*28%)*5%)))</f>
        <v>3562.53534</v>
      </c>
      <c r="AH826" s="29"/>
      <c r="AI826" s="29" t="s">
        <v>1324</v>
      </c>
      <c r="AJ826" s="55">
        <v>0.28</v>
      </c>
      <c r="AK826" s="29" t="s">
        <v>1325</v>
      </c>
      <c r="AL826" s="27"/>
      <c r="AM826" s="44"/>
      <c r="AN826" s="56"/>
      <c r="AO826" s="46">
        <f>((M826*AJ826)-((M826*AJ826)*22.5%))*70%</f>
        <v>2034.395181</v>
      </c>
      <c r="AP826" s="57" t="s">
        <v>1325</v>
      </c>
      <c r="AQ826" s="43">
        <f>M826*AJ826</f>
        <v>3750.0372</v>
      </c>
      <c r="AR826" s="43">
        <f t="shared" si="448"/>
        <v>187.50186</v>
      </c>
      <c r="AS826" s="43">
        <f t="shared" si="449"/>
        <v>656.25651</v>
      </c>
      <c r="AT826" s="48">
        <f t="shared" si="450"/>
        <v>2906.27883</v>
      </c>
      <c r="AU826" s="49" t="str">
        <f>AQ826-AR826-AS826-AC826-#REF!</f>
        <v>#REF!</v>
      </c>
      <c r="AV826" s="48"/>
      <c r="AW826" s="34">
        <f t="shared" si="540"/>
        <v>13703.56452</v>
      </c>
      <c r="AX826" s="50">
        <f t="shared" si="413"/>
        <v>871.883649</v>
      </c>
      <c r="AY826" s="43"/>
      <c r="AZ826" s="47"/>
      <c r="BA826" s="48" t="str">
        <f>IF(S826&lt;&gt;0,AU826-#REF!-AM826,(AG826-AD826-AE826-AS826))</f>
        <v>#REF!</v>
      </c>
      <c r="BB826" s="27"/>
      <c r="BC826" s="27"/>
      <c r="BD826" s="51"/>
      <c r="BE826" s="52"/>
      <c r="BF826" s="27"/>
      <c r="BG826" s="58" t="s">
        <v>2729</v>
      </c>
      <c r="BH826" s="53" t="str">
        <f>'[1]2023'!Q1192</f>
        <v>#REF!</v>
      </c>
      <c r="BI826" s="27"/>
      <c r="BJ826" s="27"/>
      <c r="BK826" s="27" t="s">
        <v>76</v>
      </c>
      <c r="BL826" s="27"/>
    </row>
    <row r="827" ht="14.25" customHeight="1">
      <c r="A827" s="26" t="s">
        <v>111</v>
      </c>
      <c r="B827" s="26" t="s">
        <v>56</v>
      </c>
      <c r="C827" s="26" t="s">
        <v>57</v>
      </c>
      <c r="D827" s="26" t="s">
        <v>71</v>
      </c>
      <c r="E827" s="27" t="s">
        <v>2730</v>
      </c>
      <c r="F827" s="28" t="s">
        <v>2731</v>
      </c>
      <c r="G827" s="29" t="s">
        <v>2465</v>
      </c>
      <c r="H827" s="30">
        <v>45151.0</v>
      </c>
      <c r="I827" s="30">
        <v>45516.0</v>
      </c>
      <c r="J827" s="31" t="s">
        <v>2732</v>
      </c>
      <c r="K827" s="26" t="s">
        <v>455</v>
      </c>
      <c r="L827" s="32" t="s">
        <v>75</v>
      </c>
      <c r="M827" s="33">
        <v>17475.75</v>
      </c>
      <c r="N827" s="34">
        <v>18850.0</v>
      </c>
      <c r="O827" s="27" t="s">
        <v>76</v>
      </c>
      <c r="P827" s="35" t="s">
        <v>89</v>
      </c>
      <c r="Q827" s="35" t="s">
        <v>114</v>
      </c>
      <c r="R827" s="36" t="e">
        <v>#VALUE!</v>
      </c>
      <c r="S827" s="35" t="s">
        <v>1103</v>
      </c>
      <c r="T827" s="35">
        <v>0.0</v>
      </c>
      <c r="U827" s="37" t="s">
        <v>115</v>
      </c>
      <c r="V827" s="38">
        <v>725000.0</v>
      </c>
      <c r="W827" s="38"/>
      <c r="X827" s="27"/>
      <c r="Y827" s="39"/>
      <c r="Z827" s="79" t="s">
        <v>2733</v>
      </c>
      <c r="AA827" s="39"/>
      <c r="AB827" s="40"/>
      <c r="AC827" s="27">
        <f t="shared" si="619"/>
        <v>0</v>
      </c>
      <c r="AD827" s="41">
        <f t="shared" ref="AD827:AD829" si="647">IF(AND(S827="0",O827="Paid"),(M827*15%)-AC827,0)</f>
        <v>0</v>
      </c>
      <c r="AE827" s="42"/>
      <c r="AF827" s="27"/>
      <c r="AG827" s="43">
        <f>IF(O827="Paid",IF(A827="Alwataniya",(M827*21%)-((M827*21%)*5%),IF((A827="GIG"),(M827*25%)-((M827*25%)*5%),IF((A827="Allianz"),(M827*27%)-((M827*27%)*20%),0))),0)</f>
        <v>4150.490625</v>
      </c>
      <c r="AH827" s="29" t="s">
        <v>1980</v>
      </c>
      <c r="AI827" s="29">
        <v>45086.0</v>
      </c>
      <c r="AJ827" s="29"/>
      <c r="AK827" s="29">
        <v>45025.0</v>
      </c>
      <c r="AL827" s="27"/>
      <c r="AM827" s="44">
        <f>IF((BD827&lt;=2),AU827*10%,(IF((BD827=3),AU827*20%,IF((BD827=4),AU827*20%,IF((BD827&gt;=5),AU827*30%,(IF((BD827="lead"),AU827*30%,0)))))))</f>
        <v>677.1853125</v>
      </c>
      <c r="AN827" s="57">
        <v>44995.0</v>
      </c>
      <c r="AO827" s="46"/>
      <c r="AP827" s="47"/>
      <c r="AQ827" s="84">
        <f>IF(U827="Motor Plus",(M827*27%),IF(U827="Motor One",(M827*22%),(IF(U827="Golden",(M827*25%),(IF(U827="Classic",(M827*15%),(IF(U827="Wethaq",(M827*28%),IF(U827="Alwataniya",(M827*21%))*0))))))))</f>
        <v>4368.9375</v>
      </c>
      <c r="AR827" s="43">
        <f t="shared" si="448"/>
        <v>218.446875</v>
      </c>
      <c r="AS827" s="43">
        <f t="shared" si="449"/>
        <v>764.5640625</v>
      </c>
      <c r="AT827" s="48">
        <f t="shared" si="450"/>
        <v>3385.926563</v>
      </c>
      <c r="AU827" s="49">
        <f t="shared" ref="AU827:AU844" si="648">AQ827-AR827-AS827-AC827-AO827</f>
        <v>3385.926563</v>
      </c>
      <c r="AV827" s="106">
        <f>AU827*10%</f>
        <v>338.5926563</v>
      </c>
      <c r="AW827" s="34">
        <f t="shared" si="540"/>
        <v>18850</v>
      </c>
      <c r="AX827" s="50">
        <f t="shared" si="413"/>
        <v>2370.148594</v>
      </c>
      <c r="AY827" s="43"/>
      <c r="AZ827" s="47"/>
      <c r="BA827" s="48">
        <f t="shared" ref="BA827:BA844" si="649">IF(S827&lt;&gt;0,AU827-AO827-AM827,(AG827-AD827-AE827-AS827))</f>
        <v>2708.74125</v>
      </c>
      <c r="BB827" s="27"/>
      <c r="BC827" s="27"/>
      <c r="BD827" s="51">
        <v>3.0</v>
      </c>
      <c r="BE827" s="52"/>
      <c r="BF827" s="27" t="s">
        <v>2730</v>
      </c>
      <c r="BG827" s="53">
        <v>0.0</v>
      </c>
      <c r="BH827" s="53" t="str">
        <f>'[1]2023'!Q1049</f>
        <v>#REF!</v>
      </c>
      <c r="BI827" s="27"/>
      <c r="BJ827" s="27"/>
      <c r="BK827" s="27" t="s">
        <v>76</v>
      </c>
      <c r="BL827" s="27"/>
    </row>
    <row r="828" ht="14.25" customHeight="1">
      <c r="A828" s="26" t="s">
        <v>55</v>
      </c>
      <c r="B828" s="26" t="s">
        <v>56</v>
      </c>
      <c r="C828" s="26" t="s">
        <v>57</v>
      </c>
      <c r="D828" s="26" t="s">
        <v>81</v>
      </c>
      <c r="E828" s="27" t="s">
        <v>2734</v>
      </c>
      <c r="F828" s="28" t="s">
        <v>2735</v>
      </c>
      <c r="G828" s="29">
        <v>45151.0</v>
      </c>
      <c r="H828" s="30">
        <v>45151.0</v>
      </c>
      <c r="I828" s="30">
        <v>45516.0</v>
      </c>
      <c r="J828" s="31" t="s">
        <v>2736</v>
      </c>
      <c r="K828" s="26" t="s">
        <v>455</v>
      </c>
      <c r="L828" s="89">
        <v>45253.0</v>
      </c>
      <c r="M828" s="33">
        <v>31999.83</v>
      </c>
      <c r="N828" s="34">
        <v>34639.83</v>
      </c>
      <c r="O828" s="27" t="s">
        <v>76</v>
      </c>
      <c r="P828" s="35" t="s">
        <v>89</v>
      </c>
      <c r="Q828" s="35">
        <v>0.0</v>
      </c>
      <c r="R828" s="36">
        <v>45151.0</v>
      </c>
      <c r="S828" s="35" t="s">
        <v>86</v>
      </c>
      <c r="T828" s="35">
        <v>0.0</v>
      </c>
      <c r="U828" s="37" t="s">
        <v>67</v>
      </c>
      <c r="V828" s="38">
        <v>1570000.0</v>
      </c>
      <c r="W828" s="38">
        <v>143674.0</v>
      </c>
      <c r="X828" s="27">
        <v>2021.0</v>
      </c>
      <c r="Y828" s="39"/>
      <c r="Z828" s="79" t="s">
        <v>208</v>
      </c>
      <c r="AA828" s="39"/>
      <c r="AB828" s="27"/>
      <c r="AC828" s="27">
        <f t="shared" si="619"/>
        <v>0</v>
      </c>
      <c r="AD828" s="41">
        <f t="shared" si="647"/>
        <v>4799.9745</v>
      </c>
      <c r="AE828" s="42"/>
      <c r="AF828" s="27"/>
      <c r="AG828" s="43">
        <f>IF(O828="Paid",IF(A828="Alwataniya",(M828*21%)-((M828*21%)*5%),IF((A828="GIG"),(M828*25%)-((M828*25%)*5%),IF((A828="Allianz"),(M828*27%)-((M828*27%)*5%),0))),0)</f>
        <v>8207.956395</v>
      </c>
      <c r="AH828" s="29"/>
      <c r="AI828" s="29"/>
      <c r="AJ828" s="29"/>
      <c r="AK828" s="29"/>
      <c r="AL828" s="27"/>
      <c r="AM828" s="44"/>
      <c r="AN828" s="47"/>
      <c r="AO828" s="46"/>
      <c r="AP828" s="47"/>
      <c r="AQ828" s="43">
        <f>IF(O828="Paid",IF(U828="Motor Plus",(M828*27%),IF(U828="Motor One",(M828*22%),(IF(U828="Golden",(M828*25%),(IF(U828="Classic",(M828*15%),(IF(U828="Wethaq",(M828*28%),IF(U828="Alwataniya",(M828*21%))*0)))))))))</f>
        <v>8639.9541</v>
      </c>
      <c r="AR828" s="43">
        <f t="shared" si="448"/>
        <v>431.997705</v>
      </c>
      <c r="AS828" s="43">
        <f t="shared" si="449"/>
        <v>1511.991968</v>
      </c>
      <c r="AT828" s="48">
        <f t="shared" si="450"/>
        <v>6695.964428</v>
      </c>
      <c r="AU828" s="49">
        <f t="shared" si="648"/>
        <v>6695.964428</v>
      </c>
      <c r="AV828" s="48"/>
      <c r="AW828" s="34">
        <f t="shared" si="540"/>
        <v>29839.8555</v>
      </c>
      <c r="AX828" s="50">
        <f t="shared" si="413"/>
        <v>1895.989928</v>
      </c>
      <c r="AY828" s="43"/>
      <c r="AZ828" s="47"/>
      <c r="BA828" s="48">
        <f t="shared" si="649"/>
        <v>6695.964428</v>
      </c>
      <c r="BB828" s="27"/>
      <c r="BC828" s="27"/>
      <c r="BD828" s="51"/>
      <c r="BE828" s="52"/>
      <c r="BF828" s="27" t="s">
        <v>2734</v>
      </c>
      <c r="BG828" s="53">
        <v>0.0</v>
      </c>
      <c r="BH828" s="53" t="str">
        <f>'[1]2023'!Q1093</f>
        <v>#REF!</v>
      </c>
      <c r="BI828" s="27"/>
      <c r="BJ828" s="27"/>
      <c r="BK828" s="27" t="s">
        <v>76</v>
      </c>
      <c r="BL828" s="27"/>
    </row>
    <row r="829" ht="14.25" customHeight="1">
      <c r="A829" s="26" t="s">
        <v>68</v>
      </c>
      <c r="B829" s="26" t="s">
        <v>56</v>
      </c>
      <c r="C829" s="26" t="s">
        <v>57</v>
      </c>
      <c r="D829" s="26" t="s">
        <v>71</v>
      </c>
      <c r="E829" s="27" t="s">
        <v>2737</v>
      </c>
      <c r="F829" s="28" t="s">
        <v>2738</v>
      </c>
      <c r="G829" s="29" t="s">
        <v>2465</v>
      </c>
      <c r="H829" s="30">
        <v>45151.0</v>
      </c>
      <c r="I829" s="30">
        <v>45516.0</v>
      </c>
      <c r="J829" s="31" t="s">
        <v>2739</v>
      </c>
      <c r="K829" s="26" t="s">
        <v>455</v>
      </c>
      <c r="L829" s="32" t="s">
        <v>465</v>
      </c>
      <c r="M829" s="33">
        <v>65879.01</v>
      </c>
      <c r="N829" s="34">
        <v>70200.0</v>
      </c>
      <c r="O829" s="27" t="s">
        <v>76</v>
      </c>
      <c r="P829" s="35" t="s">
        <v>89</v>
      </c>
      <c r="Q829" s="35">
        <v>0.0</v>
      </c>
      <c r="R829" s="36" t="e">
        <v>#VALUE!</v>
      </c>
      <c r="S829" s="35" t="s">
        <v>848</v>
      </c>
      <c r="T829" s="35">
        <v>0.0</v>
      </c>
      <c r="U829" s="37" t="s">
        <v>68</v>
      </c>
      <c r="V829" s="38">
        <v>3900000.0</v>
      </c>
      <c r="W829" s="38"/>
      <c r="X829" s="27"/>
      <c r="Y829" s="39"/>
      <c r="Z829" s="39" t="s">
        <v>2662</v>
      </c>
      <c r="AA829" s="39"/>
      <c r="AB829" s="27"/>
      <c r="AC829" s="27">
        <f t="shared" si="619"/>
        <v>0</v>
      </c>
      <c r="AD829" s="41">
        <f t="shared" si="647"/>
        <v>0</v>
      </c>
      <c r="AE829" s="42"/>
      <c r="AF829" s="27"/>
      <c r="AG829" s="43">
        <f>M829*28%-((M829*28%)*5%)</f>
        <v>17523.81666</v>
      </c>
      <c r="AH829" s="29">
        <v>44994.0</v>
      </c>
      <c r="AI829" s="29">
        <v>45284.0</v>
      </c>
      <c r="AJ829" s="55">
        <v>0.28</v>
      </c>
      <c r="AK829" s="182">
        <v>45279.0</v>
      </c>
      <c r="AL829" s="27"/>
      <c r="AM829" s="44">
        <f>IF((BD829&lt;=2),AU829*10%,(IF((BD829=3),AU829*20%,IF((BD829=4),AU829*20%,IF((BD829&gt;=5),AU829*30%,(IF((BD829="lead"),AU829*30%,0)))))))</f>
        <v>1429.574517</v>
      </c>
      <c r="AN829" s="57">
        <v>44995.0</v>
      </c>
      <c r="AO829" s="46"/>
      <c r="AP829" s="47"/>
      <c r="AQ829" s="43">
        <f>M829*AJ829</f>
        <v>18446.1228</v>
      </c>
      <c r="AR829" s="43">
        <f t="shared" si="448"/>
        <v>922.30614</v>
      </c>
      <c r="AS829" s="43">
        <f t="shared" si="449"/>
        <v>3228.07149</v>
      </c>
      <c r="AT829" s="48">
        <f t="shared" si="450"/>
        <v>14295.74517</v>
      </c>
      <c r="AU829" s="49">
        <f t="shared" si="648"/>
        <v>14295.74517</v>
      </c>
      <c r="AV829" s="106">
        <f>AU829*10%</f>
        <v>1429.574517</v>
      </c>
      <c r="AW829" s="34">
        <f t="shared" si="540"/>
        <v>70200</v>
      </c>
      <c r="AX829" s="50">
        <f t="shared" si="413"/>
        <v>11436.59614</v>
      </c>
      <c r="AY829" s="43"/>
      <c r="AZ829" s="47"/>
      <c r="BA829" s="48">
        <f t="shared" si="649"/>
        <v>12866.17065</v>
      </c>
      <c r="BB829" s="27"/>
      <c r="BC829" s="27"/>
      <c r="BD829" s="51">
        <v>1.0</v>
      </c>
      <c r="BE829" s="52"/>
      <c r="BF829" s="27" t="s">
        <v>2737</v>
      </c>
      <c r="BG829" s="53">
        <v>0.0</v>
      </c>
      <c r="BH829" s="53" t="str">
        <f t="shared" ref="BH829:BH830" si="650">'[1]2023'!Q1135</f>
        <v>#REF!</v>
      </c>
      <c r="BI829" s="27"/>
      <c r="BJ829" s="27"/>
      <c r="BK829" s="27" t="s">
        <v>76</v>
      </c>
      <c r="BL829" s="27"/>
    </row>
    <row r="830" ht="14.25" customHeight="1">
      <c r="A830" s="26" t="s">
        <v>55</v>
      </c>
      <c r="B830" s="26" t="s">
        <v>56</v>
      </c>
      <c r="C830" s="26" t="s">
        <v>57</v>
      </c>
      <c r="D830" s="26" t="s">
        <v>58</v>
      </c>
      <c r="E830" s="27" t="s">
        <v>2740</v>
      </c>
      <c r="F830" s="28" t="s">
        <v>2741</v>
      </c>
      <c r="G830" s="29" t="s">
        <v>2465</v>
      </c>
      <c r="H830" s="30">
        <v>45151.0</v>
      </c>
      <c r="I830" s="30">
        <v>45516.0</v>
      </c>
      <c r="J830" s="31">
        <v>0.0</v>
      </c>
      <c r="K830" s="26" t="s">
        <v>455</v>
      </c>
      <c r="L830" s="32" t="s">
        <v>2164</v>
      </c>
      <c r="M830" s="33">
        <v>5171.07</v>
      </c>
      <c r="N830" s="34">
        <v>5476.16</v>
      </c>
      <c r="O830" s="27" t="s">
        <v>76</v>
      </c>
      <c r="P830" s="35" t="s">
        <v>89</v>
      </c>
      <c r="Q830" s="35" t="s">
        <v>65</v>
      </c>
      <c r="R830" s="36" t="e">
        <v>#VALUE!</v>
      </c>
      <c r="S830" s="35" t="s">
        <v>66</v>
      </c>
      <c r="T830" s="35">
        <v>0.0</v>
      </c>
      <c r="U830" s="37" t="s">
        <v>67</v>
      </c>
      <c r="V830" s="38"/>
      <c r="W830" s="38"/>
      <c r="X830" s="27"/>
      <c r="Y830" s="39"/>
      <c r="Z830" s="39"/>
      <c r="AA830" s="39"/>
      <c r="AB830" s="27"/>
      <c r="AC830" s="27">
        <f t="shared" si="619"/>
        <v>0</v>
      </c>
      <c r="AD830" s="41"/>
      <c r="AE830" s="42"/>
      <c r="AF830" s="27"/>
      <c r="AG830" s="43">
        <f t="shared" ref="AG830:AG837" si="651">IF(O830="Paid",IF(A830="Alwataniya",(M830*21%)-((M830*21%)*5%),IF((A830="GIG"),(M830*25%)-((M830*25%)*5%),IF((A830="Allianz"),(M830*27%)-((M830*27%)*5%),0))),0)</f>
        <v>1326.379455</v>
      </c>
      <c r="AH830" s="29"/>
      <c r="AI830" s="29"/>
      <c r="AJ830" s="29"/>
      <c r="AK830" s="29"/>
      <c r="AL830" s="27"/>
      <c r="AM830" s="44">
        <f>((M830*25%)-AC830-((M830*25%)*22.5%))*30%</f>
        <v>300.5684438</v>
      </c>
      <c r="AN830" s="179">
        <v>45148.0</v>
      </c>
      <c r="AO830" s="46"/>
      <c r="AP830" s="47"/>
      <c r="AQ830" s="43">
        <f>IF(U830="Motor Plus",(M830*27%),IF(U830="Motor One",(M830*22%),(IF(U830="Golden",(M830*25%),(IF(U830="Classic",(M830*15%),(IF(U830="Wethaq",(M830*28%),IF(U830="Alwataniya",(M830*21%))*0))))))))</f>
        <v>1396.1889</v>
      </c>
      <c r="AR830" s="43">
        <f t="shared" si="448"/>
        <v>69.809445</v>
      </c>
      <c r="AS830" s="43">
        <f t="shared" si="449"/>
        <v>244.3330575</v>
      </c>
      <c r="AT830" s="48">
        <f t="shared" si="450"/>
        <v>1082.046398</v>
      </c>
      <c r="AU830" s="49">
        <f t="shared" si="648"/>
        <v>1082.046398</v>
      </c>
      <c r="AV830" s="48"/>
      <c r="AW830" s="34">
        <f t="shared" si="540"/>
        <v>5476.16</v>
      </c>
      <c r="AX830" s="50">
        <f t="shared" si="413"/>
        <v>781.4779538</v>
      </c>
      <c r="AY830" s="43"/>
      <c r="AZ830" s="47"/>
      <c r="BA830" s="48">
        <f t="shared" si="649"/>
        <v>781.4779538</v>
      </c>
      <c r="BB830" s="27"/>
      <c r="BC830" s="27"/>
      <c r="BD830" s="51"/>
      <c r="BE830" s="52"/>
      <c r="BF830" s="27" t="s">
        <v>2740</v>
      </c>
      <c r="BG830" s="53">
        <v>0.0</v>
      </c>
      <c r="BH830" s="53" t="str">
        <f t="shared" si="650"/>
        <v>#REF!</v>
      </c>
      <c r="BI830" s="27"/>
      <c r="BJ830" s="27"/>
      <c r="BK830" s="27" t="s">
        <v>76</v>
      </c>
      <c r="BL830" s="27"/>
    </row>
    <row r="831" ht="14.25" customHeight="1">
      <c r="A831" s="26" t="s">
        <v>55</v>
      </c>
      <c r="B831" s="26" t="s">
        <v>56</v>
      </c>
      <c r="C831" s="26" t="s">
        <v>57</v>
      </c>
      <c r="D831" s="26" t="s">
        <v>58</v>
      </c>
      <c r="E831" s="27" t="s">
        <v>2742</v>
      </c>
      <c r="F831" s="28" t="s">
        <v>2743</v>
      </c>
      <c r="G831" s="29">
        <v>45151.0</v>
      </c>
      <c r="H831" s="30">
        <v>45151.0</v>
      </c>
      <c r="I831" s="30">
        <v>45516.0</v>
      </c>
      <c r="J831" s="31">
        <v>0.0</v>
      </c>
      <c r="K831" s="26" t="s">
        <v>455</v>
      </c>
      <c r="L831" s="89">
        <v>45151.0</v>
      </c>
      <c r="M831" s="33">
        <v>7336.94</v>
      </c>
      <c r="N831" s="34">
        <v>7769.82</v>
      </c>
      <c r="O831" s="27" t="s">
        <v>76</v>
      </c>
      <c r="P831" s="35" t="s">
        <v>122</v>
      </c>
      <c r="Q831" s="35" t="s">
        <v>85</v>
      </c>
      <c r="R831" s="36">
        <v>45151.0</v>
      </c>
      <c r="S831" s="35" t="s">
        <v>86</v>
      </c>
      <c r="T831" s="35">
        <v>0.0</v>
      </c>
      <c r="U831" s="37">
        <v>0.0</v>
      </c>
      <c r="V831" s="38"/>
      <c r="W831" s="38"/>
      <c r="X831" s="27"/>
      <c r="Y831" s="39"/>
      <c r="Z831" s="39"/>
      <c r="AA831" s="39"/>
      <c r="AB831" s="27"/>
      <c r="AC831" s="27">
        <f t="shared" si="619"/>
        <v>0</v>
      </c>
      <c r="AD831" s="41">
        <f t="shared" ref="AD831:AD835" si="652">IF(AND(S831="0",O831="Paid"),(M831*15%)-AC831,0)</f>
        <v>1100.541</v>
      </c>
      <c r="AE831" s="42"/>
      <c r="AF831" s="27"/>
      <c r="AG831" s="43">
        <f t="shared" si="651"/>
        <v>1881.92511</v>
      </c>
      <c r="AH831" s="29"/>
      <c r="AI831" s="29"/>
      <c r="AJ831" s="29"/>
      <c r="AK831" s="29"/>
      <c r="AL831" s="27"/>
      <c r="AM831" s="44"/>
      <c r="AN831" s="47"/>
      <c r="AO831" s="46"/>
      <c r="AP831" s="47"/>
      <c r="AQ831" s="43">
        <f t="shared" ref="AQ831:AQ834" si="653">IF(O831="Paid",IF(U831="Motor Plus",(M831*27%),IF(U831="Motor One",(M831*22%),(IF(U831="Golden",(M831*25%),(IF(U831="Classic",(M831*15%),(IF(U831="Wethaq",(M831*28%),IF(U831="Alwataniya",(M831*21%))*0)))))))))</f>
        <v>0</v>
      </c>
      <c r="AR831" s="43">
        <f t="shared" si="448"/>
        <v>0</v>
      </c>
      <c r="AS831" s="43">
        <f t="shared" si="449"/>
        <v>0</v>
      </c>
      <c r="AT831" s="48">
        <f t="shared" si="450"/>
        <v>0</v>
      </c>
      <c r="AU831" s="49">
        <f t="shared" si="648"/>
        <v>0</v>
      </c>
      <c r="AV831" s="48"/>
      <c r="AW831" s="34">
        <f t="shared" si="540"/>
        <v>6669.279</v>
      </c>
      <c r="AX831" s="50">
        <f t="shared" si="413"/>
        <v>781.38411</v>
      </c>
      <c r="AY831" s="43"/>
      <c r="AZ831" s="47"/>
      <c r="BA831" s="48">
        <f t="shared" si="649"/>
        <v>0</v>
      </c>
      <c r="BB831" s="27"/>
      <c r="BC831" s="27"/>
      <c r="BD831" s="51"/>
      <c r="BE831" s="52"/>
      <c r="BF831" s="27" t="s">
        <v>2742</v>
      </c>
      <c r="BG831" s="53">
        <v>0.0</v>
      </c>
      <c r="BH831" s="53" t="str">
        <f t="shared" ref="BH831:BH834" si="654">'[1]2023'!Q1163</f>
        <v>#REF!</v>
      </c>
      <c r="BI831" s="27"/>
      <c r="BJ831" s="27"/>
      <c r="BK831" s="27" t="s">
        <v>76</v>
      </c>
      <c r="BL831" s="27"/>
    </row>
    <row r="832" ht="14.25" customHeight="1">
      <c r="A832" s="26" t="s">
        <v>55</v>
      </c>
      <c r="B832" s="26" t="s">
        <v>56</v>
      </c>
      <c r="C832" s="26" t="s">
        <v>57</v>
      </c>
      <c r="D832" s="26" t="s">
        <v>58</v>
      </c>
      <c r="E832" s="27" t="s">
        <v>2744</v>
      </c>
      <c r="F832" s="28" t="s">
        <v>2745</v>
      </c>
      <c r="G832" s="29">
        <v>45151.0</v>
      </c>
      <c r="H832" s="30">
        <v>45151.0</v>
      </c>
      <c r="I832" s="30">
        <v>45516.0</v>
      </c>
      <c r="J832" s="31">
        <v>0.0</v>
      </c>
      <c r="K832" s="26" t="s">
        <v>455</v>
      </c>
      <c r="L832" s="89">
        <v>45151.0</v>
      </c>
      <c r="M832" s="33">
        <v>3274.9</v>
      </c>
      <c r="N832" s="34">
        <v>3468.12</v>
      </c>
      <c r="O832" s="27" t="s">
        <v>76</v>
      </c>
      <c r="P832" s="35">
        <v>0.0</v>
      </c>
      <c r="Q832" s="35">
        <v>0.0</v>
      </c>
      <c r="R832" s="36">
        <v>45151.0</v>
      </c>
      <c r="S832" s="35" t="s">
        <v>86</v>
      </c>
      <c r="T832" s="35">
        <v>0.0</v>
      </c>
      <c r="U832" s="37">
        <v>0.0</v>
      </c>
      <c r="V832" s="38"/>
      <c r="W832" s="38"/>
      <c r="X832" s="27"/>
      <c r="Y832" s="39"/>
      <c r="Z832" s="39"/>
      <c r="AA832" s="39"/>
      <c r="AB832" s="27"/>
      <c r="AC832" s="27">
        <f t="shared" si="619"/>
        <v>0</v>
      </c>
      <c r="AD832" s="41">
        <f t="shared" si="652"/>
        <v>491.235</v>
      </c>
      <c r="AE832" s="42"/>
      <c r="AF832" s="27"/>
      <c r="AG832" s="43">
        <f t="shared" si="651"/>
        <v>840.01185</v>
      </c>
      <c r="AH832" s="29"/>
      <c r="AI832" s="29"/>
      <c r="AJ832" s="29"/>
      <c r="AK832" s="29"/>
      <c r="AL832" s="27"/>
      <c r="AM832" s="44"/>
      <c r="AN832" s="47"/>
      <c r="AO832" s="46"/>
      <c r="AP832" s="47"/>
      <c r="AQ832" s="43">
        <f t="shared" si="653"/>
        <v>0</v>
      </c>
      <c r="AR832" s="43">
        <f t="shared" si="448"/>
        <v>0</v>
      </c>
      <c r="AS832" s="43">
        <f t="shared" si="449"/>
        <v>0</v>
      </c>
      <c r="AT832" s="48">
        <f t="shared" si="450"/>
        <v>0</v>
      </c>
      <c r="AU832" s="49">
        <f t="shared" si="648"/>
        <v>0</v>
      </c>
      <c r="AV832" s="48"/>
      <c r="AW832" s="34">
        <f t="shared" si="540"/>
        <v>2976.885</v>
      </c>
      <c r="AX832" s="50">
        <f t="shared" si="413"/>
        <v>348.77685</v>
      </c>
      <c r="AY832" s="43"/>
      <c r="AZ832" s="47"/>
      <c r="BA832" s="48">
        <f t="shared" si="649"/>
        <v>0</v>
      </c>
      <c r="BB832" s="27"/>
      <c r="BC832" s="27"/>
      <c r="BD832" s="51"/>
      <c r="BE832" s="52"/>
      <c r="BF832" s="27" t="s">
        <v>2744</v>
      </c>
      <c r="BG832" s="53">
        <v>0.0</v>
      </c>
      <c r="BH832" s="53" t="str">
        <f t="shared" si="654"/>
        <v>#REF!</v>
      </c>
      <c r="BI832" s="27"/>
      <c r="BJ832" s="27"/>
      <c r="BK832" s="27" t="s">
        <v>76</v>
      </c>
      <c r="BL832" s="27"/>
    </row>
    <row r="833" ht="14.25" customHeight="1">
      <c r="A833" s="26" t="s">
        <v>55</v>
      </c>
      <c r="B833" s="26" t="s">
        <v>56</v>
      </c>
      <c r="C833" s="26" t="s">
        <v>57</v>
      </c>
      <c r="D833" s="26" t="s">
        <v>58</v>
      </c>
      <c r="E833" s="27" t="s">
        <v>2746</v>
      </c>
      <c r="F833" s="28" t="s">
        <v>2747</v>
      </c>
      <c r="G833" s="29" t="s">
        <v>2465</v>
      </c>
      <c r="H833" s="30">
        <v>45151.0</v>
      </c>
      <c r="I833" s="30">
        <v>45516.0</v>
      </c>
      <c r="J833" s="31" t="s">
        <v>2748</v>
      </c>
      <c r="K833" s="26" t="s">
        <v>455</v>
      </c>
      <c r="L833" s="32" t="s">
        <v>63</v>
      </c>
      <c r="M833" s="33">
        <v>0.0</v>
      </c>
      <c r="N833" s="34">
        <v>0.0</v>
      </c>
      <c r="O833" s="27" t="s">
        <v>64</v>
      </c>
      <c r="P833" s="35">
        <v>0.0</v>
      </c>
      <c r="Q833" s="35" t="s">
        <v>65</v>
      </c>
      <c r="R833" s="36" t="e">
        <v>#VALUE!</v>
      </c>
      <c r="S833" s="35" t="s">
        <v>86</v>
      </c>
      <c r="T833" s="35">
        <v>0.0</v>
      </c>
      <c r="U833" s="37" t="s">
        <v>67</v>
      </c>
      <c r="V833" s="38"/>
      <c r="W833" s="38"/>
      <c r="X833" s="27"/>
      <c r="Y833" s="39"/>
      <c r="Z833" s="39"/>
      <c r="AA833" s="39"/>
      <c r="AB833" s="27"/>
      <c r="AC833" s="27">
        <f t="shared" si="619"/>
        <v>0</v>
      </c>
      <c r="AD833" s="41">
        <f t="shared" si="652"/>
        <v>0</v>
      </c>
      <c r="AE833" s="42"/>
      <c r="AF833" s="27"/>
      <c r="AG833" s="43">
        <f t="shared" si="651"/>
        <v>0</v>
      </c>
      <c r="AH833" s="29"/>
      <c r="AI833" s="29"/>
      <c r="AJ833" s="29"/>
      <c r="AK833" s="29"/>
      <c r="AL833" s="27"/>
      <c r="AM833" s="44"/>
      <c r="AN833" s="47"/>
      <c r="AO833" s="46"/>
      <c r="AP833" s="47"/>
      <c r="AQ833" s="43" t="b">
        <f t="shared" si="653"/>
        <v>0</v>
      </c>
      <c r="AR833" s="43">
        <f t="shared" si="448"/>
        <v>0</v>
      </c>
      <c r="AS833" s="43">
        <f t="shared" si="449"/>
        <v>0</v>
      </c>
      <c r="AT833" s="48">
        <f t="shared" si="450"/>
        <v>0</v>
      </c>
      <c r="AU833" s="49">
        <f t="shared" si="648"/>
        <v>0</v>
      </c>
      <c r="AV833" s="48"/>
      <c r="AW833" s="34">
        <f t="shared" si="540"/>
        <v>0</v>
      </c>
      <c r="AX833" s="50">
        <f t="shared" si="413"/>
        <v>0</v>
      </c>
      <c r="AY833" s="43"/>
      <c r="AZ833" s="47"/>
      <c r="BA833" s="48">
        <f t="shared" si="649"/>
        <v>0</v>
      </c>
      <c r="BB833" s="27"/>
      <c r="BC833" s="27"/>
      <c r="BD833" s="51"/>
      <c r="BE833" s="52"/>
      <c r="BF833" s="27" t="s">
        <v>2746</v>
      </c>
      <c r="BG833" s="58" t="s">
        <v>2749</v>
      </c>
      <c r="BH833" s="53" t="str">
        <f t="shared" si="654"/>
        <v>#REF!</v>
      </c>
      <c r="BI833" s="27"/>
      <c r="BJ833" s="27"/>
      <c r="BK833" s="27" t="s">
        <v>64</v>
      </c>
      <c r="BL833" s="27"/>
    </row>
    <row r="834" ht="14.25" customHeight="1">
      <c r="A834" s="26" t="s">
        <v>55</v>
      </c>
      <c r="B834" s="26" t="s">
        <v>56</v>
      </c>
      <c r="C834" s="26" t="s">
        <v>57</v>
      </c>
      <c r="D834" s="26" t="s">
        <v>58</v>
      </c>
      <c r="E834" s="27" t="s">
        <v>2750</v>
      </c>
      <c r="F834" s="28" t="s">
        <v>2751</v>
      </c>
      <c r="G834" s="29">
        <v>45151.0</v>
      </c>
      <c r="H834" s="30">
        <v>45151.0</v>
      </c>
      <c r="I834" s="30">
        <v>45516.0</v>
      </c>
      <c r="J834" s="31" t="s">
        <v>2736</v>
      </c>
      <c r="K834" s="26" t="s">
        <v>455</v>
      </c>
      <c r="L834" s="32" t="s">
        <v>63</v>
      </c>
      <c r="M834" s="33">
        <v>0.0</v>
      </c>
      <c r="N834" s="34">
        <v>0.0</v>
      </c>
      <c r="O834" s="27" t="s">
        <v>64</v>
      </c>
      <c r="P834" s="35">
        <v>0.0</v>
      </c>
      <c r="Q834" s="35">
        <v>0.0</v>
      </c>
      <c r="R834" s="36">
        <v>45151.0</v>
      </c>
      <c r="S834" s="35" t="s">
        <v>86</v>
      </c>
      <c r="T834" s="35">
        <v>0.0</v>
      </c>
      <c r="U834" s="37">
        <v>0.0</v>
      </c>
      <c r="V834" s="38"/>
      <c r="W834" s="38"/>
      <c r="X834" s="27"/>
      <c r="Y834" s="39"/>
      <c r="Z834" s="39"/>
      <c r="AA834" s="39"/>
      <c r="AB834" s="27"/>
      <c r="AC834" s="27">
        <f t="shared" si="619"/>
        <v>0</v>
      </c>
      <c r="AD834" s="41">
        <f t="shared" si="652"/>
        <v>0</v>
      </c>
      <c r="AE834" s="42"/>
      <c r="AF834" s="27"/>
      <c r="AG834" s="43">
        <f t="shared" si="651"/>
        <v>0</v>
      </c>
      <c r="AH834" s="29"/>
      <c r="AI834" s="29"/>
      <c r="AJ834" s="29"/>
      <c r="AK834" s="29"/>
      <c r="AL834" s="27"/>
      <c r="AM834" s="44"/>
      <c r="AN834" s="47"/>
      <c r="AO834" s="46"/>
      <c r="AP834" s="47"/>
      <c r="AQ834" s="43" t="b">
        <f t="shared" si="653"/>
        <v>0</v>
      </c>
      <c r="AR834" s="43">
        <f t="shared" si="448"/>
        <v>0</v>
      </c>
      <c r="AS834" s="43">
        <f t="shared" si="449"/>
        <v>0</v>
      </c>
      <c r="AT834" s="48">
        <f t="shared" si="450"/>
        <v>0</v>
      </c>
      <c r="AU834" s="49">
        <f t="shared" si="648"/>
        <v>0</v>
      </c>
      <c r="AV834" s="48"/>
      <c r="AW834" s="34">
        <f t="shared" si="540"/>
        <v>0</v>
      </c>
      <c r="AX834" s="50">
        <f t="shared" si="413"/>
        <v>0</v>
      </c>
      <c r="AY834" s="43"/>
      <c r="AZ834" s="47"/>
      <c r="BA834" s="48">
        <f t="shared" si="649"/>
        <v>0</v>
      </c>
      <c r="BB834" s="27"/>
      <c r="BC834" s="27"/>
      <c r="BD834" s="51"/>
      <c r="BE834" s="52"/>
      <c r="BF834" s="27" t="s">
        <v>2750</v>
      </c>
      <c r="BG834" s="53">
        <v>0.0</v>
      </c>
      <c r="BH834" s="53" t="str">
        <f t="shared" si="654"/>
        <v>#REF!</v>
      </c>
      <c r="BI834" s="27"/>
      <c r="BJ834" s="27"/>
      <c r="BK834" s="27" t="s">
        <v>64</v>
      </c>
      <c r="BL834" s="27"/>
    </row>
    <row r="835" ht="14.25" customHeight="1">
      <c r="A835" s="26" t="s">
        <v>55</v>
      </c>
      <c r="B835" s="26" t="s">
        <v>56</v>
      </c>
      <c r="C835" s="26" t="s">
        <v>57</v>
      </c>
      <c r="D835" s="26" t="s">
        <v>71</v>
      </c>
      <c r="E835" s="27" t="s">
        <v>2752</v>
      </c>
      <c r="F835" s="28" t="s">
        <v>2753</v>
      </c>
      <c r="G835" s="29" t="s">
        <v>2465</v>
      </c>
      <c r="H835" s="30">
        <v>45151.0</v>
      </c>
      <c r="I835" s="30">
        <v>45516.0</v>
      </c>
      <c r="J835" s="31" t="s">
        <v>2754</v>
      </c>
      <c r="K835" s="26" t="s">
        <v>455</v>
      </c>
      <c r="L835" s="32" t="s">
        <v>487</v>
      </c>
      <c r="M835" s="33">
        <v>111375.0</v>
      </c>
      <c r="N835" s="34">
        <v>118644.01</v>
      </c>
      <c r="O835" s="27" t="s">
        <v>76</v>
      </c>
      <c r="P835" s="35" t="s">
        <v>142</v>
      </c>
      <c r="Q835" s="35" t="s">
        <v>108</v>
      </c>
      <c r="R835" s="36" t="e">
        <v>#VALUE!</v>
      </c>
      <c r="S835" s="35" t="s">
        <v>86</v>
      </c>
      <c r="T835" s="35">
        <v>0.0</v>
      </c>
      <c r="U835" s="37" t="s">
        <v>67</v>
      </c>
      <c r="V835" s="38">
        <v>4500000.0</v>
      </c>
      <c r="W835" s="78"/>
      <c r="X835" s="27"/>
      <c r="Y835" s="39"/>
      <c r="Z835" s="79" t="s">
        <v>829</v>
      </c>
      <c r="AA835" s="39"/>
      <c r="AB835" s="27"/>
      <c r="AC835" s="27">
        <f t="shared" si="619"/>
        <v>0</v>
      </c>
      <c r="AD835" s="41">
        <f t="shared" si="652"/>
        <v>16706.25</v>
      </c>
      <c r="AE835" s="42">
        <v>2250.0</v>
      </c>
      <c r="AF835" s="27" t="s">
        <v>1980</v>
      </c>
      <c r="AG835" s="43">
        <f t="shared" si="651"/>
        <v>28567.6875</v>
      </c>
      <c r="AH835" s="29"/>
      <c r="AI835" s="29"/>
      <c r="AJ835" s="29"/>
      <c r="AK835" s="29"/>
      <c r="AL835" s="27"/>
      <c r="AM835" s="44"/>
      <c r="AN835" s="47"/>
      <c r="AO835" s="46"/>
      <c r="AP835" s="47"/>
      <c r="AQ835" s="43">
        <f t="shared" ref="AQ835:AQ842" si="655">IF(U835="Motor Plus",(M835*27%),IF(U835="Motor One",(M835*22%),(IF(U835="Golden",(M835*25%),(IF(U835="Classic",(M835*15%),(IF(U835="Wethaq",(M835*28%),IF(U835="Alwataniya",(M835*21%))*0))))))))</f>
        <v>30071.25</v>
      </c>
      <c r="AR835" s="43">
        <f t="shared" si="448"/>
        <v>1503.5625</v>
      </c>
      <c r="AS835" s="43">
        <f t="shared" si="449"/>
        <v>5262.46875</v>
      </c>
      <c r="AT835" s="48">
        <f t="shared" si="450"/>
        <v>23305.21875</v>
      </c>
      <c r="AU835" s="49">
        <f t="shared" si="648"/>
        <v>23305.21875</v>
      </c>
      <c r="AV835" s="48"/>
      <c r="AW835" s="85">
        <f t="shared" si="540"/>
        <v>99687.76</v>
      </c>
      <c r="AX835" s="50">
        <f t="shared" si="413"/>
        <v>4348.96875</v>
      </c>
      <c r="AY835" s="43"/>
      <c r="AZ835" s="47"/>
      <c r="BA835" s="48">
        <f t="shared" si="649"/>
        <v>23305.21875</v>
      </c>
      <c r="BB835" s="27"/>
      <c r="BC835" s="27"/>
      <c r="BD835" s="51"/>
      <c r="BE835" s="52"/>
      <c r="BF835" s="27"/>
      <c r="BG835" s="53">
        <v>0.0</v>
      </c>
      <c r="BH835" s="53" t="str">
        <f>'[1]2023'!Q1189</f>
        <v>#REF!</v>
      </c>
      <c r="BI835" s="27"/>
      <c r="BJ835" s="27"/>
      <c r="BK835" s="27" t="s">
        <v>76</v>
      </c>
      <c r="BL835" s="27"/>
    </row>
    <row r="836" ht="14.25" customHeight="1">
      <c r="A836" s="26" t="s">
        <v>55</v>
      </c>
      <c r="B836" s="26" t="s">
        <v>56</v>
      </c>
      <c r="C836" s="26" t="s">
        <v>57</v>
      </c>
      <c r="D836" s="26" t="s">
        <v>81</v>
      </c>
      <c r="E836" s="27" t="s">
        <v>2755</v>
      </c>
      <c r="F836" s="28" t="s">
        <v>2756</v>
      </c>
      <c r="G836" s="29" t="s">
        <v>2757</v>
      </c>
      <c r="H836" s="30">
        <v>45152.0</v>
      </c>
      <c r="I836" s="30">
        <v>45517.0</v>
      </c>
      <c r="J836" s="31">
        <v>0.0</v>
      </c>
      <c r="K836" s="26" t="s">
        <v>455</v>
      </c>
      <c r="L836" s="32" t="s">
        <v>75</v>
      </c>
      <c r="M836" s="33">
        <v>26904.0</v>
      </c>
      <c r="N836" s="34">
        <v>28632.33</v>
      </c>
      <c r="O836" s="27" t="s">
        <v>76</v>
      </c>
      <c r="P836" s="35" t="s">
        <v>89</v>
      </c>
      <c r="Q836" s="35" t="s">
        <v>65</v>
      </c>
      <c r="R836" s="36" t="e">
        <v>#VALUE!</v>
      </c>
      <c r="S836" s="35" t="s">
        <v>86</v>
      </c>
      <c r="T836" s="35">
        <v>0.0</v>
      </c>
      <c r="U836" s="37" t="s">
        <v>67</v>
      </c>
      <c r="V836" s="38"/>
      <c r="W836" s="38"/>
      <c r="X836" s="27"/>
      <c r="Y836" s="39"/>
      <c r="Z836" s="39"/>
      <c r="AA836" s="39"/>
      <c r="AB836" s="40"/>
      <c r="AC836" s="27">
        <f t="shared" si="619"/>
        <v>0</v>
      </c>
      <c r="AD836" s="41"/>
      <c r="AE836" s="42"/>
      <c r="AF836" s="27"/>
      <c r="AG836" s="43">
        <f t="shared" si="651"/>
        <v>6900.876</v>
      </c>
      <c r="AH836" s="29"/>
      <c r="AI836" s="29"/>
      <c r="AJ836" s="29"/>
      <c r="AK836" s="29"/>
      <c r="AL836" s="27"/>
      <c r="AM836" s="44"/>
      <c r="AN836" s="47"/>
      <c r="AO836" s="46"/>
      <c r="AP836" s="47"/>
      <c r="AQ836" s="43">
        <f t="shared" si="655"/>
        <v>7264.08</v>
      </c>
      <c r="AR836" s="43">
        <f t="shared" si="448"/>
        <v>363.204</v>
      </c>
      <c r="AS836" s="43">
        <f t="shared" si="449"/>
        <v>1271.214</v>
      </c>
      <c r="AT836" s="48">
        <f t="shared" si="450"/>
        <v>5629.662</v>
      </c>
      <c r="AU836" s="49">
        <f t="shared" si="648"/>
        <v>5629.662</v>
      </c>
      <c r="AV836" s="48"/>
      <c r="AW836" s="34">
        <f t="shared" si="540"/>
        <v>28632.33</v>
      </c>
      <c r="AX836" s="50">
        <f t="shared" si="413"/>
        <v>5629.662</v>
      </c>
      <c r="AY836" s="43"/>
      <c r="AZ836" s="47"/>
      <c r="BA836" s="48">
        <f t="shared" si="649"/>
        <v>5629.662</v>
      </c>
      <c r="BB836" s="27"/>
      <c r="BC836" s="27"/>
      <c r="BD836" s="51"/>
      <c r="BE836" s="52"/>
      <c r="BF836" s="27" t="s">
        <v>2755</v>
      </c>
      <c r="BG836" s="53">
        <v>0.0</v>
      </c>
      <c r="BH836" s="53" t="str">
        <f>'[1]2023'!Q1039</f>
        <v>#REF!</v>
      </c>
      <c r="BI836" s="27"/>
      <c r="BJ836" s="27"/>
      <c r="BK836" s="27" t="s">
        <v>76</v>
      </c>
      <c r="BL836" s="27"/>
    </row>
    <row r="837" ht="14.25" customHeight="1">
      <c r="A837" s="26" t="s">
        <v>55</v>
      </c>
      <c r="B837" s="26" t="s">
        <v>56</v>
      </c>
      <c r="C837" s="26" t="s">
        <v>57</v>
      </c>
      <c r="D837" s="26" t="s">
        <v>81</v>
      </c>
      <c r="E837" s="27" t="s">
        <v>2758</v>
      </c>
      <c r="F837" s="28" t="s">
        <v>2759</v>
      </c>
      <c r="G837" s="29" t="s">
        <v>2757</v>
      </c>
      <c r="H837" s="30">
        <v>45152.0</v>
      </c>
      <c r="I837" s="30">
        <v>45517.0</v>
      </c>
      <c r="J837" s="31">
        <v>0.0</v>
      </c>
      <c r="K837" s="26" t="s">
        <v>455</v>
      </c>
      <c r="L837" s="32" t="s">
        <v>480</v>
      </c>
      <c r="M837" s="33">
        <v>46750.0</v>
      </c>
      <c r="N837" s="34">
        <v>49885.0</v>
      </c>
      <c r="O837" s="27" t="s">
        <v>76</v>
      </c>
      <c r="P837" s="35" t="s">
        <v>89</v>
      </c>
      <c r="Q837" s="35" t="s">
        <v>108</v>
      </c>
      <c r="R837" s="36" t="e">
        <v>#VALUE!</v>
      </c>
      <c r="S837" s="35" t="s">
        <v>86</v>
      </c>
      <c r="T837" s="35">
        <v>0.0</v>
      </c>
      <c r="U837" s="37" t="s">
        <v>67</v>
      </c>
      <c r="V837" s="38"/>
      <c r="W837" s="38"/>
      <c r="X837" s="27"/>
      <c r="Y837" s="39"/>
      <c r="Z837" s="39"/>
      <c r="AA837" s="39"/>
      <c r="AB837" s="27"/>
      <c r="AC837" s="27">
        <f t="shared" si="619"/>
        <v>0</v>
      </c>
      <c r="AD837" s="41">
        <f t="shared" ref="AD837:AD844" si="656">IF(AND(S837="0",O837="Paid"),(M837*15%)-AC837,0)</f>
        <v>7012.5</v>
      </c>
      <c r="AE837" s="42"/>
      <c r="AF837" s="27" t="s">
        <v>1980</v>
      </c>
      <c r="AG837" s="43">
        <f t="shared" si="651"/>
        <v>11991.375</v>
      </c>
      <c r="AH837" s="29"/>
      <c r="AI837" s="29"/>
      <c r="AJ837" s="29"/>
      <c r="AK837" s="29"/>
      <c r="AL837" s="27"/>
      <c r="AM837" s="44"/>
      <c r="AN837" s="47"/>
      <c r="AO837" s="46"/>
      <c r="AP837" s="47"/>
      <c r="AQ837" s="43">
        <f t="shared" si="655"/>
        <v>12622.5</v>
      </c>
      <c r="AR837" s="43">
        <f t="shared" si="448"/>
        <v>631.125</v>
      </c>
      <c r="AS837" s="43">
        <f t="shared" si="449"/>
        <v>2208.9375</v>
      </c>
      <c r="AT837" s="48">
        <f t="shared" si="450"/>
        <v>9782.4375</v>
      </c>
      <c r="AU837" s="49">
        <f t="shared" si="648"/>
        <v>9782.4375</v>
      </c>
      <c r="AV837" s="48"/>
      <c r="AW837" s="34">
        <f t="shared" si="540"/>
        <v>42872.5</v>
      </c>
      <c r="AX837" s="50">
        <f t="shared" si="413"/>
        <v>2769.9375</v>
      </c>
      <c r="AY837" s="43"/>
      <c r="AZ837" s="47"/>
      <c r="BA837" s="48">
        <f t="shared" si="649"/>
        <v>9782.4375</v>
      </c>
      <c r="BB837" s="27"/>
      <c r="BC837" s="27"/>
      <c r="BD837" s="51"/>
      <c r="BE837" s="52"/>
      <c r="BF837" s="27" t="s">
        <v>2758</v>
      </c>
      <c r="BG837" s="53">
        <v>0.0</v>
      </c>
      <c r="BH837" s="53" t="str">
        <f>'[1]2023'!Q1095</f>
        <v>#REF!</v>
      </c>
      <c r="BI837" s="27"/>
      <c r="BJ837" s="27"/>
      <c r="BK837" s="27" t="s">
        <v>76</v>
      </c>
      <c r="BL837" s="27"/>
    </row>
    <row r="838" ht="14.25" customHeight="1">
      <c r="A838" s="26" t="s">
        <v>111</v>
      </c>
      <c r="B838" s="26" t="s">
        <v>56</v>
      </c>
      <c r="C838" s="26" t="s">
        <v>57</v>
      </c>
      <c r="D838" s="26" t="s">
        <v>71</v>
      </c>
      <c r="E838" s="27" t="s">
        <v>2760</v>
      </c>
      <c r="F838" s="28" t="s">
        <v>2761</v>
      </c>
      <c r="G838" s="29" t="s">
        <v>2757</v>
      </c>
      <c r="H838" s="30">
        <v>45152.0</v>
      </c>
      <c r="I838" s="30">
        <v>45517.0</v>
      </c>
      <c r="J838" s="31" t="s">
        <v>2762</v>
      </c>
      <c r="K838" s="26" t="s">
        <v>455</v>
      </c>
      <c r="L838" s="32" t="s">
        <v>2561</v>
      </c>
      <c r="M838" s="33">
        <v>32992.67</v>
      </c>
      <c r="N838" s="34">
        <v>35360.0</v>
      </c>
      <c r="O838" s="27" t="s">
        <v>76</v>
      </c>
      <c r="P838" s="35" t="s">
        <v>142</v>
      </c>
      <c r="Q838" s="35" t="s">
        <v>108</v>
      </c>
      <c r="R838" s="36" t="e">
        <v>#VALUE!</v>
      </c>
      <c r="S838" s="35" t="s">
        <v>86</v>
      </c>
      <c r="T838" s="35">
        <v>0.0</v>
      </c>
      <c r="U838" s="37" t="s">
        <v>115</v>
      </c>
      <c r="V838" s="38">
        <v>1360000.0</v>
      </c>
      <c r="W838" s="38"/>
      <c r="X838" s="27"/>
      <c r="Y838" s="39"/>
      <c r="Z838" s="39" t="s">
        <v>2763</v>
      </c>
      <c r="AA838" s="39"/>
      <c r="AB838" s="27"/>
      <c r="AC838" s="27">
        <f t="shared" si="619"/>
        <v>0</v>
      </c>
      <c r="AD838" s="41">
        <f t="shared" si="656"/>
        <v>4948.9005</v>
      </c>
      <c r="AE838" s="42">
        <v>750.0</v>
      </c>
      <c r="AF838" s="27" t="s">
        <v>457</v>
      </c>
      <c r="AG838" s="43">
        <f t="shared" ref="AG838:AG839" si="657">IF(O838="Paid",IF(A838="Alwataniya",(M838*21%)-((M838*21%)*5%),IF((A838="GIG"),(M838*25%)-((M838*25%)*5%),IF((A838="Allianz"),(M838*27%)-((M838*27%)*20%),0))),0)</f>
        <v>7835.759125</v>
      </c>
      <c r="AH838" s="29">
        <v>44994.0</v>
      </c>
      <c r="AI838" s="29" t="s">
        <v>2764</v>
      </c>
      <c r="AJ838" s="29"/>
      <c r="AK838" s="29" t="s">
        <v>2764</v>
      </c>
      <c r="AL838" s="27"/>
      <c r="AM838" s="44"/>
      <c r="AN838" s="47"/>
      <c r="AO838" s="46"/>
      <c r="AP838" s="47"/>
      <c r="AQ838" s="43">
        <f t="shared" si="655"/>
        <v>8248.1675</v>
      </c>
      <c r="AR838" s="43">
        <f t="shared" si="448"/>
        <v>412.408375</v>
      </c>
      <c r="AS838" s="43">
        <f t="shared" si="449"/>
        <v>1443.429313</v>
      </c>
      <c r="AT838" s="48">
        <f t="shared" si="450"/>
        <v>6392.329813</v>
      </c>
      <c r="AU838" s="49">
        <f t="shared" si="648"/>
        <v>6392.329813</v>
      </c>
      <c r="AV838" s="48"/>
      <c r="AW838" s="34">
        <f t="shared" si="540"/>
        <v>29661.0995</v>
      </c>
      <c r="AX838" s="50">
        <f t="shared" si="413"/>
        <v>693.4293125</v>
      </c>
      <c r="AY838" s="43"/>
      <c r="AZ838" s="47"/>
      <c r="BA838" s="48">
        <f t="shared" si="649"/>
        <v>6392.329813</v>
      </c>
      <c r="BB838" s="27"/>
      <c r="BC838" s="27"/>
      <c r="BD838" s="51"/>
      <c r="BE838" s="52"/>
      <c r="BF838" s="27" t="s">
        <v>2760</v>
      </c>
      <c r="BG838" s="53">
        <v>0.0</v>
      </c>
      <c r="BH838" s="53" t="str">
        <f t="shared" ref="BH838:BH839" si="658">'[1]2023'!Q1127</f>
        <v>#REF!</v>
      </c>
      <c r="BI838" s="27"/>
      <c r="BJ838" s="27"/>
      <c r="BK838" s="27" t="s">
        <v>76</v>
      </c>
      <c r="BL838" s="27"/>
    </row>
    <row r="839" ht="14.25" customHeight="1">
      <c r="A839" s="26" t="s">
        <v>111</v>
      </c>
      <c r="B839" s="26" t="s">
        <v>56</v>
      </c>
      <c r="C839" s="26" t="s">
        <v>57</v>
      </c>
      <c r="D839" s="26" t="s">
        <v>71</v>
      </c>
      <c r="E839" s="27" t="s">
        <v>2765</v>
      </c>
      <c r="F839" s="28" t="s">
        <v>2766</v>
      </c>
      <c r="G839" s="29" t="s">
        <v>2757</v>
      </c>
      <c r="H839" s="30">
        <v>45152.0</v>
      </c>
      <c r="I839" s="30">
        <v>45517.0</v>
      </c>
      <c r="J839" s="31" t="s">
        <v>2767</v>
      </c>
      <c r="K839" s="26" t="s">
        <v>455</v>
      </c>
      <c r="L839" s="32" t="s">
        <v>2569</v>
      </c>
      <c r="M839" s="33">
        <v>31526.5</v>
      </c>
      <c r="N839" s="34">
        <v>33800.0</v>
      </c>
      <c r="O839" s="27" t="s">
        <v>76</v>
      </c>
      <c r="P839" s="35" t="s">
        <v>430</v>
      </c>
      <c r="Q839" s="35" t="s">
        <v>114</v>
      </c>
      <c r="R839" s="36" t="e">
        <v>#VALUE!</v>
      </c>
      <c r="S839" s="35" t="s">
        <v>66</v>
      </c>
      <c r="T839" s="35">
        <v>0.0</v>
      </c>
      <c r="U839" s="37" t="s">
        <v>115</v>
      </c>
      <c r="V839" s="38">
        <v>1300000.0</v>
      </c>
      <c r="W839" s="38"/>
      <c r="X839" s="27"/>
      <c r="Y839" s="39"/>
      <c r="Z839" s="79" t="s">
        <v>2768</v>
      </c>
      <c r="AA839" s="39"/>
      <c r="AB839" s="27"/>
      <c r="AC839" s="27">
        <f t="shared" si="619"/>
        <v>0</v>
      </c>
      <c r="AD839" s="41">
        <f t="shared" si="656"/>
        <v>0</v>
      </c>
      <c r="AE839" s="42"/>
      <c r="AF839" s="27"/>
      <c r="AG839" s="43">
        <f t="shared" si="657"/>
        <v>7487.54375</v>
      </c>
      <c r="AH839" s="29" t="s">
        <v>457</v>
      </c>
      <c r="AI839" s="29">
        <v>45086.0</v>
      </c>
      <c r="AJ839" s="29"/>
      <c r="AK839" s="29">
        <v>45025.0</v>
      </c>
      <c r="AL839" s="27"/>
      <c r="AM839" s="46">
        <f t="shared" ref="AM839:AM840" si="659">((M839*25%)-AC839-((M839*25%)*22.5%))*30%</f>
        <v>1832.477813</v>
      </c>
      <c r="AN839" s="63" t="s">
        <v>1730</v>
      </c>
      <c r="AO839" s="46"/>
      <c r="AP839" s="47"/>
      <c r="AQ839" s="84">
        <f t="shared" si="655"/>
        <v>7881.625</v>
      </c>
      <c r="AR839" s="43">
        <f t="shared" si="448"/>
        <v>394.08125</v>
      </c>
      <c r="AS839" s="43">
        <f t="shared" si="449"/>
        <v>1379.284375</v>
      </c>
      <c r="AT839" s="48">
        <f t="shared" si="450"/>
        <v>6108.259375</v>
      </c>
      <c r="AU839" s="49">
        <f t="shared" si="648"/>
        <v>6108.259375</v>
      </c>
      <c r="AV839" s="48"/>
      <c r="AW839" s="34">
        <f t="shared" si="540"/>
        <v>33800</v>
      </c>
      <c r="AX839" s="50">
        <f t="shared" si="413"/>
        <v>4275.781563</v>
      </c>
      <c r="AY839" s="43"/>
      <c r="AZ839" s="47"/>
      <c r="BA839" s="48">
        <f t="shared" si="649"/>
        <v>4275.781563</v>
      </c>
      <c r="BB839" s="27"/>
      <c r="BC839" s="27"/>
      <c r="BD839" s="51"/>
      <c r="BE839" s="52"/>
      <c r="BF839" s="27" t="s">
        <v>2765</v>
      </c>
      <c r="BG839" s="53">
        <v>0.0</v>
      </c>
      <c r="BH839" s="53" t="str">
        <f t="shared" si="658"/>
        <v>#REF!</v>
      </c>
      <c r="BI839" s="27"/>
      <c r="BJ839" s="27"/>
      <c r="BK839" s="27" t="s">
        <v>76</v>
      </c>
      <c r="BL839" s="27"/>
    </row>
    <row r="840" ht="14.25" customHeight="1">
      <c r="A840" s="26" t="s">
        <v>55</v>
      </c>
      <c r="B840" s="26" t="s">
        <v>56</v>
      </c>
      <c r="C840" s="26" t="s">
        <v>57</v>
      </c>
      <c r="D840" s="26" t="s">
        <v>58</v>
      </c>
      <c r="E840" s="27" t="s">
        <v>2769</v>
      </c>
      <c r="F840" s="28" t="s">
        <v>2770</v>
      </c>
      <c r="G840" s="29" t="s">
        <v>2757</v>
      </c>
      <c r="H840" s="30">
        <v>45152.0</v>
      </c>
      <c r="I840" s="30">
        <v>45517.0</v>
      </c>
      <c r="J840" s="31">
        <v>0.0</v>
      </c>
      <c r="K840" s="26" t="s">
        <v>455</v>
      </c>
      <c r="L840" s="32" t="s">
        <v>480</v>
      </c>
      <c r="M840" s="33">
        <v>7051.45</v>
      </c>
      <c r="N840" s="34">
        <v>7467.5</v>
      </c>
      <c r="O840" s="27" t="s">
        <v>76</v>
      </c>
      <c r="P840" s="35" t="s">
        <v>89</v>
      </c>
      <c r="Q840" s="35" t="s">
        <v>90</v>
      </c>
      <c r="R840" s="36" t="e">
        <v>#VALUE!</v>
      </c>
      <c r="S840" s="35" t="s">
        <v>66</v>
      </c>
      <c r="T840" s="35">
        <v>0.0</v>
      </c>
      <c r="U840" s="37" t="s">
        <v>67</v>
      </c>
      <c r="V840" s="38"/>
      <c r="W840" s="38"/>
      <c r="X840" s="27"/>
      <c r="Y840" s="39"/>
      <c r="Z840" s="79" t="s">
        <v>208</v>
      </c>
      <c r="AA840" s="39"/>
      <c r="AB840" s="27"/>
      <c r="AC840" s="27">
        <f t="shared" si="619"/>
        <v>0</v>
      </c>
      <c r="AD840" s="41">
        <f t="shared" si="656"/>
        <v>0</v>
      </c>
      <c r="AE840" s="42"/>
      <c r="AF840" s="27"/>
      <c r="AG840" s="43">
        <f>IF(O840="Paid",IF(A840="Alwataniya",(M840*21%)-((M840*21%)*5%),IF((A840="GIG"),(M840*25%)-((M840*25%)*5%),IF((A840="Allianz"),(M840*27%)-((M840*27%)*5%),0))),0)</f>
        <v>1808.696925</v>
      </c>
      <c r="AH840" s="29"/>
      <c r="AI840" s="29"/>
      <c r="AJ840" s="29"/>
      <c r="AK840" s="29"/>
      <c r="AL840" s="27"/>
      <c r="AM840" s="44">
        <f t="shared" si="659"/>
        <v>409.8655313</v>
      </c>
      <c r="AN840" s="179">
        <v>45148.0</v>
      </c>
      <c r="AO840" s="46"/>
      <c r="AP840" s="47"/>
      <c r="AQ840" s="43">
        <f t="shared" si="655"/>
        <v>1903.8915</v>
      </c>
      <c r="AR840" s="43">
        <f t="shared" si="448"/>
        <v>95.194575</v>
      </c>
      <c r="AS840" s="43">
        <f t="shared" si="449"/>
        <v>333.1810125</v>
      </c>
      <c r="AT840" s="48">
        <f t="shared" si="450"/>
        <v>1475.515913</v>
      </c>
      <c r="AU840" s="49">
        <f t="shared" si="648"/>
        <v>1475.515913</v>
      </c>
      <c r="AV840" s="48"/>
      <c r="AW840" s="34">
        <f t="shared" si="540"/>
        <v>7467.5</v>
      </c>
      <c r="AX840" s="50">
        <f t="shared" si="413"/>
        <v>1065.650381</v>
      </c>
      <c r="AY840" s="43"/>
      <c r="AZ840" s="47"/>
      <c r="BA840" s="48">
        <f t="shared" si="649"/>
        <v>1065.650381</v>
      </c>
      <c r="BB840" s="27"/>
      <c r="BC840" s="27"/>
      <c r="BD840" s="51"/>
      <c r="BE840" s="52"/>
      <c r="BF840" s="27" t="s">
        <v>2769</v>
      </c>
      <c r="BG840" s="53">
        <v>0.0</v>
      </c>
      <c r="BH840" s="53" t="str">
        <f t="shared" ref="BH840:BH841" si="660">'[1]2023'!Q1132</f>
        <v>#REF!</v>
      </c>
      <c r="BI840" s="27"/>
      <c r="BJ840" s="27"/>
      <c r="BK840" s="27" t="s">
        <v>76</v>
      </c>
      <c r="BL840" s="27"/>
    </row>
    <row r="841" ht="14.25" customHeight="1">
      <c r="A841" s="26" t="s">
        <v>68</v>
      </c>
      <c r="B841" s="26" t="s">
        <v>56</v>
      </c>
      <c r="C841" s="26" t="s">
        <v>57</v>
      </c>
      <c r="D841" s="26" t="s">
        <v>71</v>
      </c>
      <c r="E841" s="27" t="s">
        <v>2771</v>
      </c>
      <c r="F841" s="28" t="s">
        <v>2772</v>
      </c>
      <c r="G841" s="29" t="s">
        <v>2757</v>
      </c>
      <c r="H841" s="30">
        <v>45152.0</v>
      </c>
      <c r="I841" s="30">
        <v>45517.0</v>
      </c>
      <c r="J841" s="31">
        <v>0.0</v>
      </c>
      <c r="K841" s="26" t="s">
        <v>455</v>
      </c>
      <c r="L841" s="32" t="s">
        <v>487</v>
      </c>
      <c r="M841" s="33">
        <v>50374.52</v>
      </c>
      <c r="N841" s="34">
        <v>54000.0</v>
      </c>
      <c r="O841" s="27" t="s">
        <v>76</v>
      </c>
      <c r="P841" s="35" t="s">
        <v>142</v>
      </c>
      <c r="Q841" s="35" t="s">
        <v>108</v>
      </c>
      <c r="R841" s="36" t="e">
        <v>#VALUE!</v>
      </c>
      <c r="S841" s="35" t="s">
        <v>86</v>
      </c>
      <c r="T841" s="35">
        <v>0.0</v>
      </c>
      <c r="U841" s="37" t="s">
        <v>68</v>
      </c>
      <c r="V841" s="38">
        <v>3000000.0</v>
      </c>
      <c r="W841" s="38"/>
      <c r="X841" s="27"/>
      <c r="Y841" s="39"/>
      <c r="Z841" s="79" t="s">
        <v>2773</v>
      </c>
      <c r="AA841" s="39"/>
      <c r="AB841" s="27"/>
      <c r="AC841" s="27">
        <f t="shared" si="619"/>
        <v>0</v>
      </c>
      <c r="AD841" s="41">
        <f t="shared" si="656"/>
        <v>7556.178</v>
      </c>
      <c r="AE841" s="42">
        <v>1500.0</v>
      </c>
      <c r="AF841" s="27" t="s">
        <v>1980</v>
      </c>
      <c r="AG841" s="159">
        <f>IF(O841="Paid",IF(A841="Wethaq",(M841*28%)-((M841*28%)*5%)))</f>
        <v>13399.62232</v>
      </c>
      <c r="AH841" s="29"/>
      <c r="AI841" s="29" t="s">
        <v>1324</v>
      </c>
      <c r="AJ841" s="55">
        <v>0.28</v>
      </c>
      <c r="AK841" s="29" t="s">
        <v>1325</v>
      </c>
      <c r="AL841" s="27"/>
      <c r="AM841" s="44"/>
      <c r="AN841" s="47"/>
      <c r="AO841" s="46"/>
      <c r="AP841" s="47"/>
      <c r="AQ841" s="43">
        <f t="shared" si="655"/>
        <v>14104.8656</v>
      </c>
      <c r="AR841" s="43">
        <f t="shared" si="448"/>
        <v>705.24328</v>
      </c>
      <c r="AS841" s="43">
        <f t="shared" si="449"/>
        <v>2468.35148</v>
      </c>
      <c r="AT841" s="48">
        <f t="shared" si="450"/>
        <v>10931.27084</v>
      </c>
      <c r="AU841" s="49">
        <f t="shared" si="648"/>
        <v>10931.27084</v>
      </c>
      <c r="AV841" s="48"/>
      <c r="AW841" s="85">
        <f t="shared" si="540"/>
        <v>44943.822</v>
      </c>
      <c r="AX841" s="50">
        <f t="shared" si="413"/>
        <v>1875.09284</v>
      </c>
      <c r="AY841" s="43"/>
      <c r="AZ841" s="47"/>
      <c r="BA841" s="48">
        <f t="shared" si="649"/>
        <v>10931.27084</v>
      </c>
      <c r="BB841" s="27"/>
      <c r="BC841" s="27"/>
      <c r="BD841" s="51"/>
      <c r="BE841" s="52"/>
      <c r="BF841" s="27" t="s">
        <v>2771</v>
      </c>
      <c r="BG841" s="53">
        <v>0.0</v>
      </c>
      <c r="BH841" s="53" t="str">
        <f t="shared" si="660"/>
        <v>#REF!</v>
      </c>
      <c r="BI841" s="27"/>
      <c r="BJ841" s="27"/>
      <c r="BK841" s="27" t="s">
        <v>76</v>
      </c>
      <c r="BL841" s="158"/>
    </row>
    <row r="842" ht="14.25" customHeight="1">
      <c r="A842" s="26" t="s">
        <v>55</v>
      </c>
      <c r="B842" s="26" t="s">
        <v>56</v>
      </c>
      <c r="C842" s="26" t="s">
        <v>57</v>
      </c>
      <c r="D842" s="26" t="s">
        <v>58</v>
      </c>
      <c r="E842" s="27" t="s">
        <v>2774</v>
      </c>
      <c r="F842" s="28" t="s">
        <v>2775</v>
      </c>
      <c r="G842" s="29" t="s">
        <v>2757</v>
      </c>
      <c r="H842" s="30">
        <v>45152.0</v>
      </c>
      <c r="I842" s="30">
        <v>45517.0</v>
      </c>
      <c r="J842" s="31">
        <v>0.0</v>
      </c>
      <c r="K842" s="26" t="s">
        <v>455</v>
      </c>
      <c r="L842" s="32" t="s">
        <v>2757</v>
      </c>
      <c r="M842" s="33">
        <v>1636.77</v>
      </c>
      <c r="N842" s="34">
        <v>1733.34</v>
      </c>
      <c r="O842" s="27" t="s">
        <v>76</v>
      </c>
      <c r="P842" s="35" t="s">
        <v>122</v>
      </c>
      <c r="Q842" s="35" t="s">
        <v>90</v>
      </c>
      <c r="R842" s="36" t="e">
        <v>#VALUE!</v>
      </c>
      <c r="S842" s="35" t="s">
        <v>86</v>
      </c>
      <c r="T842" s="35">
        <v>0.0</v>
      </c>
      <c r="U842" s="37" t="s">
        <v>67</v>
      </c>
      <c r="V842" s="38"/>
      <c r="W842" s="38"/>
      <c r="X842" s="27"/>
      <c r="Y842" s="39"/>
      <c r="Z842" s="39"/>
      <c r="AA842" s="39"/>
      <c r="AB842" s="27"/>
      <c r="AC842" s="27">
        <f t="shared" si="619"/>
        <v>0</v>
      </c>
      <c r="AD842" s="41">
        <f t="shared" si="656"/>
        <v>245.5155</v>
      </c>
      <c r="AE842" s="42"/>
      <c r="AF842" s="27"/>
      <c r="AG842" s="43">
        <f t="shared" ref="AG842:AG843" si="661">IF(O842="Paid",IF(A842="Alwataniya",(M842*21%)-((M842*21%)*5%),IF((A842="GIG"),(M842*25%)-((M842*25%)*5%),IF((A842="Allianz"),(M842*27%)-((M842*27%)*5%),0))),0)</f>
        <v>419.831505</v>
      </c>
      <c r="AH842" s="29"/>
      <c r="AI842" s="29"/>
      <c r="AJ842" s="29"/>
      <c r="AK842" s="29"/>
      <c r="AL842" s="27"/>
      <c r="AM842" s="44"/>
      <c r="AN842" s="47"/>
      <c r="AO842" s="46"/>
      <c r="AP842" s="47"/>
      <c r="AQ842" s="43">
        <f t="shared" si="655"/>
        <v>441.9279</v>
      </c>
      <c r="AR842" s="43">
        <f t="shared" si="448"/>
        <v>22.096395</v>
      </c>
      <c r="AS842" s="43">
        <f t="shared" si="449"/>
        <v>77.3373825</v>
      </c>
      <c r="AT842" s="48">
        <f t="shared" si="450"/>
        <v>342.4941225</v>
      </c>
      <c r="AU842" s="49">
        <f t="shared" si="648"/>
        <v>342.4941225</v>
      </c>
      <c r="AV842" s="48"/>
      <c r="AW842" s="34">
        <f t="shared" si="540"/>
        <v>1487.8245</v>
      </c>
      <c r="AX842" s="50">
        <f t="shared" si="413"/>
        <v>96.9786225</v>
      </c>
      <c r="AY842" s="43"/>
      <c r="AZ842" s="47"/>
      <c r="BA842" s="48">
        <f t="shared" si="649"/>
        <v>342.4941225</v>
      </c>
      <c r="BB842" s="27"/>
      <c r="BC842" s="27"/>
      <c r="BD842" s="51"/>
      <c r="BE842" s="52"/>
      <c r="BF842" s="27" t="s">
        <v>2774</v>
      </c>
      <c r="BG842" s="53">
        <v>0.0</v>
      </c>
      <c r="BH842" s="53" t="str">
        <f t="shared" ref="BH842:BH843" si="662">'[1]2023'!Q1137</f>
        <v>#REF!</v>
      </c>
      <c r="BI842" s="27"/>
      <c r="BJ842" s="27"/>
      <c r="BK842" s="27" t="s">
        <v>76</v>
      </c>
      <c r="BL842" s="167"/>
    </row>
    <row r="843" ht="14.25" customHeight="1">
      <c r="A843" s="26" t="s">
        <v>55</v>
      </c>
      <c r="B843" s="26" t="s">
        <v>56</v>
      </c>
      <c r="C843" s="26" t="s">
        <v>57</v>
      </c>
      <c r="D843" s="26" t="s">
        <v>58</v>
      </c>
      <c r="E843" s="27" t="s">
        <v>2776</v>
      </c>
      <c r="F843" s="28" t="s">
        <v>2777</v>
      </c>
      <c r="G843" s="29" t="s">
        <v>2757</v>
      </c>
      <c r="H843" s="30">
        <v>45152.0</v>
      </c>
      <c r="I843" s="30">
        <v>45517.0</v>
      </c>
      <c r="J843" s="31" t="s">
        <v>2778</v>
      </c>
      <c r="K843" s="26" t="s">
        <v>455</v>
      </c>
      <c r="L843" s="32" t="s">
        <v>63</v>
      </c>
      <c r="M843" s="33">
        <v>9298.84</v>
      </c>
      <c r="N843" s="34">
        <v>9850.0</v>
      </c>
      <c r="O843" s="27" t="s">
        <v>64</v>
      </c>
      <c r="P843" s="35">
        <v>0.0</v>
      </c>
      <c r="Q843" s="35" t="s">
        <v>90</v>
      </c>
      <c r="R843" s="36" t="e">
        <v>#VALUE!</v>
      </c>
      <c r="S843" s="35" t="s">
        <v>86</v>
      </c>
      <c r="T843" s="35">
        <v>0.0</v>
      </c>
      <c r="U843" s="37" t="s">
        <v>67</v>
      </c>
      <c r="V843" s="38"/>
      <c r="W843" s="38"/>
      <c r="X843" s="27"/>
      <c r="Y843" s="39"/>
      <c r="Z843" s="39"/>
      <c r="AA843" s="39"/>
      <c r="AB843" s="27"/>
      <c r="AC843" s="27">
        <f t="shared" si="619"/>
        <v>0</v>
      </c>
      <c r="AD843" s="41">
        <f t="shared" si="656"/>
        <v>0</v>
      </c>
      <c r="AE843" s="42"/>
      <c r="AF843" s="27"/>
      <c r="AG843" s="43">
        <f t="shared" si="661"/>
        <v>0</v>
      </c>
      <c r="AH843" s="29"/>
      <c r="AI843" s="29"/>
      <c r="AJ843" s="29"/>
      <c r="AK843" s="29"/>
      <c r="AL843" s="27"/>
      <c r="AM843" s="44"/>
      <c r="AN843" s="47"/>
      <c r="AO843" s="46"/>
      <c r="AP843" s="47"/>
      <c r="AQ843" s="43" t="b">
        <f t="shared" ref="AQ843:AQ844" si="663">IF(O843="Paid",IF(U843="Motor Plus",(M843*27%),IF(U843="Motor One",(M843*22%),(IF(U843="Golden",(M843*25%),(IF(U843="Classic",(M843*15%),(IF(U843="Wethaq",(M843*28%),IF(U843="Alwataniya",(M843*21%))*0)))))))))</f>
        <v>0</v>
      </c>
      <c r="AR843" s="43">
        <f t="shared" si="448"/>
        <v>0</v>
      </c>
      <c r="AS843" s="43">
        <f t="shared" si="449"/>
        <v>0</v>
      </c>
      <c r="AT843" s="48">
        <f t="shared" si="450"/>
        <v>0</v>
      </c>
      <c r="AU843" s="49">
        <f t="shared" si="648"/>
        <v>0</v>
      </c>
      <c r="AV843" s="48"/>
      <c r="AW843" s="34">
        <f t="shared" si="540"/>
        <v>9850</v>
      </c>
      <c r="AX843" s="50">
        <f t="shared" si="413"/>
        <v>0</v>
      </c>
      <c r="AY843" s="43"/>
      <c r="AZ843" s="47"/>
      <c r="BA843" s="48">
        <f t="shared" si="649"/>
        <v>0</v>
      </c>
      <c r="BB843" s="27"/>
      <c r="BC843" s="27"/>
      <c r="BD843" s="51"/>
      <c r="BE843" s="52"/>
      <c r="BF843" s="27" t="s">
        <v>2776</v>
      </c>
      <c r="BG843" s="58" t="s">
        <v>2779</v>
      </c>
      <c r="BH843" s="53" t="str">
        <f t="shared" si="662"/>
        <v>#REF!</v>
      </c>
      <c r="BI843" s="27"/>
      <c r="BJ843" s="27"/>
      <c r="BK843" s="27" t="s">
        <v>64</v>
      </c>
      <c r="BL843" s="44"/>
    </row>
    <row r="844" ht="14.25" customHeight="1">
      <c r="A844" s="26" t="s">
        <v>111</v>
      </c>
      <c r="B844" s="26" t="s">
        <v>56</v>
      </c>
      <c r="C844" s="26" t="s">
        <v>57</v>
      </c>
      <c r="D844" s="26" t="s">
        <v>58</v>
      </c>
      <c r="E844" s="27" t="s">
        <v>2780</v>
      </c>
      <c r="F844" s="28" t="s">
        <v>2781</v>
      </c>
      <c r="G844" s="29" t="s">
        <v>2757</v>
      </c>
      <c r="H844" s="30">
        <v>45152.0</v>
      </c>
      <c r="I844" s="30">
        <v>45517.0</v>
      </c>
      <c r="J844" s="31">
        <v>0.0</v>
      </c>
      <c r="K844" s="26" t="s">
        <v>2374</v>
      </c>
      <c r="L844" s="32" t="s">
        <v>63</v>
      </c>
      <c r="M844" s="33" t="s">
        <v>63</v>
      </c>
      <c r="N844" s="34">
        <v>50.0</v>
      </c>
      <c r="O844" s="27" t="s">
        <v>64</v>
      </c>
      <c r="P844" s="35">
        <v>0.0</v>
      </c>
      <c r="Q844" s="35">
        <v>0.0</v>
      </c>
      <c r="R844" s="36" t="e">
        <v>#VALUE!</v>
      </c>
      <c r="S844" s="35" t="s">
        <v>66</v>
      </c>
      <c r="T844" s="35">
        <v>0.0</v>
      </c>
      <c r="U844" s="37" t="s">
        <v>115</v>
      </c>
      <c r="V844" s="38"/>
      <c r="W844" s="78"/>
      <c r="X844" s="27"/>
      <c r="Y844" s="39"/>
      <c r="Z844" s="39"/>
      <c r="AA844" s="39"/>
      <c r="AB844" s="27"/>
      <c r="AC844" s="27" t="str">
        <f t="shared" si="619"/>
        <v>#VALUE!</v>
      </c>
      <c r="AD844" s="41">
        <f t="shared" si="656"/>
        <v>0</v>
      </c>
      <c r="AE844" s="42"/>
      <c r="AF844" s="27"/>
      <c r="AG844" s="43">
        <f>IF(O844="Paid",IF(A844="Wethaq",(M844*28%)-((M844*28%)*5%),IF((A844="GIG"),(M844*25%)-((M844*25%)*5%),IF((A844="Allianz"),(M844*27%)-((M844*27%)*20%),0))),0)</f>
        <v>0</v>
      </c>
      <c r="AH844" s="29"/>
      <c r="AI844" s="29"/>
      <c r="AJ844" s="29"/>
      <c r="AK844" s="29"/>
      <c r="AL844" s="27"/>
      <c r="AM844" s="44"/>
      <c r="AN844" s="47"/>
      <c r="AO844" s="46"/>
      <c r="AP844" s="47"/>
      <c r="AQ844" s="43" t="b">
        <f t="shared" si="663"/>
        <v>0</v>
      </c>
      <c r="AR844" s="43">
        <f t="shared" si="448"/>
        <v>0</v>
      </c>
      <c r="AS844" s="43">
        <f t="shared" si="449"/>
        <v>0</v>
      </c>
      <c r="AT844" s="48">
        <f t="shared" si="450"/>
        <v>0</v>
      </c>
      <c r="AU844" s="49" t="str">
        <f t="shared" si="648"/>
        <v>#VALUE!</v>
      </c>
      <c r="AV844" s="48"/>
      <c r="AW844" s="27" t="str">
        <f t="shared" si="540"/>
        <v>#VALUE!</v>
      </c>
      <c r="AX844" s="50">
        <f t="shared" si="413"/>
        <v>0</v>
      </c>
      <c r="AY844" s="43"/>
      <c r="AZ844" s="47"/>
      <c r="BA844" s="48" t="str">
        <f t="shared" si="649"/>
        <v>#VALUE!</v>
      </c>
      <c r="BB844" s="27"/>
      <c r="BC844" s="27"/>
      <c r="BD844" s="51"/>
      <c r="BE844" s="52"/>
      <c r="BF844" s="27"/>
      <c r="BG844" s="53">
        <v>0.0</v>
      </c>
      <c r="BH844" s="53" t="str">
        <f>'[1]2023'!Q1602</f>
        <v>#REF!</v>
      </c>
      <c r="BI844" s="27"/>
      <c r="BJ844" s="27"/>
      <c r="BK844" s="27" t="s">
        <v>1102</v>
      </c>
      <c r="BL844" s="27"/>
    </row>
    <row r="845" ht="14.25" customHeight="1">
      <c r="A845" s="26" t="s">
        <v>2171</v>
      </c>
      <c r="B845" s="26" t="s">
        <v>1099</v>
      </c>
      <c r="C845" s="26" t="s">
        <v>70</v>
      </c>
      <c r="D845" s="26" t="s">
        <v>71</v>
      </c>
      <c r="E845" s="27" t="s">
        <v>2782</v>
      </c>
      <c r="F845" s="28" t="s">
        <v>2173</v>
      </c>
      <c r="G845" s="29" t="s">
        <v>2783</v>
      </c>
      <c r="H845" s="30">
        <v>45153.0</v>
      </c>
      <c r="I845" s="30">
        <v>45518.0</v>
      </c>
      <c r="J845" s="31">
        <v>0.0</v>
      </c>
      <c r="K845" s="26" t="s">
        <v>2784</v>
      </c>
      <c r="L845" s="32" t="s">
        <v>63</v>
      </c>
      <c r="M845" s="33">
        <v>0.0</v>
      </c>
      <c r="N845" s="34">
        <v>449582.0</v>
      </c>
      <c r="O845" s="27" t="s">
        <v>76</v>
      </c>
      <c r="P845" s="35" t="s">
        <v>77</v>
      </c>
      <c r="Q845" s="35">
        <v>0.0</v>
      </c>
      <c r="R845" s="36" t="e">
        <v>#VALUE!</v>
      </c>
      <c r="S845" s="35" t="s">
        <v>78</v>
      </c>
      <c r="T845" s="54" t="s">
        <v>79</v>
      </c>
      <c r="U845" s="37" t="s">
        <v>1099</v>
      </c>
      <c r="V845" s="38"/>
      <c r="W845" s="38"/>
      <c r="X845" s="27"/>
      <c r="Y845" s="39"/>
      <c r="Z845" s="39"/>
      <c r="AA845" s="39"/>
      <c r="AB845" s="40"/>
      <c r="AC845" s="27">
        <f t="shared" si="619"/>
        <v>0</v>
      </c>
      <c r="AD845" s="41"/>
      <c r="AE845" s="42"/>
      <c r="AF845" s="27"/>
      <c r="AG845" s="43">
        <f>(N845*10%)-((N845*10%)*5%)</f>
        <v>42710.29</v>
      </c>
      <c r="AH845" s="29">
        <v>44994.0</v>
      </c>
      <c r="AI845" s="29">
        <v>45116.0</v>
      </c>
      <c r="AJ845" s="55">
        <v>0.1</v>
      </c>
      <c r="AK845" s="29">
        <v>44994.0</v>
      </c>
      <c r="AL845" s="27"/>
      <c r="AM845" s="44"/>
      <c r="AN845" s="56"/>
      <c r="AO845" s="46">
        <f>((N845*AJ845)-((N845*AJ845)*22.5%))*70%</f>
        <v>24389.8235</v>
      </c>
      <c r="AP845" s="57">
        <v>45116.0</v>
      </c>
      <c r="AQ845" s="43">
        <f>N845*AJ845</f>
        <v>44958.2</v>
      </c>
      <c r="AR845" s="43">
        <f t="shared" si="448"/>
        <v>2247.91</v>
      </c>
      <c r="AS845" s="43">
        <f t="shared" si="449"/>
        <v>7867.685</v>
      </c>
      <c r="AT845" s="48">
        <f t="shared" si="450"/>
        <v>34842.605</v>
      </c>
      <c r="AU845" s="49">
        <f>AQ845-AR845-AS845-AC845</f>
        <v>34842.605</v>
      </c>
      <c r="AV845" s="48"/>
      <c r="AW845" s="34">
        <f t="shared" si="540"/>
        <v>449582</v>
      </c>
      <c r="AX845" s="50">
        <f t="shared" si="413"/>
        <v>10452.7815</v>
      </c>
      <c r="AY845" s="43"/>
      <c r="AZ845" s="43"/>
      <c r="BA845" s="48" t="str">
        <f>IF(S845&lt;&gt;0,AU845-#REF!-AM845,(AG845-AD845-AE845-AS845))</f>
        <v>#REF!</v>
      </c>
      <c r="BB845" s="27"/>
      <c r="BC845" s="27"/>
      <c r="BD845" s="51"/>
      <c r="BE845" s="52"/>
      <c r="BF845" s="27" t="s">
        <v>2782</v>
      </c>
      <c r="BG845" s="53">
        <v>0.0</v>
      </c>
      <c r="BH845" s="53" t="str">
        <f>'[1]2023'!Q881</f>
        <v>#REF!</v>
      </c>
      <c r="BI845" s="27"/>
      <c r="BJ845" s="27"/>
      <c r="BK845" s="27" t="s">
        <v>76</v>
      </c>
      <c r="BL845" s="27"/>
    </row>
    <row r="846" ht="14.25" customHeight="1">
      <c r="A846" s="26" t="s">
        <v>55</v>
      </c>
      <c r="B846" s="26" t="s">
        <v>56</v>
      </c>
      <c r="C846" s="26" t="s">
        <v>57</v>
      </c>
      <c r="D846" s="26" t="s">
        <v>81</v>
      </c>
      <c r="E846" s="27" t="s">
        <v>2785</v>
      </c>
      <c r="F846" s="28" t="s">
        <v>2786</v>
      </c>
      <c r="G846" s="29" t="s">
        <v>2783</v>
      </c>
      <c r="H846" s="30">
        <v>45153.0</v>
      </c>
      <c r="I846" s="30">
        <v>45518.0</v>
      </c>
      <c r="J846" s="31">
        <v>0.0</v>
      </c>
      <c r="K846" s="26" t="s">
        <v>455</v>
      </c>
      <c r="L846" s="32" t="s">
        <v>2534</v>
      </c>
      <c r="M846" s="33">
        <v>39000.0</v>
      </c>
      <c r="N846" s="34">
        <v>41442.0</v>
      </c>
      <c r="O846" s="27" t="s">
        <v>76</v>
      </c>
      <c r="P846" s="35" t="s">
        <v>89</v>
      </c>
      <c r="Q846" s="35" t="s">
        <v>65</v>
      </c>
      <c r="R846" s="36" t="e">
        <v>#VALUE!</v>
      </c>
      <c r="S846" s="35" t="s">
        <v>86</v>
      </c>
      <c r="T846" s="35">
        <v>0.0</v>
      </c>
      <c r="U846" s="37" t="s">
        <v>67</v>
      </c>
      <c r="V846" s="38"/>
      <c r="W846" s="38"/>
      <c r="X846" s="27"/>
      <c r="Y846" s="39"/>
      <c r="Z846" s="39"/>
      <c r="AA846" s="39"/>
      <c r="AB846" s="40"/>
      <c r="AC846" s="27">
        <f t="shared" si="619"/>
        <v>0</v>
      </c>
      <c r="AD846" s="41"/>
      <c r="AE846" s="42"/>
      <c r="AF846" s="27"/>
      <c r="AG846" s="43">
        <f t="shared" ref="AG846:AG847" si="664">IF(O846="Paid",IF(A846="Alwataniya",(M846*21%)-((M846*21%)*5%),IF((A846="GIG"),(M846*25%)-((M846*25%)*5%),IF((A846="Allianz"),(M846*27%)-((M846*27%)*5%),0))),0)</f>
        <v>10003.5</v>
      </c>
      <c r="AH846" s="29"/>
      <c r="AI846" s="29"/>
      <c r="AJ846" s="29"/>
      <c r="AK846" s="29"/>
      <c r="AL846" s="27"/>
      <c r="AM846" s="44"/>
      <c r="AN846" s="47"/>
      <c r="AO846" s="46"/>
      <c r="AP846" s="47"/>
      <c r="AQ846" s="43">
        <f t="shared" ref="AQ846:AQ856" si="665">IF(U846="Motor Plus",(M846*27%),IF(U846="Motor One",(M846*22%),(IF(U846="Golden",(M846*25%),(IF(U846="Classic",(M846*15%),(IF(U846="Wethaq",(M846*28%),IF(U846="Alwataniya",(M846*21%))*0))))))))</f>
        <v>10530</v>
      </c>
      <c r="AR846" s="43">
        <f t="shared" si="448"/>
        <v>526.5</v>
      </c>
      <c r="AS846" s="43">
        <f t="shared" si="449"/>
        <v>1842.75</v>
      </c>
      <c r="AT846" s="48">
        <f t="shared" si="450"/>
        <v>8160.75</v>
      </c>
      <c r="AU846" s="49">
        <f t="shared" ref="AU846:AU849" si="666">AQ846-AR846-AS846-AC846-AO846</f>
        <v>8160.75</v>
      </c>
      <c r="AV846" s="48"/>
      <c r="AW846" s="34">
        <f t="shared" si="540"/>
        <v>41442</v>
      </c>
      <c r="AX846" s="50">
        <f t="shared" si="413"/>
        <v>8160.75</v>
      </c>
      <c r="AY846" s="43"/>
      <c r="AZ846" s="43"/>
      <c r="BA846" s="48">
        <f t="shared" ref="BA846:BA870" si="667">IF(S846&lt;&gt;0,AU846-AO846-AM846,(AG846-AD846-AE846-AS846))</f>
        <v>8160.75</v>
      </c>
      <c r="BB846" s="27"/>
      <c r="BC846" s="27"/>
      <c r="BD846" s="51"/>
      <c r="BE846" s="52"/>
      <c r="BF846" s="27" t="s">
        <v>2785</v>
      </c>
      <c r="BG846" s="53">
        <v>0.0</v>
      </c>
      <c r="BH846" s="53" t="str">
        <f>'[1]2023'!Q948</f>
        <v>#REF!</v>
      </c>
      <c r="BI846" s="27"/>
      <c r="BJ846" s="27"/>
      <c r="BK846" s="27" t="s">
        <v>76</v>
      </c>
      <c r="BL846" s="27"/>
    </row>
    <row r="847" ht="14.25" customHeight="1">
      <c r="A847" s="26" t="s">
        <v>55</v>
      </c>
      <c r="B847" s="26" t="s">
        <v>1099</v>
      </c>
      <c r="C847" s="26" t="s">
        <v>57</v>
      </c>
      <c r="D847" s="26" t="s">
        <v>81</v>
      </c>
      <c r="E847" s="27" t="s">
        <v>2787</v>
      </c>
      <c r="F847" s="28" t="s">
        <v>2788</v>
      </c>
      <c r="G847" s="29" t="s">
        <v>2783</v>
      </c>
      <c r="H847" s="30">
        <v>45153.0</v>
      </c>
      <c r="I847" s="30">
        <v>45518.0</v>
      </c>
      <c r="J847" s="31" t="s">
        <v>2789</v>
      </c>
      <c r="K847" s="26" t="s">
        <v>455</v>
      </c>
      <c r="L847" s="32" t="s">
        <v>75</v>
      </c>
      <c r="M847" s="33">
        <v>38757.18</v>
      </c>
      <c r="N847" s="34">
        <v>0.0</v>
      </c>
      <c r="O847" s="27" t="s">
        <v>76</v>
      </c>
      <c r="P847" s="35" t="s">
        <v>89</v>
      </c>
      <c r="Q847" s="35">
        <v>0.0</v>
      </c>
      <c r="R847" s="36" t="e">
        <v>#VALUE!</v>
      </c>
      <c r="S847" s="35" t="s">
        <v>86</v>
      </c>
      <c r="T847" s="35">
        <v>0.0</v>
      </c>
      <c r="U847" s="37" t="s">
        <v>1099</v>
      </c>
      <c r="V847" s="38"/>
      <c r="W847" s="38"/>
      <c r="X847" s="27"/>
      <c r="Y847" s="39"/>
      <c r="Z847" s="39"/>
      <c r="AA847" s="39"/>
      <c r="AB847" s="40"/>
      <c r="AC847" s="27">
        <f t="shared" si="619"/>
        <v>0</v>
      </c>
      <c r="AD847" s="41">
        <f t="shared" ref="AD847:AD851" si="668">IF(AND(S847="0",O847="Paid"),(M847*15%)-AC847,0)</f>
        <v>5813.577</v>
      </c>
      <c r="AE847" s="42"/>
      <c r="AF847" s="27"/>
      <c r="AG847" s="43">
        <f t="shared" si="664"/>
        <v>9941.21667</v>
      </c>
      <c r="AH847" s="29"/>
      <c r="AI847" s="29"/>
      <c r="AJ847" s="29"/>
      <c r="AK847" s="29"/>
      <c r="AL847" s="27"/>
      <c r="AM847" s="44"/>
      <c r="AN847" s="47"/>
      <c r="AO847" s="46"/>
      <c r="AP847" s="47"/>
      <c r="AQ847" s="43">
        <f t="shared" si="665"/>
        <v>0</v>
      </c>
      <c r="AR847" s="43">
        <f t="shared" si="448"/>
        <v>0</v>
      </c>
      <c r="AS847" s="43">
        <f t="shared" si="449"/>
        <v>0</v>
      </c>
      <c r="AT847" s="48">
        <f t="shared" si="450"/>
        <v>0</v>
      </c>
      <c r="AU847" s="49">
        <f t="shared" si="666"/>
        <v>0</v>
      </c>
      <c r="AV847" s="48"/>
      <c r="AW847" s="34">
        <f t="shared" si="540"/>
        <v>-5813.577</v>
      </c>
      <c r="AX847" s="50">
        <f t="shared" si="413"/>
        <v>4127.63967</v>
      </c>
      <c r="AY847" s="43"/>
      <c r="AZ847" s="47"/>
      <c r="BA847" s="48">
        <f t="shared" si="667"/>
        <v>0</v>
      </c>
      <c r="BB847" s="27"/>
      <c r="BC847" s="27"/>
      <c r="BD847" s="51"/>
      <c r="BE847" s="52"/>
      <c r="BF847" s="27" t="s">
        <v>2787</v>
      </c>
      <c r="BG847" s="53">
        <v>0.0</v>
      </c>
      <c r="BH847" s="53" t="str">
        <f>'[1]2023'!Q1047</f>
        <v>#REF!</v>
      </c>
      <c r="BI847" s="27"/>
      <c r="BJ847" s="27"/>
      <c r="BK847" s="27" t="s">
        <v>76</v>
      </c>
      <c r="BL847" s="27"/>
    </row>
    <row r="848" ht="14.25" customHeight="1">
      <c r="A848" s="26" t="s">
        <v>111</v>
      </c>
      <c r="B848" s="26" t="s">
        <v>56</v>
      </c>
      <c r="C848" s="26" t="s">
        <v>57</v>
      </c>
      <c r="D848" s="26" t="s">
        <v>58</v>
      </c>
      <c r="E848" s="27" t="s">
        <v>2790</v>
      </c>
      <c r="F848" s="28" t="s">
        <v>2791</v>
      </c>
      <c r="G848" s="29" t="s">
        <v>2783</v>
      </c>
      <c r="H848" s="30">
        <v>45153.0</v>
      </c>
      <c r="I848" s="30">
        <v>45518.0</v>
      </c>
      <c r="J848" s="31" t="s">
        <v>1892</v>
      </c>
      <c r="K848" s="26" t="s">
        <v>455</v>
      </c>
      <c r="L848" s="32" t="s">
        <v>63</v>
      </c>
      <c r="M848" s="33">
        <v>3133.65</v>
      </c>
      <c r="N848" s="34">
        <v>3390.0</v>
      </c>
      <c r="O848" s="27" t="s">
        <v>76</v>
      </c>
      <c r="P848" s="35" t="s">
        <v>89</v>
      </c>
      <c r="Q848" s="35" t="s">
        <v>114</v>
      </c>
      <c r="R848" s="36" t="e">
        <v>#VALUE!</v>
      </c>
      <c r="S848" s="35" t="s">
        <v>66</v>
      </c>
      <c r="T848" s="35">
        <v>0.0</v>
      </c>
      <c r="U848" s="37" t="s">
        <v>115</v>
      </c>
      <c r="V848" s="38">
        <v>800000.0</v>
      </c>
      <c r="W848" s="38"/>
      <c r="X848" s="27"/>
      <c r="Y848" s="39"/>
      <c r="Z848" s="39"/>
      <c r="AA848" s="39"/>
      <c r="AB848" s="27"/>
      <c r="AC848" s="27">
        <f t="shared" si="619"/>
        <v>0</v>
      </c>
      <c r="AD848" s="41">
        <f t="shared" si="668"/>
        <v>0</v>
      </c>
      <c r="AE848" s="42"/>
      <c r="AF848" s="27"/>
      <c r="AG848" s="43">
        <f>IF(O848="Paid",IF(A848="Alwataniya",(M848*21%)-((M848*21%)*5%),IF((A848="GIG"),(M848*25%)-((M848*25%)*5%),IF((A848="Allianz"),(M848*27%)-((M848*27%)*20%),0))),0)</f>
        <v>744.241875</v>
      </c>
      <c r="AH848" s="29" t="s">
        <v>1107</v>
      </c>
      <c r="AI848" s="29">
        <v>45086.0</v>
      </c>
      <c r="AJ848" s="29"/>
      <c r="AK848" s="29">
        <v>45025.0</v>
      </c>
      <c r="AL848" s="27"/>
      <c r="AM848" s="44">
        <f>((M848*25%)-AC848-((M848*25%)*22.5%))*30%</f>
        <v>182.1434063</v>
      </c>
      <c r="AN848" s="179">
        <v>45148.0</v>
      </c>
      <c r="AO848" s="46"/>
      <c r="AP848" s="47"/>
      <c r="AQ848" s="84">
        <f t="shared" si="665"/>
        <v>783.4125</v>
      </c>
      <c r="AR848" s="43">
        <f t="shared" si="448"/>
        <v>39.170625</v>
      </c>
      <c r="AS848" s="43">
        <f t="shared" si="449"/>
        <v>137.0971875</v>
      </c>
      <c r="AT848" s="48">
        <f t="shared" si="450"/>
        <v>607.1446875</v>
      </c>
      <c r="AU848" s="49">
        <f t="shared" si="666"/>
        <v>607.1446875</v>
      </c>
      <c r="AV848" s="48"/>
      <c r="AW848" s="34">
        <f t="shared" si="540"/>
        <v>3390</v>
      </c>
      <c r="AX848" s="50">
        <f t="shared" si="413"/>
        <v>425.0012813</v>
      </c>
      <c r="AY848" s="43"/>
      <c r="AZ848" s="47"/>
      <c r="BA848" s="48">
        <f t="shared" si="667"/>
        <v>425.0012813</v>
      </c>
      <c r="BB848" s="27"/>
      <c r="BC848" s="27"/>
      <c r="BD848" s="51"/>
      <c r="BE848" s="52"/>
      <c r="BF848" s="27"/>
      <c r="BG848" s="53">
        <v>0.0</v>
      </c>
      <c r="BH848" s="53" t="str">
        <f>'[1]2023'!Q1186</f>
        <v>#REF!</v>
      </c>
      <c r="BI848" s="27"/>
      <c r="BJ848" s="27"/>
      <c r="BK848" s="27" t="s">
        <v>76</v>
      </c>
      <c r="BL848" s="27"/>
    </row>
    <row r="849" ht="14.25" customHeight="1">
      <c r="A849" s="26" t="s">
        <v>55</v>
      </c>
      <c r="B849" s="26" t="s">
        <v>56</v>
      </c>
      <c r="C849" s="26" t="s">
        <v>57</v>
      </c>
      <c r="D849" s="26" t="s">
        <v>71</v>
      </c>
      <c r="E849" s="27" t="s">
        <v>2792</v>
      </c>
      <c r="F849" s="28" t="s">
        <v>2793</v>
      </c>
      <c r="G849" s="29" t="s">
        <v>2783</v>
      </c>
      <c r="H849" s="30">
        <v>45153.0</v>
      </c>
      <c r="I849" s="30">
        <v>45518.0</v>
      </c>
      <c r="J849" s="88" t="s">
        <v>461</v>
      </c>
      <c r="K849" s="26" t="s">
        <v>455</v>
      </c>
      <c r="L849" s="69" t="s">
        <v>2707</v>
      </c>
      <c r="M849" s="33">
        <v>32890.0</v>
      </c>
      <c r="N849" s="34">
        <v>35200.0</v>
      </c>
      <c r="O849" s="27" t="s">
        <v>76</v>
      </c>
      <c r="P849" s="35" t="s">
        <v>89</v>
      </c>
      <c r="Q849" s="35">
        <v>0.0</v>
      </c>
      <c r="R849" s="36" t="e">
        <v>#VALUE!</v>
      </c>
      <c r="S849" s="35" t="s">
        <v>78</v>
      </c>
      <c r="T849" s="35">
        <v>0.0</v>
      </c>
      <c r="U849" s="37">
        <v>0.0</v>
      </c>
      <c r="V849" s="38"/>
      <c r="W849" s="78"/>
      <c r="X849" s="27"/>
      <c r="Y849" s="39"/>
      <c r="Z849" s="39"/>
      <c r="AA849" s="39"/>
      <c r="AB849" s="27"/>
      <c r="AC849" s="27">
        <f t="shared" si="619"/>
        <v>0</v>
      </c>
      <c r="AD849" s="41">
        <f t="shared" si="668"/>
        <v>0</v>
      </c>
      <c r="AE849" s="42"/>
      <c r="AF849" s="27"/>
      <c r="AG849" s="43">
        <f t="shared" ref="AG849:AG851" si="669">IF(O849="Paid",IF(A849="Alwataniya",(M849*21%)-((M849*21%)*5%),IF((A849="GIG"),(M849*25%)-((M849*25%)*5%),IF((A849="Allianz"),(M849*27%)-((M849*27%)*5%),0))),0)</f>
        <v>8436.285</v>
      </c>
      <c r="AH849" s="29"/>
      <c r="AI849" s="29"/>
      <c r="AJ849" s="29"/>
      <c r="AK849" s="29"/>
      <c r="AL849" s="27"/>
      <c r="AM849" s="44"/>
      <c r="AN849" s="47"/>
      <c r="AO849" s="46"/>
      <c r="AP849" s="47"/>
      <c r="AQ849" s="43">
        <f t="shared" si="665"/>
        <v>0</v>
      </c>
      <c r="AR849" s="43">
        <f t="shared" si="448"/>
        <v>0</v>
      </c>
      <c r="AS849" s="43">
        <f t="shared" si="449"/>
        <v>0</v>
      </c>
      <c r="AT849" s="48">
        <f t="shared" si="450"/>
        <v>0</v>
      </c>
      <c r="AU849" s="49">
        <f t="shared" si="666"/>
        <v>0</v>
      </c>
      <c r="AV849" s="48"/>
      <c r="AW849" s="34">
        <f t="shared" si="540"/>
        <v>35200</v>
      </c>
      <c r="AX849" s="50">
        <f t="shared" si="413"/>
        <v>8436.285</v>
      </c>
      <c r="AY849" s="43"/>
      <c r="AZ849" s="47"/>
      <c r="BA849" s="48">
        <f t="shared" si="667"/>
        <v>0</v>
      </c>
      <c r="BB849" s="27"/>
      <c r="BC849" s="27"/>
      <c r="BD849" s="51"/>
      <c r="BE849" s="52"/>
      <c r="BF849" s="27"/>
      <c r="BG849" s="53">
        <v>0.0</v>
      </c>
      <c r="BH849" s="53" t="str">
        <f>'[1]2023'!Q1241</f>
        <v>#REF!</v>
      </c>
      <c r="BI849" s="27"/>
      <c r="BJ849" s="27"/>
      <c r="BK849" s="27" t="s">
        <v>76</v>
      </c>
      <c r="BL849" s="27"/>
    </row>
    <row r="850" ht="14.25" customHeight="1">
      <c r="A850" s="26" t="s">
        <v>55</v>
      </c>
      <c r="B850" s="26" t="s">
        <v>56</v>
      </c>
      <c r="C850" s="26" t="s">
        <v>57</v>
      </c>
      <c r="D850" s="26" t="s">
        <v>81</v>
      </c>
      <c r="E850" s="27" t="s">
        <v>2794</v>
      </c>
      <c r="F850" s="28" t="s">
        <v>2795</v>
      </c>
      <c r="G850" s="29" t="s">
        <v>2796</v>
      </c>
      <c r="H850" s="30">
        <v>45154.0</v>
      </c>
      <c r="I850" s="30">
        <v>45519.0</v>
      </c>
      <c r="J850" s="31">
        <v>0.0</v>
      </c>
      <c r="K850" s="26" t="s">
        <v>887</v>
      </c>
      <c r="L850" s="32" t="s">
        <v>75</v>
      </c>
      <c r="M850" s="33">
        <v>13585.0</v>
      </c>
      <c r="N850" s="34">
        <v>14527.52</v>
      </c>
      <c r="O850" s="27" t="s">
        <v>76</v>
      </c>
      <c r="P850" s="35" t="s">
        <v>89</v>
      </c>
      <c r="Q850" s="35">
        <v>0.0</v>
      </c>
      <c r="R850" s="36" t="e">
        <v>#VALUE!</v>
      </c>
      <c r="S850" s="35" t="s">
        <v>86</v>
      </c>
      <c r="T850" s="35">
        <v>0.0</v>
      </c>
      <c r="U850" s="37" t="s">
        <v>67</v>
      </c>
      <c r="V850" s="38"/>
      <c r="W850" s="38"/>
      <c r="X850" s="27"/>
      <c r="Y850" s="39"/>
      <c r="Z850" s="39"/>
      <c r="AA850" s="39"/>
      <c r="AB850" s="40"/>
      <c r="AC850" s="27">
        <f t="shared" si="619"/>
        <v>0</v>
      </c>
      <c r="AD850" s="41">
        <f t="shared" si="668"/>
        <v>2037.75</v>
      </c>
      <c r="AE850" s="42"/>
      <c r="AF850" s="27"/>
      <c r="AG850" s="43">
        <f t="shared" si="669"/>
        <v>3484.5525</v>
      </c>
      <c r="AH850" s="29"/>
      <c r="AI850" s="29"/>
      <c r="AJ850" s="55"/>
      <c r="AK850" s="29"/>
      <c r="AL850" s="27"/>
      <c r="AM850" s="27"/>
      <c r="AN850" s="47"/>
      <c r="AO850" s="46"/>
      <c r="AP850" s="47"/>
      <c r="AQ850" s="43">
        <f t="shared" si="665"/>
        <v>3667.95</v>
      </c>
      <c r="AR850" s="43">
        <f t="shared" si="448"/>
        <v>183.3975</v>
      </c>
      <c r="AS850" s="43">
        <f t="shared" si="449"/>
        <v>641.89125</v>
      </c>
      <c r="AT850" s="48">
        <f t="shared" si="450"/>
        <v>2842.66125</v>
      </c>
      <c r="AU850" s="49">
        <f>AQ850-AR850-AS850-AC850</f>
        <v>2842.66125</v>
      </c>
      <c r="AV850" s="48"/>
      <c r="AW850" s="34">
        <f t="shared" si="540"/>
        <v>12489.77</v>
      </c>
      <c r="AX850" s="50">
        <f t="shared" si="413"/>
        <v>804.91125</v>
      </c>
      <c r="AY850" s="43"/>
      <c r="AZ850" s="47"/>
      <c r="BA850" s="48">
        <f t="shared" si="667"/>
        <v>2842.66125</v>
      </c>
      <c r="BB850" s="27"/>
      <c r="BC850" s="27"/>
      <c r="BD850" s="51"/>
      <c r="BE850" s="52"/>
      <c r="BF850" s="27" t="s">
        <v>2794</v>
      </c>
      <c r="BG850" s="53">
        <v>0.0</v>
      </c>
      <c r="BH850" s="53" t="str">
        <f>'[1]2023'!Q1007</f>
        <v>#REF!</v>
      </c>
      <c r="BI850" s="27"/>
      <c r="BJ850" s="27"/>
      <c r="BK850" s="27" t="s">
        <v>76</v>
      </c>
      <c r="BL850" s="27"/>
    </row>
    <row r="851" ht="14.25" customHeight="1">
      <c r="A851" s="26" t="s">
        <v>55</v>
      </c>
      <c r="B851" s="26" t="s">
        <v>56</v>
      </c>
      <c r="C851" s="26" t="s">
        <v>57</v>
      </c>
      <c r="D851" s="26" t="s">
        <v>81</v>
      </c>
      <c r="E851" s="27" t="s">
        <v>2797</v>
      </c>
      <c r="F851" s="28" t="s">
        <v>2798</v>
      </c>
      <c r="G851" s="29" t="s">
        <v>2796</v>
      </c>
      <c r="H851" s="30">
        <v>45154.0</v>
      </c>
      <c r="I851" s="30">
        <v>45519.0</v>
      </c>
      <c r="J851" s="31">
        <v>0.0</v>
      </c>
      <c r="K851" s="26" t="s">
        <v>455</v>
      </c>
      <c r="L851" s="69">
        <v>45146.0</v>
      </c>
      <c r="M851" s="33">
        <v>7056.76</v>
      </c>
      <c r="N851" s="34">
        <v>7614.11</v>
      </c>
      <c r="O851" s="27" t="s">
        <v>76</v>
      </c>
      <c r="P851" s="35" t="s">
        <v>122</v>
      </c>
      <c r="Q851" s="35">
        <v>0.0</v>
      </c>
      <c r="R851" s="36" t="e">
        <v>#VALUE!</v>
      </c>
      <c r="S851" s="35" t="s">
        <v>86</v>
      </c>
      <c r="T851" s="35">
        <v>0.0</v>
      </c>
      <c r="U851" s="37" t="s">
        <v>812</v>
      </c>
      <c r="V851" s="38"/>
      <c r="W851" s="38"/>
      <c r="X851" s="27"/>
      <c r="Y851" s="39"/>
      <c r="Z851" s="39"/>
      <c r="AA851" s="39"/>
      <c r="AB851" s="40"/>
      <c r="AC851" s="27">
        <f t="shared" si="619"/>
        <v>0</v>
      </c>
      <c r="AD851" s="41">
        <f t="shared" si="668"/>
        <v>1058.514</v>
      </c>
      <c r="AE851" s="42"/>
      <c r="AF851" s="27"/>
      <c r="AG851" s="43">
        <f t="shared" si="669"/>
        <v>1810.05894</v>
      </c>
      <c r="AH851" s="29"/>
      <c r="AI851" s="29"/>
      <c r="AJ851" s="29"/>
      <c r="AK851" s="29"/>
      <c r="AL851" s="27"/>
      <c r="AM851" s="44"/>
      <c r="AN851" s="68"/>
      <c r="AO851" s="46"/>
      <c r="AP851" s="47"/>
      <c r="AQ851" s="43">
        <f t="shared" si="665"/>
        <v>0</v>
      </c>
      <c r="AR851" s="43">
        <f t="shared" si="448"/>
        <v>0</v>
      </c>
      <c r="AS851" s="43">
        <f t="shared" si="449"/>
        <v>0</v>
      </c>
      <c r="AT851" s="48">
        <f t="shared" si="450"/>
        <v>0</v>
      </c>
      <c r="AU851" s="49">
        <f t="shared" ref="AU851:AU870" si="670">AQ851-AR851-AS851-AC851-AO851</f>
        <v>0</v>
      </c>
      <c r="AV851" s="48"/>
      <c r="AW851" s="34">
        <f t="shared" si="540"/>
        <v>6555.596</v>
      </c>
      <c r="AX851" s="50">
        <f t="shared" si="413"/>
        <v>751.54494</v>
      </c>
      <c r="AY851" s="43"/>
      <c r="AZ851" s="47"/>
      <c r="BA851" s="48">
        <f t="shared" si="667"/>
        <v>0</v>
      </c>
      <c r="BB851" s="27"/>
      <c r="BC851" s="27"/>
      <c r="BD851" s="51"/>
      <c r="BE851" s="52"/>
      <c r="BF851" s="27" t="s">
        <v>2797</v>
      </c>
      <c r="BG851" s="53">
        <v>0.0</v>
      </c>
      <c r="BH851" s="53" t="str">
        <f>'[1]2023'!Q1058</f>
        <v>#REF!</v>
      </c>
      <c r="BI851" s="27"/>
      <c r="BJ851" s="27"/>
      <c r="BK851" s="27" t="s">
        <v>76</v>
      </c>
      <c r="BL851" s="27"/>
    </row>
    <row r="852" ht="14.25" customHeight="1">
      <c r="A852" s="26" t="s">
        <v>111</v>
      </c>
      <c r="B852" s="26" t="s">
        <v>56</v>
      </c>
      <c r="C852" s="26" t="s">
        <v>57</v>
      </c>
      <c r="D852" s="26" t="s">
        <v>71</v>
      </c>
      <c r="E852" s="27" t="s">
        <v>2799</v>
      </c>
      <c r="F852" s="28" t="s">
        <v>2800</v>
      </c>
      <c r="G852" s="29" t="s">
        <v>2796</v>
      </c>
      <c r="H852" s="30">
        <v>45154.0</v>
      </c>
      <c r="I852" s="30">
        <v>45519.0</v>
      </c>
      <c r="J852" s="31" t="s">
        <v>2801</v>
      </c>
      <c r="K852" s="26" t="s">
        <v>455</v>
      </c>
      <c r="L852" s="32" t="s">
        <v>2569</v>
      </c>
      <c r="M852" s="33">
        <v>16864.85</v>
      </c>
      <c r="N852" s="34">
        <v>18200.0</v>
      </c>
      <c r="O852" s="27" t="s">
        <v>76</v>
      </c>
      <c r="P852" s="35" t="s">
        <v>430</v>
      </c>
      <c r="Q852" s="35" t="s">
        <v>114</v>
      </c>
      <c r="R852" s="36" t="e">
        <v>#VALUE!</v>
      </c>
      <c r="S852" s="35" t="s">
        <v>676</v>
      </c>
      <c r="T852" s="54" t="s">
        <v>2391</v>
      </c>
      <c r="U852" s="37" t="s">
        <v>115</v>
      </c>
      <c r="V852" s="38">
        <v>700000.0</v>
      </c>
      <c r="W852" s="38"/>
      <c r="X852" s="27"/>
      <c r="Y852" s="39"/>
      <c r="Z852" s="79" t="s">
        <v>2802</v>
      </c>
      <c r="AA852" s="39"/>
      <c r="AB852" s="27"/>
      <c r="AC852" s="27">
        <f t="shared" si="619"/>
        <v>0</v>
      </c>
      <c r="AD852" s="41"/>
      <c r="AE852" s="42"/>
      <c r="AF852" s="27"/>
      <c r="AG852" s="43">
        <f>IF(O852="Paid",IF(A852="Alwataniya",(M852*21%)-((M852*21%)*5%),IF((A852="GIG"),(M852*25%)-((M852*25%)*5%),IF((A852="Allianz"),(M852*27%)-((M852*27%)*20%),0))),0)</f>
        <v>4005.401875</v>
      </c>
      <c r="AH852" s="29" t="s">
        <v>457</v>
      </c>
      <c r="AI852" s="29">
        <v>45086.0</v>
      </c>
      <c r="AJ852" s="29"/>
      <c r="AK852" s="29">
        <v>45025.0</v>
      </c>
      <c r="AL852" s="27"/>
      <c r="AM852" s="44">
        <f>IF((BD852&lt;=2),AU852*10%,(IF((BD852&lt;=3),AU852*20%,IF((BD852&lt;=4),AU852*20%,IF((BD852&gt;=5),AU852*30%,(IF((BD852="lead"),AU852*30%,0)))))))</f>
        <v>221.3511563</v>
      </c>
      <c r="AN852" s="57">
        <v>44995.0</v>
      </c>
      <c r="AO852" s="46">
        <f>M852*15%</f>
        <v>2529.7275</v>
      </c>
      <c r="AP852" s="57">
        <v>45055.0</v>
      </c>
      <c r="AQ852" s="84">
        <f t="shared" si="665"/>
        <v>4216.2125</v>
      </c>
      <c r="AR852" s="43">
        <f t="shared" si="448"/>
        <v>210.810625</v>
      </c>
      <c r="AS852" s="43">
        <f t="shared" si="449"/>
        <v>737.8371875</v>
      </c>
      <c r="AT852" s="48">
        <f t="shared" si="450"/>
        <v>3267.564688</v>
      </c>
      <c r="AU852" s="49">
        <f t="shared" si="670"/>
        <v>737.8371875</v>
      </c>
      <c r="AV852" s="106">
        <f>AU852*10%</f>
        <v>73.78371875</v>
      </c>
      <c r="AW852" s="34">
        <f t="shared" si="540"/>
        <v>18200</v>
      </c>
      <c r="AX852" s="50">
        <f t="shared" si="413"/>
        <v>442.7023125</v>
      </c>
      <c r="AY852" s="43"/>
      <c r="AZ852" s="47"/>
      <c r="BA852" s="48">
        <f t="shared" si="667"/>
        <v>-2013.241469</v>
      </c>
      <c r="BB852" s="27"/>
      <c r="BC852" s="27"/>
      <c r="BD852" s="51" t="s">
        <v>1296</v>
      </c>
      <c r="BE852" s="52"/>
      <c r="BF852" s="27" t="s">
        <v>2799</v>
      </c>
      <c r="BG852" s="53">
        <v>0.0</v>
      </c>
      <c r="BH852" s="53" t="str">
        <f>'[1]2023'!Q1134</f>
        <v>#REF!</v>
      </c>
      <c r="BI852" s="27"/>
      <c r="BJ852" s="27"/>
      <c r="BK852" s="27" t="s">
        <v>76</v>
      </c>
      <c r="BL852" s="27"/>
    </row>
    <row r="853" ht="14.25" customHeight="1">
      <c r="A853" s="26" t="s">
        <v>55</v>
      </c>
      <c r="B853" s="26" t="s">
        <v>56</v>
      </c>
      <c r="C853" s="26" t="s">
        <v>57</v>
      </c>
      <c r="D853" s="26" t="s">
        <v>81</v>
      </c>
      <c r="E853" s="27" t="s">
        <v>2803</v>
      </c>
      <c r="F853" s="28" t="s">
        <v>2804</v>
      </c>
      <c r="G853" s="29" t="s">
        <v>2805</v>
      </c>
      <c r="H853" s="30">
        <v>45155.0</v>
      </c>
      <c r="I853" s="30">
        <v>45520.0</v>
      </c>
      <c r="J853" s="31">
        <v>0.0</v>
      </c>
      <c r="K853" s="26" t="s">
        <v>455</v>
      </c>
      <c r="L853" s="32" t="s">
        <v>2806</v>
      </c>
      <c r="M853" s="33">
        <v>15600.0</v>
      </c>
      <c r="N853" s="34">
        <v>16661.4</v>
      </c>
      <c r="O853" s="27" t="s">
        <v>76</v>
      </c>
      <c r="P853" s="35" t="s">
        <v>122</v>
      </c>
      <c r="Q853" s="35" t="s">
        <v>90</v>
      </c>
      <c r="R853" s="36" t="e">
        <v>#VALUE!</v>
      </c>
      <c r="S853" s="35" t="s">
        <v>86</v>
      </c>
      <c r="T853" s="35">
        <v>0.0</v>
      </c>
      <c r="U853" s="37" t="s">
        <v>67</v>
      </c>
      <c r="V853" s="38"/>
      <c r="W853" s="38"/>
      <c r="X853" s="27"/>
      <c r="Y853" s="39"/>
      <c r="Z853" s="79" t="s">
        <v>764</v>
      </c>
      <c r="AA853" s="39"/>
      <c r="AB853" s="27"/>
      <c r="AC853" s="27">
        <f t="shared" si="619"/>
        <v>0</v>
      </c>
      <c r="AD853" s="41">
        <f t="shared" ref="AD853:AD857" si="671">IF(AND(S853="0",O853="Paid"),(M853*15%)-AC853,0)</f>
        <v>2340</v>
      </c>
      <c r="AE853" s="42"/>
      <c r="AF853" s="27"/>
      <c r="AG853" s="43">
        <f t="shared" ref="AG853:AG861" si="672">IF(O853="Paid",IF(A853="Alwataniya",(M853*21%)-((M853*21%)*5%),IF((A853="GIG"),(M853*25%)-((M853*25%)*5%),IF((A853="Allianz"),(M853*27%)-((M853*27%)*5%),0))),0)</f>
        <v>4001.4</v>
      </c>
      <c r="AH853" s="29"/>
      <c r="AI853" s="29"/>
      <c r="AJ853" s="29"/>
      <c r="AK853" s="29"/>
      <c r="AL853" s="27"/>
      <c r="AM853" s="44"/>
      <c r="AN853" s="47"/>
      <c r="AO853" s="46"/>
      <c r="AP853" s="47"/>
      <c r="AQ853" s="43">
        <f t="shared" si="665"/>
        <v>4212</v>
      </c>
      <c r="AR853" s="43">
        <f t="shared" si="448"/>
        <v>210.6</v>
      </c>
      <c r="AS853" s="43">
        <f t="shared" si="449"/>
        <v>737.1</v>
      </c>
      <c r="AT853" s="48">
        <f t="shared" si="450"/>
        <v>3264.3</v>
      </c>
      <c r="AU853" s="49">
        <f t="shared" si="670"/>
        <v>3264.3</v>
      </c>
      <c r="AV853" s="48"/>
      <c r="AW853" s="34">
        <f t="shared" si="540"/>
        <v>14321.4</v>
      </c>
      <c r="AX853" s="50">
        <f t="shared" si="413"/>
        <v>924.3</v>
      </c>
      <c r="AY853" s="43"/>
      <c r="AZ853" s="47"/>
      <c r="BA853" s="48">
        <f t="shared" si="667"/>
        <v>3264.3</v>
      </c>
      <c r="BB853" s="27"/>
      <c r="BC853" s="27"/>
      <c r="BD853" s="51"/>
      <c r="BE853" s="52"/>
      <c r="BF853" s="27" t="s">
        <v>2803</v>
      </c>
      <c r="BG853" s="53">
        <v>0.0</v>
      </c>
      <c r="BH853" s="53" t="str">
        <f>'[1]2023'!Q1081</f>
        <v>#REF!</v>
      </c>
      <c r="BI853" s="27"/>
      <c r="BJ853" s="27"/>
      <c r="BK853" s="27" t="s">
        <v>76</v>
      </c>
      <c r="BL853" s="158"/>
    </row>
    <row r="854" ht="14.25" customHeight="1">
      <c r="A854" s="26" t="s">
        <v>55</v>
      </c>
      <c r="B854" s="26" t="s">
        <v>56</v>
      </c>
      <c r="C854" s="26" t="s">
        <v>70</v>
      </c>
      <c r="D854" s="26" t="s">
        <v>58</v>
      </c>
      <c r="E854" s="27" t="s">
        <v>2807</v>
      </c>
      <c r="F854" s="28" t="s">
        <v>2808</v>
      </c>
      <c r="G854" s="29" t="s">
        <v>2805</v>
      </c>
      <c r="H854" s="30">
        <v>45155.0</v>
      </c>
      <c r="I854" s="30">
        <v>45520.0</v>
      </c>
      <c r="J854" s="31" t="s">
        <v>2809</v>
      </c>
      <c r="K854" s="26" t="s">
        <v>455</v>
      </c>
      <c r="L854" s="32" t="s">
        <v>1980</v>
      </c>
      <c r="M854" s="33">
        <v>4265.26</v>
      </c>
      <c r="N854" s="34">
        <v>4516.91</v>
      </c>
      <c r="O854" s="27" t="s">
        <v>76</v>
      </c>
      <c r="P854" s="35" t="s">
        <v>89</v>
      </c>
      <c r="Q854" s="35" t="s">
        <v>90</v>
      </c>
      <c r="R854" s="36" t="e">
        <v>#VALUE!</v>
      </c>
      <c r="S854" s="35" t="s">
        <v>86</v>
      </c>
      <c r="T854" s="35">
        <v>0.0</v>
      </c>
      <c r="U854" s="37">
        <v>0.0</v>
      </c>
      <c r="V854" s="38"/>
      <c r="W854" s="38"/>
      <c r="X854" s="27"/>
      <c r="Y854" s="39"/>
      <c r="Z854" s="39"/>
      <c r="AA854" s="39"/>
      <c r="AB854" s="27"/>
      <c r="AC854" s="27">
        <f t="shared" si="619"/>
        <v>0</v>
      </c>
      <c r="AD854" s="41">
        <f t="shared" si="671"/>
        <v>639.789</v>
      </c>
      <c r="AE854" s="42"/>
      <c r="AF854" s="27"/>
      <c r="AG854" s="43">
        <f t="shared" si="672"/>
        <v>1094.03919</v>
      </c>
      <c r="AH854" s="29"/>
      <c r="AI854" s="29"/>
      <c r="AJ854" s="29"/>
      <c r="AK854" s="29"/>
      <c r="AL854" s="27"/>
      <c r="AM854" s="44">
        <f t="shared" ref="AM854:AM856" si="673">((M854*25%)-AC854-((M854*25%)*22.5%))*30%</f>
        <v>247.9182375</v>
      </c>
      <c r="AN854" s="179">
        <v>45148.0</v>
      </c>
      <c r="AO854" s="46"/>
      <c r="AP854" s="47"/>
      <c r="AQ854" s="43">
        <f t="shared" si="665"/>
        <v>0</v>
      </c>
      <c r="AR854" s="43">
        <f t="shared" si="448"/>
        <v>0</v>
      </c>
      <c r="AS854" s="43">
        <f t="shared" si="449"/>
        <v>0</v>
      </c>
      <c r="AT854" s="48">
        <f t="shared" si="450"/>
        <v>0</v>
      </c>
      <c r="AU854" s="49">
        <f t="shared" si="670"/>
        <v>0</v>
      </c>
      <c r="AV854" s="48"/>
      <c r="AW854" s="34">
        <f t="shared" si="540"/>
        <v>3877.121</v>
      </c>
      <c r="AX854" s="50">
        <f t="shared" si="413"/>
        <v>206.3319525</v>
      </c>
      <c r="AY854" s="43"/>
      <c r="AZ854" s="47"/>
      <c r="BA854" s="48">
        <f t="shared" si="667"/>
        <v>-247.9182375</v>
      </c>
      <c r="BB854" s="27"/>
      <c r="BC854" s="27"/>
      <c r="BD854" s="51"/>
      <c r="BE854" s="52"/>
      <c r="BF854" s="27" t="s">
        <v>2807</v>
      </c>
      <c r="BG854" s="58" t="s">
        <v>2810</v>
      </c>
      <c r="BH854" s="53" t="str">
        <f t="shared" ref="BH854:BH856" si="674">'[1]2023'!Q1175</f>
        <v>#REF!</v>
      </c>
      <c r="BI854" s="27"/>
      <c r="BJ854" s="27"/>
      <c r="BK854" s="27" t="s">
        <v>76</v>
      </c>
      <c r="BL854" s="167"/>
    </row>
    <row r="855" ht="14.25" customHeight="1">
      <c r="A855" s="26" t="s">
        <v>55</v>
      </c>
      <c r="B855" s="26" t="s">
        <v>56</v>
      </c>
      <c r="C855" s="26" t="s">
        <v>70</v>
      </c>
      <c r="D855" s="26" t="s">
        <v>58</v>
      </c>
      <c r="E855" s="27" t="s">
        <v>2811</v>
      </c>
      <c r="F855" s="28" t="s">
        <v>2812</v>
      </c>
      <c r="G855" s="29" t="s">
        <v>2805</v>
      </c>
      <c r="H855" s="30">
        <v>45155.0</v>
      </c>
      <c r="I855" s="30">
        <v>45520.0</v>
      </c>
      <c r="J855" s="31" t="s">
        <v>705</v>
      </c>
      <c r="K855" s="26" t="s">
        <v>455</v>
      </c>
      <c r="L855" s="89">
        <v>45159.0</v>
      </c>
      <c r="M855" s="33">
        <v>5284.62</v>
      </c>
      <c r="N855" s="34">
        <v>5596.41</v>
      </c>
      <c r="O855" s="27" t="s">
        <v>76</v>
      </c>
      <c r="P855" s="35" t="s">
        <v>89</v>
      </c>
      <c r="Q855" s="35" t="s">
        <v>90</v>
      </c>
      <c r="R855" s="36" t="e">
        <v>#VALUE!</v>
      </c>
      <c r="S855" s="35" t="s">
        <v>86</v>
      </c>
      <c r="T855" s="35">
        <v>0.0</v>
      </c>
      <c r="U855" s="37">
        <v>0.0</v>
      </c>
      <c r="V855" s="38"/>
      <c r="W855" s="38"/>
      <c r="X855" s="27"/>
      <c r="Y855" s="39"/>
      <c r="Z855" s="39"/>
      <c r="AA855" s="39"/>
      <c r="AB855" s="27"/>
      <c r="AC855" s="27">
        <f t="shared" si="619"/>
        <v>0</v>
      </c>
      <c r="AD855" s="41">
        <f t="shared" si="671"/>
        <v>792.693</v>
      </c>
      <c r="AE855" s="42"/>
      <c r="AF855" s="27"/>
      <c r="AG855" s="43">
        <f t="shared" si="672"/>
        <v>1355.50503</v>
      </c>
      <c r="AH855" s="29"/>
      <c r="AI855" s="29"/>
      <c r="AJ855" s="29"/>
      <c r="AK855" s="29"/>
      <c r="AL855" s="27"/>
      <c r="AM855" s="44">
        <f t="shared" si="673"/>
        <v>307.1685375</v>
      </c>
      <c r="AN855" s="179">
        <v>45148.0</v>
      </c>
      <c r="AO855" s="46"/>
      <c r="AP855" s="47"/>
      <c r="AQ855" s="43">
        <f t="shared" si="665"/>
        <v>0</v>
      </c>
      <c r="AR855" s="43">
        <f t="shared" si="448"/>
        <v>0</v>
      </c>
      <c r="AS855" s="43">
        <f t="shared" si="449"/>
        <v>0</v>
      </c>
      <c r="AT855" s="48">
        <f t="shared" si="450"/>
        <v>0</v>
      </c>
      <c r="AU855" s="49">
        <f t="shared" si="670"/>
        <v>0</v>
      </c>
      <c r="AV855" s="48"/>
      <c r="AW855" s="34">
        <f t="shared" si="540"/>
        <v>4803.717</v>
      </c>
      <c r="AX855" s="50">
        <f t="shared" si="413"/>
        <v>255.6434925</v>
      </c>
      <c r="AY855" s="43"/>
      <c r="AZ855" s="47"/>
      <c r="BA855" s="48">
        <f t="shared" si="667"/>
        <v>-307.1685375</v>
      </c>
      <c r="BB855" s="27"/>
      <c r="BC855" s="27"/>
      <c r="BD855" s="51"/>
      <c r="BE855" s="52"/>
      <c r="BF855" s="27" t="s">
        <v>2811</v>
      </c>
      <c r="BG855" s="58" t="s">
        <v>2813</v>
      </c>
      <c r="BH855" s="53" t="str">
        <f t="shared" si="674"/>
        <v>#REF!</v>
      </c>
      <c r="BI855" s="27"/>
      <c r="BJ855" s="27"/>
      <c r="BK855" s="27" t="s">
        <v>76</v>
      </c>
      <c r="BL855" s="44"/>
    </row>
    <row r="856" ht="14.25" customHeight="1">
      <c r="A856" s="26" t="s">
        <v>55</v>
      </c>
      <c r="B856" s="26" t="s">
        <v>56</v>
      </c>
      <c r="C856" s="26" t="s">
        <v>70</v>
      </c>
      <c r="D856" s="26" t="s">
        <v>58</v>
      </c>
      <c r="E856" s="27" t="s">
        <v>2814</v>
      </c>
      <c r="F856" s="28" t="s">
        <v>2815</v>
      </c>
      <c r="G856" s="29" t="s">
        <v>2805</v>
      </c>
      <c r="H856" s="30">
        <v>45155.0</v>
      </c>
      <c r="I856" s="30">
        <v>45520.0</v>
      </c>
      <c r="J856" s="31" t="s">
        <v>692</v>
      </c>
      <c r="K856" s="26" t="s">
        <v>455</v>
      </c>
      <c r="L856" s="32" t="s">
        <v>2816</v>
      </c>
      <c r="M856" s="33">
        <v>10619.55</v>
      </c>
      <c r="N856" s="34">
        <v>11246.11</v>
      </c>
      <c r="O856" s="27" t="s">
        <v>76</v>
      </c>
      <c r="P856" s="35" t="s">
        <v>122</v>
      </c>
      <c r="Q856" s="35" t="s">
        <v>90</v>
      </c>
      <c r="R856" s="36" t="e">
        <v>#VALUE!</v>
      </c>
      <c r="S856" s="35" t="s">
        <v>66</v>
      </c>
      <c r="T856" s="35">
        <v>0.0</v>
      </c>
      <c r="U856" s="37">
        <v>0.0</v>
      </c>
      <c r="V856" s="38"/>
      <c r="W856" s="38"/>
      <c r="X856" s="27"/>
      <c r="Y856" s="39"/>
      <c r="Z856" s="39"/>
      <c r="AA856" s="39"/>
      <c r="AB856" s="27"/>
      <c r="AC856" s="27">
        <f t="shared" si="619"/>
        <v>0</v>
      </c>
      <c r="AD856" s="41">
        <f t="shared" si="671"/>
        <v>0</v>
      </c>
      <c r="AE856" s="42"/>
      <c r="AF856" s="27"/>
      <c r="AG856" s="43">
        <f t="shared" si="672"/>
        <v>2723.914575</v>
      </c>
      <c r="AH856" s="29"/>
      <c r="AI856" s="29"/>
      <c r="AJ856" s="29"/>
      <c r="AK856" s="29"/>
      <c r="AL856" s="27"/>
      <c r="AM856" s="27">
        <f t="shared" si="673"/>
        <v>617.2613438</v>
      </c>
      <c r="AN856" s="179">
        <v>45148.0</v>
      </c>
      <c r="AO856" s="46"/>
      <c r="AP856" s="47"/>
      <c r="AQ856" s="43">
        <f t="shared" si="665"/>
        <v>0</v>
      </c>
      <c r="AR856" s="43">
        <f t="shared" si="448"/>
        <v>0</v>
      </c>
      <c r="AS856" s="43">
        <f t="shared" si="449"/>
        <v>0</v>
      </c>
      <c r="AT856" s="48">
        <f t="shared" si="450"/>
        <v>0</v>
      </c>
      <c r="AU856" s="49">
        <f t="shared" si="670"/>
        <v>0</v>
      </c>
      <c r="AV856" s="48"/>
      <c r="AW856" s="34">
        <f t="shared" si="540"/>
        <v>11246.11</v>
      </c>
      <c r="AX856" s="50">
        <f t="shared" si="413"/>
        <v>2106.653231</v>
      </c>
      <c r="AY856" s="43"/>
      <c r="AZ856" s="47"/>
      <c r="BA856" s="48">
        <f t="shared" si="667"/>
        <v>-617.2613438</v>
      </c>
      <c r="BB856" s="27"/>
      <c r="BC856" s="27"/>
      <c r="BD856" s="51"/>
      <c r="BE856" s="52"/>
      <c r="BF856" s="27" t="s">
        <v>2814</v>
      </c>
      <c r="BG856" s="53">
        <v>0.0</v>
      </c>
      <c r="BH856" s="53" t="str">
        <f t="shared" si="674"/>
        <v>#REF!</v>
      </c>
      <c r="BI856" s="27"/>
      <c r="BJ856" s="27"/>
      <c r="BK856" s="27" t="s">
        <v>76</v>
      </c>
      <c r="BL856" s="27"/>
    </row>
    <row r="857" ht="14.25" customHeight="1">
      <c r="A857" s="26" t="s">
        <v>55</v>
      </c>
      <c r="B857" s="26" t="s">
        <v>56</v>
      </c>
      <c r="C857" s="26" t="s">
        <v>57</v>
      </c>
      <c r="D857" s="26" t="s">
        <v>71</v>
      </c>
      <c r="E857" s="27" t="s">
        <v>2817</v>
      </c>
      <c r="F857" s="28" t="s">
        <v>2818</v>
      </c>
      <c r="G857" s="29" t="s">
        <v>2805</v>
      </c>
      <c r="H857" s="30">
        <v>45155.0</v>
      </c>
      <c r="I857" s="30">
        <v>45520.0</v>
      </c>
      <c r="J857" s="31">
        <v>0.0</v>
      </c>
      <c r="K857" s="26" t="s">
        <v>455</v>
      </c>
      <c r="L857" s="32" t="s">
        <v>63</v>
      </c>
      <c r="M857" s="33">
        <v>47642.5</v>
      </c>
      <c r="N857" s="34">
        <v>50834.63</v>
      </c>
      <c r="O857" s="27" t="s">
        <v>64</v>
      </c>
      <c r="P857" s="35">
        <v>0.0</v>
      </c>
      <c r="Q857" s="35" t="s">
        <v>65</v>
      </c>
      <c r="R857" s="36" t="e">
        <v>#VALUE!</v>
      </c>
      <c r="S857" s="35" t="s">
        <v>78</v>
      </c>
      <c r="T857" s="35">
        <v>0.0</v>
      </c>
      <c r="U857" s="37" t="s">
        <v>67</v>
      </c>
      <c r="V857" s="38">
        <v>1700000.0</v>
      </c>
      <c r="W857" s="38"/>
      <c r="X857" s="27"/>
      <c r="Y857" s="39"/>
      <c r="Z857" s="79" t="s">
        <v>476</v>
      </c>
      <c r="AA857" s="39"/>
      <c r="AB857" s="40">
        <v>0.05</v>
      </c>
      <c r="AC857" s="27">
        <f t="shared" si="619"/>
        <v>2382.125</v>
      </c>
      <c r="AD857" s="41">
        <f t="shared" si="671"/>
        <v>0</v>
      </c>
      <c r="AE857" s="42"/>
      <c r="AF857" s="27"/>
      <c r="AG857" s="43">
        <f t="shared" si="672"/>
        <v>0</v>
      </c>
      <c r="AH857" s="29"/>
      <c r="AI857" s="29"/>
      <c r="AJ857" s="29"/>
      <c r="AK857" s="29"/>
      <c r="AL857" s="27"/>
      <c r="AM857" s="44"/>
      <c r="AN857" s="68"/>
      <c r="AO857" s="46"/>
      <c r="AP857" s="47"/>
      <c r="AQ857" s="43" t="b">
        <f>IF(O857="Paid",IF(U857="Motor Plus",(M857*27%),IF(U857="Motor One",(M857*22%),(IF(U857="Golden",(M857*25%),(IF(U857="Classic",(M857*15%),(IF(U857="Wethaq",(M857*28%),IF(U857="Alwataniya",(M857*21%))*0)))))))))</f>
        <v>0</v>
      </c>
      <c r="AR857" s="43">
        <f t="shared" si="448"/>
        <v>0</v>
      </c>
      <c r="AS857" s="43">
        <f t="shared" si="449"/>
        <v>0</v>
      </c>
      <c r="AT857" s="48">
        <f t="shared" si="450"/>
        <v>0</v>
      </c>
      <c r="AU857" s="49">
        <f t="shared" si="670"/>
        <v>-2382.125</v>
      </c>
      <c r="AV857" s="48"/>
      <c r="AW857" s="34">
        <f t="shared" si="540"/>
        <v>48452.505</v>
      </c>
      <c r="AX857" s="50">
        <f t="shared" si="413"/>
        <v>0</v>
      </c>
      <c r="AY857" s="43"/>
      <c r="AZ857" s="47"/>
      <c r="BA857" s="48">
        <f t="shared" si="667"/>
        <v>-2382.125</v>
      </c>
      <c r="BB857" s="27"/>
      <c r="BC857" s="27"/>
      <c r="BD857" s="51"/>
      <c r="BE857" s="52"/>
      <c r="BF857" s="27"/>
      <c r="BG857" s="58" t="s">
        <v>2592</v>
      </c>
      <c r="BH857" s="53" t="str">
        <f>'[1]2023'!Q1187</f>
        <v>#REF!</v>
      </c>
      <c r="BI857" s="27"/>
      <c r="BJ857" s="27"/>
      <c r="BK857" s="27" t="s">
        <v>64</v>
      </c>
      <c r="BL857" s="27"/>
    </row>
    <row r="858" ht="14.25" customHeight="1">
      <c r="A858" s="26" t="s">
        <v>55</v>
      </c>
      <c r="B858" s="26" t="s">
        <v>56</v>
      </c>
      <c r="C858" s="26" t="s">
        <v>57</v>
      </c>
      <c r="D858" s="26" t="s">
        <v>58</v>
      </c>
      <c r="E858" s="27" t="s">
        <v>2819</v>
      </c>
      <c r="F858" s="28" t="s">
        <v>2820</v>
      </c>
      <c r="G858" s="29" t="s">
        <v>2805</v>
      </c>
      <c r="H858" s="30">
        <v>45155.0</v>
      </c>
      <c r="I858" s="30">
        <v>45520.0</v>
      </c>
      <c r="J858" s="31" t="s">
        <v>2821</v>
      </c>
      <c r="K858" s="26" t="s">
        <v>455</v>
      </c>
      <c r="L858" s="32" t="s">
        <v>63</v>
      </c>
      <c r="M858" s="33">
        <v>8218.37</v>
      </c>
      <c r="N858" s="34">
        <v>8703.26</v>
      </c>
      <c r="O858" s="27" t="s">
        <v>76</v>
      </c>
      <c r="P858" s="35" t="s">
        <v>89</v>
      </c>
      <c r="Q858" s="35" t="s">
        <v>65</v>
      </c>
      <c r="R858" s="36" t="e">
        <v>#VALUE!</v>
      </c>
      <c r="S858" s="35" t="s">
        <v>86</v>
      </c>
      <c r="T858" s="35">
        <v>0.0</v>
      </c>
      <c r="U858" s="37" t="s">
        <v>67</v>
      </c>
      <c r="V858" s="38"/>
      <c r="W858" s="38"/>
      <c r="X858" s="27"/>
      <c r="Y858" s="39"/>
      <c r="Z858" s="39"/>
      <c r="AA858" s="39"/>
      <c r="AB858" s="27"/>
      <c r="AC858" s="27">
        <f t="shared" si="619"/>
        <v>0</v>
      </c>
      <c r="AD858" s="41"/>
      <c r="AE858" s="42"/>
      <c r="AF858" s="27"/>
      <c r="AG858" s="43">
        <f t="shared" si="672"/>
        <v>2108.011905</v>
      </c>
      <c r="AH858" s="29"/>
      <c r="AI858" s="29"/>
      <c r="AJ858" s="29"/>
      <c r="AK858" s="29"/>
      <c r="AL858" s="27"/>
      <c r="AM858" s="44"/>
      <c r="AN858" s="47"/>
      <c r="AO858" s="46"/>
      <c r="AP858" s="47"/>
      <c r="AQ858" s="43">
        <f>IF(U858="Motor Plus",(M858*27%),IF(U858="Motor One",(M858*22%),(IF(U858="Golden",(M858*25%),(IF(U858="Classic",(M858*15%),(IF(U858="Wethaq",(M858*28%),IF(U858="Alwataniya",(M858*21%))*0))))))))</f>
        <v>2218.9599</v>
      </c>
      <c r="AR858" s="43">
        <f t="shared" si="448"/>
        <v>110.947995</v>
      </c>
      <c r="AS858" s="43">
        <f t="shared" si="449"/>
        <v>388.3179825</v>
      </c>
      <c r="AT858" s="48">
        <f t="shared" si="450"/>
        <v>1719.693923</v>
      </c>
      <c r="AU858" s="49">
        <f t="shared" si="670"/>
        <v>1719.693923</v>
      </c>
      <c r="AV858" s="48"/>
      <c r="AW858" s="34">
        <f t="shared" si="540"/>
        <v>8703.26</v>
      </c>
      <c r="AX858" s="50">
        <f t="shared" si="413"/>
        <v>1719.693923</v>
      </c>
      <c r="AY858" s="43"/>
      <c r="AZ858" s="47"/>
      <c r="BA858" s="48">
        <f t="shared" si="667"/>
        <v>1719.693923</v>
      </c>
      <c r="BB858" s="27"/>
      <c r="BC858" s="27"/>
      <c r="BD858" s="51"/>
      <c r="BE858" s="52"/>
      <c r="BF858" s="27"/>
      <c r="BG858" s="53">
        <v>0.0</v>
      </c>
      <c r="BH858" s="53" t="str">
        <f t="shared" ref="BH858:BH859" si="675">'[1]2023'!Q1229</f>
        <v>#REF!</v>
      </c>
      <c r="BI858" s="27"/>
      <c r="BJ858" s="27"/>
      <c r="BK858" s="27" t="s">
        <v>76</v>
      </c>
      <c r="BL858" s="27"/>
    </row>
    <row r="859" ht="14.25" customHeight="1">
      <c r="A859" s="26" t="s">
        <v>55</v>
      </c>
      <c r="B859" s="26" t="s">
        <v>56</v>
      </c>
      <c r="C859" s="26" t="s">
        <v>57</v>
      </c>
      <c r="D859" s="26" t="s">
        <v>58</v>
      </c>
      <c r="E859" s="27" t="s">
        <v>2822</v>
      </c>
      <c r="F859" s="28" t="s">
        <v>2823</v>
      </c>
      <c r="G859" s="29">
        <v>45155.0</v>
      </c>
      <c r="H859" s="30">
        <v>45155.0</v>
      </c>
      <c r="I859" s="30">
        <v>45520.0</v>
      </c>
      <c r="J859" s="31">
        <v>0.0</v>
      </c>
      <c r="K859" s="26" t="s">
        <v>455</v>
      </c>
      <c r="L859" s="89">
        <v>45167.0</v>
      </c>
      <c r="M859" s="33">
        <v>4265.26</v>
      </c>
      <c r="N859" s="34">
        <v>4516.91</v>
      </c>
      <c r="O859" s="27" t="s">
        <v>76</v>
      </c>
      <c r="P859" s="35" t="s">
        <v>89</v>
      </c>
      <c r="Q859" s="35" t="s">
        <v>90</v>
      </c>
      <c r="R859" s="36">
        <v>45155.0</v>
      </c>
      <c r="S859" s="35" t="s">
        <v>86</v>
      </c>
      <c r="T859" s="35">
        <v>0.0</v>
      </c>
      <c r="U859" s="37">
        <v>0.0</v>
      </c>
      <c r="V859" s="38"/>
      <c r="W859" s="38"/>
      <c r="X859" s="27"/>
      <c r="Y859" s="39"/>
      <c r="Z859" s="39"/>
      <c r="AA859" s="39"/>
      <c r="AB859" s="27"/>
      <c r="AC859" s="27">
        <f t="shared" si="619"/>
        <v>0</v>
      </c>
      <c r="AD859" s="41">
        <f t="shared" ref="AD859:AD865" si="676">IF(AND(S859="0",O859="Paid"),(M859*15%)-AC859,0)</f>
        <v>639.789</v>
      </c>
      <c r="AE859" s="42"/>
      <c r="AF859" s="27"/>
      <c r="AG859" s="43">
        <f t="shared" si="672"/>
        <v>1094.03919</v>
      </c>
      <c r="AH859" s="29"/>
      <c r="AI859" s="29"/>
      <c r="AJ859" s="29"/>
      <c r="AK859" s="29"/>
      <c r="AL859" s="27"/>
      <c r="AM859" s="44"/>
      <c r="AN859" s="47"/>
      <c r="AO859" s="46"/>
      <c r="AP859" s="47"/>
      <c r="AQ859" s="43">
        <f t="shared" ref="AQ859:AQ861" si="677">IF(O859="Paid",IF(U859="Motor Plus",(M859*27%),IF(U859="Motor One",(M859*22%),(IF(U859="Golden",(M859*25%),(IF(U859="Classic",(M859*15%),(IF(U859="Wethaq",(M859*28%),IF(U859="Alwataniya",(M859*21%))*0)))))))))</f>
        <v>0</v>
      </c>
      <c r="AR859" s="43">
        <f t="shared" si="448"/>
        <v>0</v>
      </c>
      <c r="AS859" s="43">
        <f t="shared" si="449"/>
        <v>0</v>
      </c>
      <c r="AT859" s="48">
        <f t="shared" si="450"/>
        <v>0</v>
      </c>
      <c r="AU859" s="49">
        <f t="shared" si="670"/>
        <v>0</v>
      </c>
      <c r="AV859" s="48"/>
      <c r="AW859" s="34">
        <f t="shared" si="540"/>
        <v>3877.121</v>
      </c>
      <c r="AX859" s="50">
        <f t="shared" si="413"/>
        <v>454.25019</v>
      </c>
      <c r="AY859" s="43"/>
      <c r="AZ859" s="47"/>
      <c r="BA859" s="48">
        <f t="shared" si="667"/>
        <v>0</v>
      </c>
      <c r="BB859" s="27"/>
      <c r="BC859" s="27"/>
      <c r="BD859" s="51"/>
      <c r="BE859" s="52"/>
      <c r="BF859" s="27"/>
      <c r="BG859" s="53">
        <v>0.0</v>
      </c>
      <c r="BH859" s="53" t="str">
        <f t="shared" si="675"/>
        <v>#REF!</v>
      </c>
      <c r="BI859" s="27"/>
      <c r="BJ859" s="27"/>
      <c r="BK859" s="27" t="s">
        <v>76</v>
      </c>
      <c r="BL859" s="158"/>
    </row>
    <row r="860" ht="14.25" customHeight="1">
      <c r="A860" s="26" t="s">
        <v>55</v>
      </c>
      <c r="B860" s="26" t="s">
        <v>56</v>
      </c>
      <c r="C860" s="26" t="s">
        <v>57</v>
      </c>
      <c r="D860" s="26" t="s">
        <v>58</v>
      </c>
      <c r="E860" s="27" t="s">
        <v>2824</v>
      </c>
      <c r="F860" s="28" t="s">
        <v>2825</v>
      </c>
      <c r="G860" s="29">
        <v>45155.0</v>
      </c>
      <c r="H860" s="30">
        <v>45155.0</v>
      </c>
      <c r="I860" s="30">
        <v>45520.0</v>
      </c>
      <c r="J860" s="31">
        <v>0.0</v>
      </c>
      <c r="K860" s="26" t="s">
        <v>455</v>
      </c>
      <c r="L860" s="32" t="s">
        <v>63</v>
      </c>
      <c r="M860" s="33">
        <v>0.0</v>
      </c>
      <c r="N860" s="34">
        <v>8704.0</v>
      </c>
      <c r="O860" s="27" t="s">
        <v>64</v>
      </c>
      <c r="P860" s="35">
        <v>0.0</v>
      </c>
      <c r="Q860" s="35">
        <v>0.0</v>
      </c>
      <c r="R860" s="36">
        <v>45155.0</v>
      </c>
      <c r="S860" s="35" t="s">
        <v>86</v>
      </c>
      <c r="T860" s="35">
        <v>0.0</v>
      </c>
      <c r="U860" s="37">
        <v>0.0</v>
      </c>
      <c r="V860" s="38"/>
      <c r="W860" s="38"/>
      <c r="X860" s="27"/>
      <c r="Y860" s="39"/>
      <c r="Z860" s="39"/>
      <c r="AA860" s="39"/>
      <c r="AB860" s="27"/>
      <c r="AC860" s="27">
        <f t="shared" si="619"/>
        <v>0</v>
      </c>
      <c r="AD860" s="41">
        <f t="shared" si="676"/>
        <v>0</v>
      </c>
      <c r="AE860" s="42"/>
      <c r="AF860" s="27"/>
      <c r="AG860" s="43">
        <f t="shared" si="672"/>
        <v>0</v>
      </c>
      <c r="AH860" s="29"/>
      <c r="AI860" s="29"/>
      <c r="AJ860" s="29"/>
      <c r="AK860" s="29"/>
      <c r="AL860" s="27"/>
      <c r="AM860" s="44"/>
      <c r="AN860" s="47"/>
      <c r="AO860" s="46"/>
      <c r="AP860" s="47"/>
      <c r="AQ860" s="43" t="b">
        <f t="shared" si="677"/>
        <v>0</v>
      </c>
      <c r="AR860" s="43">
        <f t="shared" si="448"/>
        <v>0</v>
      </c>
      <c r="AS860" s="43">
        <f t="shared" si="449"/>
        <v>0</v>
      </c>
      <c r="AT860" s="48">
        <f t="shared" si="450"/>
        <v>0</v>
      </c>
      <c r="AU860" s="49">
        <f t="shared" si="670"/>
        <v>0</v>
      </c>
      <c r="AV860" s="48"/>
      <c r="AW860" s="34">
        <f t="shared" si="540"/>
        <v>8704</v>
      </c>
      <c r="AX860" s="50">
        <f t="shared" si="413"/>
        <v>0</v>
      </c>
      <c r="AY860" s="43"/>
      <c r="AZ860" s="47"/>
      <c r="BA860" s="48">
        <f t="shared" si="667"/>
        <v>0</v>
      </c>
      <c r="BB860" s="27"/>
      <c r="BC860" s="27"/>
      <c r="BD860" s="51"/>
      <c r="BE860" s="52"/>
      <c r="BF860" s="27"/>
      <c r="BG860" s="53">
        <v>0.0</v>
      </c>
      <c r="BH860" s="53" t="str">
        <f t="shared" ref="BH860:BH861" si="678">'[1]2023'!Q1235</f>
        <v>#REF!</v>
      </c>
      <c r="BI860" s="27"/>
      <c r="BJ860" s="27"/>
      <c r="BK860" s="27" t="s">
        <v>64</v>
      </c>
      <c r="BL860" s="167"/>
    </row>
    <row r="861" ht="14.25" customHeight="1">
      <c r="A861" s="26" t="s">
        <v>55</v>
      </c>
      <c r="B861" s="26" t="s">
        <v>56</v>
      </c>
      <c r="C861" s="26" t="s">
        <v>57</v>
      </c>
      <c r="D861" s="26" t="s">
        <v>58</v>
      </c>
      <c r="E861" s="27" t="s">
        <v>2826</v>
      </c>
      <c r="F861" s="28" t="s">
        <v>2827</v>
      </c>
      <c r="G861" s="29">
        <v>45155.0</v>
      </c>
      <c r="H861" s="30">
        <v>45155.0</v>
      </c>
      <c r="I861" s="30">
        <v>45520.0</v>
      </c>
      <c r="J861" s="31">
        <v>0.0</v>
      </c>
      <c r="K861" s="26" t="s">
        <v>455</v>
      </c>
      <c r="L861" s="32" t="s">
        <v>63</v>
      </c>
      <c r="M861" s="33">
        <v>0.0</v>
      </c>
      <c r="N861" s="34">
        <v>4516.0</v>
      </c>
      <c r="O861" s="27" t="s">
        <v>64</v>
      </c>
      <c r="P861" s="35">
        <v>0.0</v>
      </c>
      <c r="Q861" s="35">
        <v>0.0</v>
      </c>
      <c r="R861" s="36">
        <v>45155.0</v>
      </c>
      <c r="S861" s="35" t="s">
        <v>86</v>
      </c>
      <c r="T861" s="35">
        <v>0.0</v>
      </c>
      <c r="U861" s="37">
        <v>0.0</v>
      </c>
      <c r="V861" s="38"/>
      <c r="W861" s="38"/>
      <c r="X861" s="27"/>
      <c r="Y861" s="39"/>
      <c r="Z861" s="39"/>
      <c r="AA861" s="39"/>
      <c r="AB861" s="27"/>
      <c r="AC861" s="27">
        <f t="shared" si="619"/>
        <v>0</v>
      </c>
      <c r="AD861" s="41">
        <f t="shared" si="676"/>
        <v>0</v>
      </c>
      <c r="AE861" s="42"/>
      <c r="AF861" s="27"/>
      <c r="AG861" s="43">
        <f t="shared" si="672"/>
        <v>0</v>
      </c>
      <c r="AH861" s="29"/>
      <c r="AI861" s="29"/>
      <c r="AJ861" s="29"/>
      <c r="AK861" s="29"/>
      <c r="AL861" s="27"/>
      <c r="AM861" s="44"/>
      <c r="AN861" s="47"/>
      <c r="AO861" s="46"/>
      <c r="AP861" s="47"/>
      <c r="AQ861" s="43" t="b">
        <f t="shared" si="677"/>
        <v>0</v>
      </c>
      <c r="AR861" s="43">
        <f t="shared" si="448"/>
        <v>0</v>
      </c>
      <c r="AS861" s="43">
        <f t="shared" si="449"/>
        <v>0</v>
      </c>
      <c r="AT861" s="48">
        <f t="shared" si="450"/>
        <v>0</v>
      </c>
      <c r="AU861" s="49">
        <f t="shared" si="670"/>
        <v>0</v>
      </c>
      <c r="AV861" s="48"/>
      <c r="AW861" s="34">
        <f t="shared" si="540"/>
        <v>4516</v>
      </c>
      <c r="AX861" s="50">
        <f t="shared" si="413"/>
        <v>0</v>
      </c>
      <c r="AY861" s="43"/>
      <c r="AZ861" s="47"/>
      <c r="BA861" s="48">
        <f t="shared" si="667"/>
        <v>0</v>
      </c>
      <c r="BB861" s="27"/>
      <c r="BC861" s="27"/>
      <c r="BD861" s="51"/>
      <c r="BE861" s="52"/>
      <c r="BF861" s="27"/>
      <c r="BG861" s="53">
        <v>0.0</v>
      </c>
      <c r="BH861" s="53" t="str">
        <f t="shared" si="678"/>
        <v>#REF!</v>
      </c>
      <c r="BI861" s="27"/>
      <c r="BJ861" s="27"/>
      <c r="BK861" s="27" t="s">
        <v>64</v>
      </c>
      <c r="BL861" s="44"/>
    </row>
    <row r="862" ht="14.25" customHeight="1">
      <c r="A862" s="26" t="s">
        <v>68</v>
      </c>
      <c r="B862" s="26" t="s">
        <v>56</v>
      </c>
      <c r="C862" s="26" t="s">
        <v>57</v>
      </c>
      <c r="D862" s="26" t="s">
        <v>71</v>
      </c>
      <c r="E862" s="27" t="s">
        <v>2828</v>
      </c>
      <c r="F862" s="28" t="s">
        <v>2829</v>
      </c>
      <c r="G862" s="29" t="s">
        <v>2805</v>
      </c>
      <c r="H862" s="30">
        <v>45155.0</v>
      </c>
      <c r="I862" s="30">
        <v>45520.0</v>
      </c>
      <c r="J862" s="88" t="s">
        <v>461</v>
      </c>
      <c r="K862" s="26" t="s">
        <v>2784</v>
      </c>
      <c r="L862" s="32" t="s">
        <v>457</v>
      </c>
      <c r="M862" s="33">
        <v>17495.34</v>
      </c>
      <c r="N862" s="34">
        <v>18750.0</v>
      </c>
      <c r="O862" s="27" t="s">
        <v>76</v>
      </c>
      <c r="P862" s="35" t="s">
        <v>430</v>
      </c>
      <c r="Q862" s="35">
        <v>0.0</v>
      </c>
      <c r="R862" s="36" t="e">
        <v>#VALUE!</v>
      </c>
      <c r="S862" s="35" t="s">
        <v>78</v>
      </c>
      <c r="T862" s="35">
        <v>0.0</v>
      </c>
      <c r="U862" s="37" t="s">
        <v>68</v>
      </c>
      <c r="V862" s="38">
        <v>750000.0</v>
      </c>
      <c r="W862" s="38"/>
      <c r="X862" s="27"/>
      <c r="Y862" s="39"/>
      <c r="Z862" s="39" t="s">
        <v>2830</v>
      </c>
      <c r="AA862" s="39"/>
      <c r="AB862" s="27"/>
      <c r="AC862" s="27">
        <f t="shared" si="619"/>
        <v>0</v>
      </c>
      <c r="AD862" s="41">
        <f t="shared" si="676"/>
        <v>0</v>
      </c>
      <c r="AE862" s="42"/>
      <c r="AF862" s="27"/>
      <c r="AG862" s="43">
        <f>M862*28%-((M862*28%)*5%)</f>
        <v>4653.76044</v>
      </c>
      <c r="AH862" s="29">
        <v>45269.0</v>
      </c>
      <c r="AI862" s="29" t="s">
        <v>1324</v>
      </c>
      <c r="AJ862" s="55">
        <v>0.28</v>
      </c>
      <c r="AK862" s="29" t="s">
        <v>1325</v>
      </c>
      <c r="AL862" s="27"/>
      <c r="AM862" s="44"/>
      <c r="AN862" s="47"/>
      <c r="AO862" s="46"/>
      <c r="AP862" s="47"/>
      <c r="AQ862" s="43">
        <f t="shared" ref="AQ862:AQ870" si="679">IF(U862="Motor Plus",(M862*27%),IF(U862="Motor One",(M862*22%),(IF(U862="Golden",(M862*25%),(IF(U862="Classic",(M862*15%),(IF(U862="Wethaq",(M862*28%),IF(U862="Alwataniya",(M862*21%))*0))))))))</f>
        <v>4898.6952</v>
      </c>
      <c r="AR862" s="43">
        <f t="shared" si="448"/>
        <v>244.93476</v>
      </c>
      <c r="AS862" s="43">
        <f t="shared" si="449"/>
        <v>857.27166</v>
      </c>
      <c r="AT862" s="48">
        <f t="shared" si="450"/>
        <v>3796.48878</v>
      </c>
      <c r="AU862" s="48">
        <f t="shared" si="670"/>
        <v>3796.48878</v>
      </c>
      <c r="AV862" s="48"/>
      <c r="AW862" s="34">
        <f t="shared" si="540"/>
        <v>18750</v>
      </c>
      <c r="AX862" s="50">
        <f t="shared" si="413"/>
        <v>3796.48878</v>
      </c>
      <c r="AY862" s="43"/>
      <c r="AZ862" s="47"/>
      <c r="BA862" s="48">
        <f t="shared" si="667"/>
        <v>3796.48878</v>
      </c>
      <c r="BB862" s="27"/>
      <c r="BC862" s="27"/>
      <c r="BD862" s="51"/>
      <c r="BE862" s="52"/>
      <c r="BF862" s="27"/>
      <c r="BG862" s="53">
        <v>0.0</v>
      </c>
      <c r="BH862" s="53" t="str">
        <f>'[1]2023'!Q1271</f>
        <v>#REF!</v>
      </c>
      <c r="BI862" s="27"/>
      <c r="BJ862" s="27"/>
      <c r="BK862" s="27" t="s">
        <v>76</v>
      </c>
      <c r="BL862" s="27"/>
    </row>
    <row r="863" ht="14.25" customHeight="1">
      <c r="A863" s="26" t="s">
        <v>55</v>
      </c>
      <c r="B863" s="26" t="s">
        <v>56</v>
      </c>
      <c r="C863" s="26" t="s">
        <v>57</v>
      </c>
      <c r="D863" s="26" t="s">
        <v>81</v>
      </c>
      <c r="E863" s="27" t="s">
        <v>2831</v>
      </c>
      <c r="F863" s="28" t="s">
        <v>2832</v>
      </c>
      <c r="G863" s="29" t="s">
        <v>2833</v>
      </c>
      <c r="H863" s="30">
        <v>45156.0</v>
      </c>
      <c r="I863" s="30">
        <v>45521.0</v>
      </c>
      <c r="J863" s="31">
        <v>0.0</v>
      </c>
      <c r="K863" s="26" t="s">
        <v>455</v>
      </c>
      <c r="L863" s="32" t="s">
        <v>75</v>
      </c>
      <c r="M863" s="33">
        <v>15930.0</v>
      </c>
      <c r="N863" s="34">
        <v>17010.87</v>
      </c>
      <c r="O863" s="27" t="s">
        <v>76</v>
      </c>
      <c r="P863" s="35" t="s">
        <v>430</v>
      </c>
      <c r="Q863" s="35" t="s">
        <v>90</v>
      </c>
      <c r="R863" s="36" t="e">
        <v>#VALUE!</v>
      </c>
      <c r="S863" s="35" t="s">
        <v>86</v>
      </c>
      <c r="T863" s="35">
        <v>0.0</v>
      </c>
      <c r="U863" s="37" t="s">
        <v>67</v>
      </c>
      <c r="V863" s="38"/>
      <c r="W863" s="38"/>
      <c r="X863" s="27"/>
      <c r="Y863" s="39"/>
      <c r="Z863" s="79" t="s">
        <v>232</v>
      </c>
      <c r="AA863" s="39"/>
      <c r="AB863" s="40"/>
      <c r="AC863" s="27">
        <f t="shared" si="619"/>
        <v>0</v>
      </c>
      <c r="AD863" s="41">
        <f t="shared" si="676"/>
        <v>2389.5</v>
      </c>
      <c r="AE863" s="42"/>
      <c r="AF863" s="27"/>
      <c r="AG863" s="43">
        <f t="shared" ref="AG863:AG865" si="680">IF(O863="Paid",IF(A863="Alwataniya",(M863*21%)-((M863*21%)*5%),IF((A863="GIG"),(M863*25%)-((M863*25%)*5%),IF((A863="Allianz"),(M863*27%)-((M863*27%)*5%),0))),0)</f>
        <v>4086.045</v>
      </c>
      <c r="AH863" s="29"/>
      <c r="AI863" s="29"/>
      <c r="AJ863" s="29"/>
      <c r="AK863" s="29"/>
      <c r="AL863" s="27"/>
      <c r="AM863" s="44"/>
      <c r="AN863" s="47"/>
      <c r="AO863" s="46"/>
      <c r="AP863" s="47"/>
      <c r="AQ863" s="43">
        <f t="shared" si="679"/>
        <v>4301.1</v>
      </c>
      <c r="AR863" s="43">
        <f t="shared" si="448"/>
        <v>215.055</v>
      </c>
      <c r="AS863" s="43">
        <f t="shared" si="449"/>
        <v>752.6925</v>
      </c>
      <c r="AT863" s="48">
        <f t="shared" si="450"/>
        <v>3333.3525</v>
      </c>
      <c r="AU863" s="49">
        <f t="shared" si="670"/>
        <v>3333.3525</v>
      </c>
      <c r="AV863" s="48"/>
      <c r="AW863" s="34">
        <f t="shared" si="540"/>
        <v>14621.37</v>
      </c>
      <c r="AX863" s="50">
        <f t="shared" si="413"/>
        <v>943.8525</v>
      </c>
      <c r="AY863" s="43"/>
      <c r="AZ863" s="47"/>
      <c r="BA863" s="48">
        <f t="shared" si="667"/>
        <v>3333.3525</v>
      </c>
      <c r="BB863" s="27"/>
      <c r="BC863" s="27"/>
      <c r="BD863" s="51"/>
      <c r="BE863" s="52"/>
      <c r="BF863" s="27" t="s">
        <v>2831</v>
      </c>
      <c r="BG863" s="53">
        <v>0.0</v>
      </c>
      <c r="BH863" s="53" t="str">
        <f>'[1]2023'!Q1020</f>
        <v>#REF!</v>
      </c>
      <c r="BI863" s="27"/>
      <c r="BJ863" s="27"/>
      <c r="BK863" s="27" t="s">
        <v>76</v>
      </c>
      <c r="BL863" s="27"/>
    </row>
    <row r="864" ht="14.25" customHeight="1">
      <c r="A864" s="26" t="s">
        <v>55</v>
      </c>
      <c r="B864" s="26" t="s">
        <v>56</v>
      </c>
      <c r="C864" s="26" t="s">
        <v>57</v>
      </c>
      <c r="D864" s="26" t="s">
        <v>81</v>
      </c>
      <c r="E864" s="27" t="s">
        <v>2834</v>
      </c>
      <c r="F864" s="28" t="s">
        <v>2835</v>
      </c>
      <c r="G864" s="29">
        <v>45156.0</v>
      </c>
      <c r="H864" s="30">
        <v>45156.0</v>
      </c>
      <c r="I864" s="30">
        <v>45521.0</v>
      </c>
      <c r="J864" s="31">
        <v>0.0</v>
      </c>
      <c r="K864" s="26" t="s">
        <v>455</v>
      </c>
      <c r="L864" s="32" t="s">
        <v>2836</v>
      </c>
      <c r="M864" s="33">
        <v>20625.0</v>
      </c>
      <c r="N864" s="34">
        <v>21995.26</v>
      </c>
      <c r="O864" s="27" t="s">
        <v>76</v>
      </c>
      <c r="P864" s="35" t="s">
        <v>122</v>
      </c>
      <c r="Q864" s="35" t="s">
        <v>108</v>
      </c>
      <c r="R864" s="36">
        <v>45156.0</v>
      </c>
      <c r="S864" s="35" t="s">
        <v>86</v>
      </c>
      <c r="T864" s="35">
        <v>0.0</v>
      </c>
      <c r="U864" s="37" t="s">
        <v>67</v>
      </c>
      <c r="V864" s="38"/>
      <c r="W864" s="38"/>
      <c r="X864" s="27"/>
      <c r="Y864" s="39"/>
      <c r="Z864" s="39"/>
      <c r="AA864" s="39"/>
      <c r="AB864" s="27"/>
      <c r="AC864" s="27">
        <f t="shared" si="619"/>
        <v>0</v>
      </c>
      <c r="AD864" s="41">
        <f t="shared" si="676"/>
        <v>3093.75</v>
      </c>
      <c r="AE864" s="42"/>
      <c r="AF864" s="27" t="s">
        <v>1312</v>
      </c>
      <c r="AG864" s="43">
        <f t="shared" si="680"/>
        <v>5290.3125</v>
      </c>
      <c r="AH864" s="29"/>
      <c r="AI864" s="29"/>
      <c r="AJ864" s="29"/>
      <c r="AK864" s="29"/>
      <c r="AL864" s="27"/>
      <c r="AM864" s="44"/>
      <c r="AN864" s="47"/>
      <c r="AO864" s="46"/>
      <c r="AP864" s="47"/>
      <c r="AQ864" s="43">
        <f t="shared" si="679"/>
        <v>5568.75</v>
      </c>
      <c r="AR864" s="43">
        <f t="shared" si="448"/>
        <v>278.4375</v>
      </c>
      <c r="AS864" s="43">
        <f t="shared" si="449"/>
        <v>974.53125</v>
      </c>
      <c r="AT864" s="48">
        <f t="shared" si="450"/>
        <v>4315.78125</v>
      </c>
      <c r="AU864" s="49">
        <f t="shared" si="670"/>
        <v>4315.78125</v>
      </c>
      <c r="AV864" s="48"/>
      <c r="AW864" s="34">
        <f t="shared" si="540"/>
        <v>18901.51</v>
      </c>
      <c r="AX864" s="50">
        <f t="shared" si="413"/>
        <v>1222.03125</v>
      </c>
      <c r="AY864" s="43"/>
      <c r="AZ864" s="47"/>
      <c r="BA864" s="48">
        <f t="shared" si="667"/>
        <v>4315.78125</v>
      </c>
      <c r="BB864" s="27"/>
      <c r="BC864" s="27"/>
      <c r="BD864" s="51"/>
      <c r="BE864" s="52"/>
      <c r="BF864" s="27" t="s">
        <v>2834</v>
      </c>
      <c r="BG864" s="53">
        <v>0.0</v>
      </c>
      <c r="BH864" s="53" t="str">
        <f>'[1]2023'!Q1086</f>
        <v>#REF!</v>
      </c>
      <c r="BI864" s="27"/>
      <c r="BJ864" s="27"/>
      <c r="BK864" s="27" t="s">
        <v>76</v>
      </c>
      <c r="BL864" s="27"/>
    </row>
    <row r="865" ht="14.25" customHeight="1">
      <c r="A865" s="26" t="s">
        <v>55</v>
      </c>
      <c r="B865" s="26" t="s">
        <v>56</v>
      </c>
      <c r="C865" s="26" t="s">
        <v>57</v>
      </c>
      <c r="D865" s="26" t="s">
        <v>81</v>
      </c>
      <c r="E865" s="27" t="s">
        <v>2837</v>
      </c>
      <c r="F865" s="28" t="s">
        <v>2838</v>
      </c>
      <c r="G865" s="29" t="s">
        <v>2839</v>
      </c>
      <c r="H865" s="30">
        <v>45157.0</v>
      </c>
      <c r="I865" s="30">
        <v>45522.0</v>
      </c>
      <c r="J865" s="31">
        <v>0.0</v>
      </c>
      <c r="K865" s="26" t="s">
        <v>455</v>
      </c>
      <c r="L865" s="32" t="s">
        <v>483</v>
      </c>
      <c r="M865" s="33">
        <v>20625.0</v>
      </c>
      <c r="N865" s="34">
        <v>21982.88</v>
      </c>
      <c r="O865" s="27" t="s">
        <v>76</v>
      </c>
      <c r="P865" s="35" t="s">
        <v>89</v>
      </c>
      <c r="Q865" s="35">
        <v>0.0</v>
      </c>
      <c r="R865" s="36" t="e">
        <v>#VALUE!</v>
      </c>
      <c r="S865" s="35" t="s">
        <v>86</v>
      </c>
      <c r="T865" s="35">
        <v>0.0</v>
      </c>
      <c r="U865" s="37" t="s">
        <v>67</v>
      </c>
      <c r="V865" s="38"/>
      <c r="W865" s="38"/>
      <c r="X865" s="27"/>
      <c r="Y865" s="39"/>
      <c r="Z865" s="39"/>
      <c r="AA865" s="39"/>
      <c r="AB865" s="27"/>
      <c r="AC865" s="27">
        <f t="shared" si="619"/>
        <v>0</v>
      </c>
      <c r="AD865" s="41">
        <f t="shared" si="676"/>
        <v>3093.75</v>
      </c>
      <c r="AE865" s="42"/>
      <c r="AF865" s="27"/>
      <c r="AG865" s="43">
        <f t="shared" si="680"/>
        <v>5290.3125</v>
      </c>
      <c r="AH865" s="29"/>
      <c r="AI865" s="29"/>
      <c r="AJ865" s="29"/>
      <c r="AK865" s="29"/>
      <c r="AL865" s="27"/>
      <c r="AM865" s="44"/>
      <c r="AN865" s="47"/>
      <c r="AO865" s="46"/>
      <c r="AP865" s="47"/>
      <c r="AQ865" s="43">
        <f t="shared" si="679"/>
        <v>5568.75</v>
      </c>
      <c r="AR865" s="43">
        <f t="shared" si="448"/>
        <v>278.4375</v>
      </c>
      <c r="AS865" s="43">
        <f t="shared" si="449"/>
        <v>974.53125</v>
      </c>
      <c r="AT865" s="48">
        <f t="shared" si="450"/>
        <v>4315.78125</v>
      </c>
      <c r="AU865" s="49">
        <f t="shared" si="670"/>
        <v>4315.78125</v>
      </c>
      <c r="AV865" s="48"/>
      <c r="AW865" s="34">
        <f t="shared" si="540"/>
        <v>18889.13</v>
      </c>
      <c r="AX865" s="50">
        <f t="shared" si="413"/>
        <v>1222.03125</v>
      </c>
      <c r="AY865" s="43"/>
      <c r="AZ865" s="47"/>
      <c r="BA865" s="48">
        <f t="shared" si="667"/>
        <v>4315.78125</v>
      </c>
      <c r="BB865" s="27"/>
      <c r="BC865" s="27"/>
      <c r="BD865" s="51"/>
      <c r="BE865" s="52"/>
      <c r="BF865" s="27" t="s">
        <v>2837</v>
      </c>
      <c r="BG865" s="53">
        <v>0.0</v>
      </c>
      <c r="BH865" s="53" t="str">
        <f>'[1]2023'!Q1084</f>
        <v>#REF!</v>
      </c>
      <c r="BI865" s="27"/>
      <c r="BJ865" s="27"/>
      <c r="BK865" s="27" t="s">
        <v>76</v>
      </c>
      <c r="BL865" s="27"/>
    </row>
    <row r="866" ht="14.25" customHeight="1">
      <c r="A866" s="26" t="s">
        <v>111</v>
      </c>
      <c r="B866" s="26" t="s">
        <v>56</v>
      </c>
      <c r="C866" s="26" t="s">
        <v>57</v>
      </c>
      <c r="D866" s="26" t="s">
        <v>71</v>
      </c>
      <c r="E866" s="27" t="s">
        <v>2840</v>
      </c>
      <c r="F866" s="28" t="s">
        <v>2841</v>
      </c>
      <c r="G866" s="29" t="s">
        <v>2816</v>
      </c>
      <c r="H866" s="30">
        <v>45158.0</v>
      </c>
      <c r="I866" s="30">
        <v>45523.0</v>
      </c>
      <c r="J866" s="31" t="s">
        <v>2842</v>
      </c>
      <c r="K866" s="26" t="s">
        <v>455</v>
      </c>
      <c r="L866" s="32" t="s">
        <v>75</v>
      </c>
      <c r="M866" s="33">
        <v>16864.85</v>
      </c>
      <c r="N866" s="34">
        <v>18200.0</v>
      </c>
      <c r="O866" s="27" t="s">
        <v>76</v>
      </c>
      <c r="P866" s="35" t="s">
        <v>430</v>
      </c>
      <c r="Q866" s="35" t="s">
        <v>114</v>
      </c>
      <c r="R866" s="36" t="e">
        <v>#VALUE!</v>
      </c>
      <c r="S866" s="35" t="s">
        <v>78</v>
      </c>
      <c r="T866" s="54" t="s">
        <v>1271</v>
      </c>
      <c r="U866" s="37" t="s">
        <v>115</v>
      </c>
      <c r="V866" s="38">
        <v>700000.0</v>
      </c>
      <c r="W866" s="38"/>
      <c r="X866" s="27"/>
      <c r="Y866" s="39"/>
      <c r="Z866" s="79" t="s">
        <v>1587</v>
      </c>
      <c r="AA866" s="39"/>
      <c r="AB866" s="40"/>
      <c r="AC866" s="27">
        <f t="shared" si="619"/>
        <v>0</v>
      </c>
      <c r="AD866" s="41"/>
      <c r="AE866" s="42"/>
      <c r="AF866" s="27"/>
      <c r="AG866" s="43">
        <f>IF(O866="Paid",IF(A866="Alwataniya",(M866*21%)-((M866*21%)*5%),IF((A866="GIG"),(M866*25%)-((M866*25%)*5%),IF((A866="Allianz"),(M866*27%)-((M866*27%)*20%),0))),0)</f>
        <v>4005.401875</v>
      </c>
      <c r="AH866" s="29">
        <v>44994.0</v>
      </c>
      <c r="AI866" s="29" t="s">
        <v>2764</v>
      </c>
      <c r="AJ866" s="29"/>
      <c r="AK866" s="29" t="s">
        <v>2764</v>
      </c>
      <c r="AL866" s="27"/>
      <c r="AM866" s="44"/>
      <c r="AN866" s="47"/>
      <c r="AO866" s="46">
        <f>(M866*15%)-AC866</f>
        <v>2529.7275</v>
      </c>
      <c r="AP866" s="63" t="s">
        <v>886</v>
      </c>
      <c r="AQ866" s="43">
        <f t="shared" si="679"/>
        <v>4216.2125</v>
      </c>
      <c r="AR866" s="43">
        <f t="shared" si="448"/>
        <v>210.810625</v>
      </c>
      <c r="AS866" s="43">
        <f t="shared" si="449"/>
        <v>737.8371875</v>
      </c>
      <c r="AT866" s="48">
        <f t="shared" si="450"/>
        <v>3267.564688</v>
      </c>
      <c r="AU866" s="49">
        <f t="shared" si="670"/>
        <v>737.8371875</v>
      </c>
      <c r="AV866" s="48"/>
      <c r="AW866" s="34">
        <f t="shared" si="540"/>
        <v>18200</v>
      </c>
      <c r="AX866" s="50">
        <f t="shared" si="413"/>
        <v>737.8371875</v>
      </c>
      <c r="AY866" s="43"/>
      <c r="AZ866" s="47"/>
      <c r="BA866" s="48">
        <f t="shared" si="667"/>
        <v>-1791.890313</v>
      </c>
      <c r="BB866" s="27"/>
      <c r="BC866" s="27"/>
      <c r="BD866" s="51"/>
      <c r="BE866" s="52"/>
      <c r="BF866" s="27" t="s">
        <v>2840</v>
      </c>
      <c r="BG866" s="58" t="s">
        <v>2843</v>
      </c>
      <c r="BH866" s="53" t="str">
        <f>'[1]2023'!Q1027</f>
        <v>#REF!</v>
      </c>
      <c r="BI866" s="27"/>
      <c r="BJ866" s="27"/>
      <c r="BK866" s="27" t="s">
        <v>76</v>
      </c>
      <c r="BL866" s="27"/>
    </row>
    <row r="867" ht="14.25" customHeight="1">
      <c r="A867" s="26" t="s">
        <v>55</v>
      </c>
      <c r="B867" s="26" t="s">
        <v>56</v>
      </c>
      <c r="C867" s="26" t="s">
        <v>57</v>
      </c>
      <c r="D867" s="26" t="s">
        <v>81</v>
      </c>
      <c r="E867" s="27" t="s">
        <v>2844</v>
      </c>
      <c r="F867" s="28" t="s">
        <v>2845</v>
      </c>
      <c r="G867" s="29" t="s">
        <v>2816</v>
      </c>
      <c r="H867" s="30">
        <v>45158.0</v>
      </c>
      <c r="I867" s="30">
        <v>45523.0</v>
      </c>
      <c r="J867" s="31">
        <v>0.0</v>
      </c>
      <c r="K867" s="26" t="s">
        <v>455</v>
      </c>
      <c r="L867" s="32" t="s">
        <v>2569</v>
      </c>
      <c r="M867" s="33">
        <v>12512.5</v>
      </c>
      <c r="N867" s="34">
        <v>13454.31</v>
      </c>
      <c r="O867" s="27" t="s">
        <v>76</v>
      </c>
      <c r="P867" s="35" t="s">
        <v>89</v>
      </c>
      <c r="Q867" s="35" t="s">
        <v>108</v>
      </c>
      <c r="R867" s="36" t="e">
        <v>#VALUE!</v>
      </c>
      <c r="S867" s="35" t="s">
        <v>86</v>
      </c>
      <c r="T867" s="35">
        <v>0.0</v>
      </c>
      <c r="U867" s="37" t="s">
        <v>67</v>
      </c>
      <c r="V867" s="38"/>
      <c r="W867" s="38"/>
      <c r="X867" s="27"/>
      <c r="Y867" s="39"/>
      <c r="Z867" s="39"/>
      <c r="AA867" s="39"/>
      <c r="AB867" s="27"/>
      <c r="AC867" s="27">
        <f t="shared" si="619"/>
        <v>0</v>
      </c>
      <c r="AD867" s="41">
        <f t="shared" ref="AD867:AD870" si="681">IF(AND(S867="0",O867="Paid"),(M867*15%)-AC867,0)</f>
        <v>1876.875</v>
      </c>
      <c r="AE867" s="42"/>
      <c r="AF867" s="27" t="s">
        <v>1980</v>
      </c>
      <c r="AG867" s="43">
        <f t="shared" ref="AG867:AG868" si="682">IF(O867="Paid",IF(A867="Alwataniya",(M867*21%)-((M867*21%)*5%),IF((A867="GIG"),(M867*25%)-((M867*25%)*5%),IF((A867="Allianz"),(M867*27%)-((M867*27%)*5%),0))),0)</f>
        <v>3209.45625</v>
      </c>
      <c r="AH867" s="29"/>
      <c r="AI867" s="29"/>
      <c r="AJ867" s="29"/>
      <c r="AK867" s="29"/>
      <c r="AL867" s="27"/>
      <c r="AM867" s="44"/>
      <c r="AN867" s="47"/>
      <c r="AO867" s="46"/>
      <c r="AP867" s="47"/>
      <c r="AQ867" s="43">
        <f t="shared" si="679"/>
        <v>3378.375</v>
      </c>
      <c r="AR867" s="43">
        <f t="shared" si="448"/>
        <v>168.91875</v>
      </c>
      <c r="AS867" s="43">
        <f t="shared" si="449"/>
        <v>591.215625</v>
      </c>
      <c r="AT867" s="48">
        <f t="shared" si="450"/>
        <v>2618.240625</v>
      </c>
      <c r="AU867" s="49">
        <f t="shared" si="670"/>
        <v>2618.240625</v>
      </c>
      <c r="AV867" s="48"/>
      <c r="AW867" s="34">
        <f t="shared" si="540"/>
        <v>11577.435</v>
      </c>
      <c r="AX867" s="50">
        <f t="shared" si="413"/>
        <v>741.365625</v>
      </c>
      <c r="AY867" s="43"/>
      <c r="AZ867" s="47"/>
      <c r="BA867" s="48">
        <f t="shared" si="667"/>
        <v>2618.240625</v>
      </c>
      <c r="BB867" s="27"/>
      <c r="BC867" s="27"/>
      <c r="BD867" s="51"/>
      <c r="BE867" s="52"/>
      <c r="BF867" s="27" t="s">
        <v>2844</v>
      </c>
      <c r="BG867" s="53">
        <v>0.0</v>
      </c>
      <c r="BH867" s="53" t="str">
        <f>'[1]2023'!Q1088</f>
        <v>#REF!</v>
      </c>
      <c r="BI867" s="27"/>
      <c r="BJ867" s="27"/>
      <c r="BK867" s="27" t="s">
        <v>76</v>
      </c>
      <c r="BL867" s="27"/>
    </row>
    <row r="868" ht="14.25" customHeight="1">
      <c r="A868" s="26" t="s">
        <v>55</v>
      </c>
      <c r="B868" s="26" t="s">
        <v>56</v>
      </c>
      <c r="C868" s="26" t="s">
        <v>57</v>
      </c>
      <c r="D868" s="26" t="s">
        <v>58</v>
      </c>
      <c r="E868" s="27" t="s">
        <v>2846</v>
      </c>
      <c r="F868" s="28" t="s">
        <v>2847</v>
      </c>
      <c r="G868" s="29" t="s">
        <v>2816</v>
      </c>
      <c r="H868" s="30">
        <v>45158.0</v>
      </c>
      <c r="I868" s="30">
        <v>45523.0</v>
      </c>
      <c r="J868" s="31">
        <v>0.0</v>
      </c>
      <c r="K868" s="26" t="s">
        <v>455</v>
      </c>
      <c r="L868" s="32" t="s">
        <v>483</v>
      </c>
      <c r="M868" s="33">
        <v>8823.44</v>
      </c>
      <c r="N868" s="34">
        <v>9344.02</v>
      </c>
      <c r="O868" s="27" t="s">
        <v>76</v>
      </c>
      <c r="P868" s="35" t="s">
        <v>89</v>
      </c>
      <c r="Q868" s="35">
        <v>0.0</v>
      </c>
      <c r="R868" s="36" t="e">
        <v>#VALUE!</v>
      </c>
      <c r="S868" s="35" t="s">
        <v>86</v>
      </c>
      <c r="T868" s="35">
        <v>0.0</v>
      </c>
      <c r="U868" s="37">
        <v>0.0</v>
      </c>
      <c r="V868" s="38"/>
      <c r="W868" s="38"/>
      <c r="X868" s="27"/>
      <c r="Y868" s="39"/>
      <c r="Z868" s="39"/>
      <c r="AA868" s="39"/>
      <c r="AB868" s="27"/>
      <c r="AC868" s="27">
        <f t="shared" si="619"/>
        <v>0</v>
      </c>
      <c r="AD868" s="41">
        <f t="shared" si="681"/>
        <v>1323.516</v>
      </c>
      <c r="AE868" s="42"/>
      <c r="AF868" s="27"/>
      <c r="AG868" s="43">
        <f t="shared" si="682"/>
        <v>2263.21236</v>
      </c>
      <c r="AH868" s="29"/>
      <c r="AI868" s="29"/>
      <c r="AJ868" s="29"/>
      <c r="AK868" s="29"/>
      <c r="AL868" s="27"/>
      <c r="AM868" s="44"/>
      <c r="AN868" s="47"/>
      <c r="AO868" s="46"/>
      <c r="AP868" s="47"/>
      <c r="AQ868" s="43">
        <f t="shared" si="679"/>
        <v>0</v>
      </c>
      <c r="AR868" s="43">
        <f t="shared" si="448"/>
        <v>0</v>
      </c>
      <c r="AS868" s="43">
        <f t="shared" si="449"/>
        <v>0</v>
      </c>
      <c r="AT868" s="48">
        <f t="shared" si="450"/>
        <v>0</v>
      </c>
      <c r="AU868" s="49">
        <f t="shared" si="670"/>
        <v>0</v>
      </c>
      <c r="AV868" s="48"/>
      <c r="AW868" s="34">
        <f t="shared" si="540"/>
        <v>8020.504</v>
      </c>
      <c r="AX868" s="50">
        <f t="shared" si="413"/>
        <v>939.69636</v>
      </c>
      <c r="AY868" s="43"/>
      <c r="AZ868" s="47"/>
      <c r="BA868" s="48">
        <f t="shared" si="667"/>
        <v>0</v>
      </c>
      <c r="BB868" s="27"/>
      <c r="BC868" s="27"/>
      <c r="BD868" s="51"/>
      <c r="BE868" s="52"/>
      <c r="BF868" s="27" t="s">
        <v>2846</v>
      </c>
      <c r="BG868" s="53">
        <v>0.0</v>
      </c>
      <c r="BH868" s="53" t="str">
        <f>'[1]2023'!Q1126</f>
        <v>#REF!</v>
      </c>
      <c r="BI868" s="27"/>
      <c r="BJ868" s="27"/>
      <c r="BK868" s="27" t="s">
        <v>76</v>
      </c>
      <c r="BL868" s="27"/>
    </row>
    <row r="869" ht="14.25" customHeight="1">
      <c r="A869" s="26" t="s">
        <v>111</v>
      </c>
      <c r="B869" s="26" t="s">
        <v>56</v>
      </c>
      <c r="C869" s="26" t="s">
        <v>57</v>
      </c>
      <c r="D869" s="26" t="s">
        <v>71</v>
      </c>
      <c r="E869" s="27" t="s">
        <v>2848</v>
      </c>
      <c r="F869" s="28" t="s">
        <v>2849</v>
      </c>
      <c r="G869" s="29" t="s">
        <v>2816</v>
      </c>
      <c r="H869" s="30">
        <v>45158.0</v>
      </c>
      <c r="I869" s="30">
        <v>45523.0</v>
      </c>
      <c r="J869" s="31" t="s">
        <v>2850</v>
      </c>
      <c r="K869" s="26" t="s">
        <v>455</v>
      </c>
      <c r="L869" s="32" t="s">
        <v>458</v>
      </c>
      <c r="M869" s="33">
        <v>48631.77</v>
      </c>
      <c r="N869" s="34">
        <v>52000.0</v>
      </c>
      <c r="O869" s="27" t="s">
        <v>76</v>
      </c>
      <c r="P869" s="35" t="s">
        <v>430</v>
      </c>
      <c r="Q869" s="35" t="s">
        <v>114</v>
      </c>
      <c r="R869" s="36" t="e">
        <v>#VALUE!</v>
      </c>
      <c r="S869" s="35" t="s">
        <v>66</v>
      </c>
      <c r="T869" s="35">
        <v>0.0</v>
      </c>
      <c r="U869" s="37" t="s">
        <v>115</v>
      </c>
      <c r="V869" s="38">
        <v>2000000.0</v>
      </c>
      <c r="W869" s="38"/>
      <c r="X869" s="27"/>
      <c r="Y869" s="39"/>
      <c r="Z869" s="79" t="s">
        <v>2851</v>
      </c>
      <c r="AA869" s="39"/>
      <c r="AB869" s="27"/>
      <c r="AC869" s="27">
        <f t="shared" si="619"/>
        <v>0</v>
      </c>
      <c r="AD869" s="41">
        <f t="shared" si="681"/>
        <v>0</v>
      </c>
      <c r="AE869" s="42"/>
      <c r="AF869" s="27"/>
      <c r="AG869" s="43">
        <f>IF(O869="Paid",IF(A869="Alwataniya",(M869*21%)-((M869*21%)*5%),IF((A869="GIG"),(M869*25%)-((M869*25%)*5%),IF((A869="Allianz"),(M869*27%)-((M869*27%)*20%),0))),0)</f>
        <v>11550.04538</v>
      </c>
      <c r="AH869" s="29">
        <v>44994.0</v>
      </c>
      <c r="AI869" s="29">
        <v>45086.0</v>
      </c>
      <c r="AJ869" s="29"/>
      <c r="AK869" s="29">
        <v>45025.0</v>
      </c>
      <c r="AL869" s="27"/>
      <c r="AM869" s="46">
        <f>((M869*25%)-AC869-((M869*25%)*22.5%))*30%</f>
        <v>2826.721631</v>
      </c>
      <c r="AN869" s="63" t="s">
        <v>1730</v>
      </c>
      <c r="AO869" s="46"/>
      <c r="AP869" s="47"/>
      <c r="AQ869" s="84">
        <f t="shared" si="679"/>
        <v>12157.9425</v>
      </c>
      <c r="AR869" s="43">
        <f t="shared" si="448"/>
        <v>607.897125</v>
      </c>
      <c r="AS869" s="43">
        <f t="shared" si="449"/>
        <v>2127.639938</v>
      </c>
      <c r="AT869" s="48">
        <f t="shared" si="450"/>
        <v>9422.405438</v>
      </c>
      <c r="AU869" s="49">
        <f t="shared" si="670"/>
        <v>9422.405438</v>
      </c>
      <c r="AV869" s="48"/>
      <c r="AW869" s="34">
        <f t="shared" si="540"/>
        <v>52000</v>
      </c>
      <c r="AX869" s="50">
        <f t="shared" si="413"/>
        <v>6595.683806</v>
      </c>
      <c r="AY869" s="43"/>
      <c r="AZ869" s="47"/>
      <c r="BA869" s="48">
        <f t="shared" si="667"/>
        <v>6595.683806</v>
      </c>
      <c r="BB869" s="27"/>
      <c r="BC869" s="27"/>
      <c r="BD869" s="51"/>
      <c r="BE869" s="52"/>
      <c r="BF869" s="27" t="s">
        <v>2848</v>
      </c>
      <c r="BG869" s="53">
        <v>0.0</v>
      </c>
      <c r="BH869" s="53" t="str">
        <f t="shared" ref="BH869:BH870" si="683">'[1]2023'!Q1173</f>
        <v>#REF!</v>
      </c>
      <c r="BI869" s="27"/>
      <c r="BJ869" s="27"/>
      <c r="BK869" s="27" t="s">
        <v>76</v>
      </c>
      <c r="BL869" s="27"/>
    </row>
    <row r="870" ht="14.25" customHeight="1">
      <c r="A870" s="26" t="s">
        <v>55</v>
      </c>
      <c r="B870" s="26" t="s">
        <v>1099</v>
      </c>
      <c r="C870" s="26" t="s">
        <v>70</v>
      </c>
      <c r="D870" s="26" t="s">
        <v>81</v>
      </c>
      <c r="E870" s="27">
        <v>9.0500012242E10</v>
      </c>
      <c r="F870" s="28" t="s">
        <v>2852</v>
      </c>
      <c r="G870" s="29" t="s">
        <v>2816</v>
      </c>
      <c r="H870" s="30">
        <v>45158.0</v>
      </c>
      <c r="I870" s="30">
        <v>45523.0</v>
      </c>
      <c r="J870" s="31" t="s">
        <v>2853</v>
      </c>
      <c r="K870" s="26" t="s">
        <v>455</v>
      </c>
      <c r="L870" s="32" t="s">
        <v>483</v>
      </c>
      <c r="M870" s="33">
        <v>99912.0</v>
      </c>
      <c r="N870" s="34">
        <v>101871.0</v>
      </c>
      <c r="O870" s="27" t="s">
        <v>76</v>
      </c>
      <c r="P870" s="35" t="s">
        <v>89</v>
      </c>
      <c r="Q870" s="35">
        <v>0.0</v>
      </c>
      <c r="R870" s="36" t="e">
        <v>#VALUE!</v>
      </c>
      <c r="S870" s="35" t="s">
        <v>78</v>
      </c>
      <c r="T870" s="35">
        <v>0.0</v>
      </c>
      <c r="U870" s="37">
        <v>0.0</v>
      </c>
      <c r="V870" s="38"/>
      <c r="W870" s="38"/>
      <c r="X870" s="27"/>
      <c r="Y870" s="39"/>
      <c r="Z870" s="39"/>
      <c r="AA870" s="39"/>
      <c r="AB870" s="55"/>
      <c r="AC870" s="27">
        <f t="shared" si="619"/>
        <v>0</v>
      </c>
      <c r="AD870" s="41">
        <f t="shared" si="681"/>
        <v>0</v>
      </c>
      <c r="AE870" s="42"/>
      <c r="AF870" s="27"/>
      <c r="AG870" s="43">
        <f>IF(O870="Paid",IF(A870="Alwataniya",(M870*21%)-((M870*21%)*5%),IF((A870="GIG"),(M870*25%)-((M870*25%)*5%),IF((A870="Allianz"),(M870*27%)-((M870*27%)*5%),0))),0)</f>
        <v>25627.428</v>
      </c>
      <c r="AH870" s="29"/>
      <c r="AI870" s="29"/>
      <c r="AJ870" s="29"/>
      <c r="AK870" s="29"/>
      <c r="AL870" s="27"/>
      <c r="AM870" s="44"/>
      <c r="AN870" s="47"/>
      <c r="AO870" s="46"/>
      <c r="AP870" s="47"/>
      <c r="AQ870" s="43">
        <f t="shared" si="679"/>
        <v>0</v>
      </c>
      <c r="AR870" s="43">
        <f t="shared" si="448"/>
        <v>0</v>
      </c>
      <c r="AS870" s="43">
        <f t="shared" si="449"/>
        <v>0</v>
      </c>
      <c r="AT870" s="48">
        <f t="shared" si="450"/>
        <v>0</v>
      </c>
      <c r="AU870" s="49">
        <f t="shared" si="670"/>
        <v>0</v>
      </c>
      <c r="AV870" s="48"/>
      <c r="AW870" s="34">
        <f t="shared" si="540"/>
        <v>101871</v>
      </c>
      <c r="AX870" s="50">
        <f t="shared" si="413"/>
        <v>25627.428</v>
      </c>
      <c r="AY870" s="43"/>
      <c r="AZ870" s="47"/>
      <c r="BA870" s="48">
        <f t="shared" si="667"/>
        <v>0</v>
      </c>
      <c r="BB870" s="27"/>
      <c r="BC870" s="27"/>
      <c r="BD870" s="51"/>
      <c r="BE870" s="52"/>
      <c r="BF870" s="27" t="s">
        <v>2854</v>
      </c>
      <c r="BG870" s="53" t="s">
        <v>2855</v>
      </c>
      <c r="BH870" s="53" t="str">
        <f t="shared" si="683"/>
        <v>#REF!</v>
      </c>
      <c r="BI870" s="27"/>
      <c r="BJ870" s="27"/>
      <c r="BK870" s="27" t="s">
        <v>76</v>
      </c>
      <c r="BL870" s="27"/>
    </row>
    <row r="871" ht="14.25" customHeight="1">
      <c r="A871" s="26" t="s">
        <v>111</v>
      </c>
      <c r="B871" s="26" t="s">
        <v>56</v>
      </c>
      <c r="C871" s="26" t="s">
        <v>57</v>
      </c>
      <c r="D871" s="26" t="s">
        <v>71</v>
      </c>
      <c r="E871" s="27" t="s">
        <v>2856</v>
      </c>
      <c r="F871" s="28" t="s">
        <v>2857</v>
      </c>
      <c r="G871" s="29">
        <v>45158.0</v>
      </c>
      <c r="H871" s="30">
        <v>45158.0</v>
      </c>
      <c r="I871" s="30">
        <v>45523.0</v>
      </c>
      <c r="J871" s="31" t="s">
        <v>2858</v>
      </c>
      <c r="K871" s="26" t="s">
        <v>455</v>
      </c>
      <c r="L871" s="69">
        <v>45055.0</v>
      </c>
      <c r="M871" s="33">
        <v>97503.95</v>
      </c>
      <c r="N871" s="34">
        <v>104000.0</v>
      </c>
      <c r="O871" s="27" t="s">
        <v>76</v>
      </c>
      <c r="P871" s="35" t="s">
        <v>89</v>
      </c>
      <c r="Q871" s="35" t="s">
        <v>114</v>
      </c>
      <c r="R871" s="36">
        <v>45168.0</v>
      </c>
      <c r="S871" s="35" t="s">
        <v>78</v>
      </c>
      <c r="T871" s="54" t="s">
        <v>510</v>
      </c>
      <c r="U871" s="37" t="s">
        <v>115</v>
      </c>
      <c r="V871" s="38">
        <v>4000000.0</v>
      </c>
      <c r="W871" s="38"/>
      <c r="X871" s="27"/>
      <c r="Y871" s="39"/>
      <c r="Z871" s="79" t="s">
        <v>2859</v>
      </c>
      <c r="AA871" s="39"/>
      <c r="AB871" s="27"/>
      <c r="AC871" s="27">
        <f t="shared" si="619"/>
        <v>0</v>
      </c>
      <c r="AD871" s="41"/>
      <c r="AE871" s="42"/>
      <c r="AF871" s="27"/>
      <c r="AG871" s="43">
        <f>IF(O871="Paid",IF(A871="Alwataniya",(M871*21%)-((M871*21%)*5%),IF((A871="GIG"),(M871*22%)-((M871*22%)*5%),IF((A871="Allianz"),(M871*27%)-((M871*27%)*20%),0))),0)</f>
        <v>20378.32555</v>
      </c>
      <c r="AH871" s="29">
        <v>45209.0</v>
      </c>
      <c r="AI871" s="29">
        <v>45240.0</v>
      </c>
      <c r="AJ871" s="97">
        <v>0.22</v>
      </c>
      <c r="AK871" s="29">
        <v>45240.0</v>
      </c>
      <c r="AL871" s="27"/>
      <c r="AM871" s="44"/>
      <c r="AN871" s="56"/>
      <c r="AO871" s="95">
        <f>M871*AJ871-((M871*AJ871)*22.5%)</f>
        <v>16624.42348</v>
      </c>
      <c r="AP871" s="47" t="s">
        <v>1325</v>
      </c>
      <c r="AQ871" s="43">
        <f>M871*AJ871</f>
        <v>21450.869</v>
      </c>
      <c r="AR871" s="43">
        <f t="shared" si="448"/>
        <v>1072.54345</v>
      </c>
      <c r="AS871" s="43">
        <f t="shared" si="449"/>
        <v>3753.902075</v>
      </c>
      <c r="AT871" s="48">
        <f t="shared" si="450"/>
        <v>16624.42348</v>
      </c>
      <c r="AU871" s="49" t="str">
        <f>AQ871-AR871-AS871-AC871-#REF!</f>
        <v>#REF!</v>
      </c>
      <c r="AV871" s="48"/>
      <c r="AW871" s="34">
        <f t="shared" si="540"/>
        <v>104000</v>
      </c>
      <c r="AX871" s="50">
        <f t="shared" si="413"/>
        <v>0</v>
      </c>
      <c r="AY871" s="43"/>
      <c r="AZ871" s="47"/>
      <c r="BA871" s="48" t="str">
        <f>IF(S871&lt;&gt;0,AU871-#REF!-AM871,(AG871-AD871-AE871-AS871))</f>
        <v>#REF!</v>
      </c>
      <c r="BB871" s="27"/>
      <c r="BC871" s="27"/>
      <c r="BD871" s="51"/>
      <c r="BE871" s="52"/>
      <c r="BF871" s="27" t="s">
        <v>2856</v>
      </c>
      <c r="BG871" s="53">
        <v>0.0</v>
      </c>
      <c r="BH871" s="53" t="str">
        <f>'[1]2023'!Q1178</f>
        <v>#REF!</v>
      </c>
      <c r="BI871" s="27"/>
      <c r="BJ871" s="27"/>
      <c r="BK871" s="27" t="s">
        <v>76</v>
      </c>
      <c r="BL871" s="64" t="s">
        <v>2860</v>
      </c>
    </row>
    <row r="872" ht="14.25" customHeight="1">
      <c r="A872" s="26" t="s">
        <v>68</v>
      </c>
      <c r="B872" s="26" t="s">
        <v>56</v>
      </c>
      <c r="C872" s="26" t="s">
        <v>57</v>
      </c>
      <c r="D872" s="26" t="s">
        <v>71</v>
      </c>
      <c r="E872" s="27" t="s">
        <v>2861</v>
      </c>
      <c r="F872" s="28" t="s">
        <v>2862</v>
      </c>
      <c r="G872" s="29" t="s">
        <v>2816</v>
      </c>
      <c r="H872" s="30">
        <v>45158.0</v>
      </c>
      <c r="I872" s="30">
        <v>45523.0</v>
      </c>
      <c r="J872" s="31" t="s">
        <v>2863</v>
      </c>
      <c r="K872" s="26" t="s">
        <v>455</v>
      </c>
      <c r="L872" s="32" t="s">
        <v>2561</v>
      </c>
      <c r="M872" s="33">
        <v>18601.37</v>
      </c>
      <c r="N872" s="34">
        <v>20000.0</v>
      </c>
      <c r="O872" s="27" t="s">
        <v>76</v>
      </c>
      <c r="P872" s="35" t="s">
        <v>142</v>
      </c>
      <c r="Q872" s="35" t="s">
        <v>108</v>
      </c>
      <c r="R872" s="36" t="e">
        <v>#VALUE!</v>
      </c>
      <c r="S872" s="35" t="s">
        <v>86</v>
      </c>
      <c r="T872" s="35">
        <v>0.0</v>
      </c>
      <c r="U872" s="37" t="s">
        <v>68</v>
      </c>
      <c r="V872" s="38">
        <v>1000000.0</v>
      </c>
      <c r="W872" s="38"/>
      <c r="X872" s="27"/>
      <c r="Y872" s="39"/>
      <c r="Z872" s="39" t="s">
        <v>2864</v>
      </c>
      <c r="AA872" s="39"/>
      <c r="AB872" s="27"/>
      <c r="AC872" s="27">
        <f t="shared" si="619"/>
        <v>0</v>
      </c>
      <c r="AD872" s="41">
        <f t="shared" ref="AD872:AD877" si="684">IF(AND(S872="0",O872="Paid"),(M872*15%)-AC872,0)</f>
        <v>2790.2055</v>
      </c>
      <c r="AE872" s="42">
        <v>500.0</v>
      </c>
      <c r="AF872" s="27" t="s">
        <v>457</v>
      </c>
      <c r="AG872" s="43">
        <f>M872*28%-((M872*28%)*5%)</f>
        <v>4947.96442</v>
      </c>
      <c r="AH872" s="29">
        <v>44994.0</v>
      </c>
      <c r="AI872" s="29" t="s">
        <v>1324</v>
      </c>
      <c r="AJ872" s="55">
        <v>0.28</v>
      </c>
      <c r="AK872" s="29" t="s">
        <v>1325</v>
      </c>
      <c r="AL872" s="27"/>
      <c r="AM872" s="44"/>
      <c r="AN872" s="47"/>
      <c r="AO872" s="46"/>
      <c r="AP872" s="47"/>
      <c r="AQ872" s="43">
        <f t="shared" ref="AQ872:AQ873" si="685">IF(U872="Motor Plus",(M872*27%),IF(U872="Motor One",(M872*22%),(IF(U872="Golden",(M872*25%),(IF(U872="Classic",(M872*15%),(IF(U872="Wethaq",(M872*28%),IF(U872="Alwataniya",(M872*21%))*0))))))))</f>
        <v>5208.3836</v>
      </c>
      <c r="AR872" s="43">
        <f t="shared" si="448"/>
        <v>260.41918</v>
      </c>
      <c r="AS872" s="43">
        <f t="shared" si="449"/>
        <v>911.46713</v>
      </c>
      <c r="AT872" s="48">
        <f t="shared" si="450"/>
        <v>4036.49729</v>
      </c>
      <c r="AU872" s="49">
        <f t="shared" ref="AU872:AU877" si="686">AQ872-AR872-AS872-AC872-AO872</f>
        <v>4036.49729</v>
      </c>
      <c r="AV872" s="48"/>
      <c r="AW872" s="34">
        <f t="shared" si="540"/>
        <v>16709.7945</v>
      </c>
      <c r="AX872" s="50">
        <f t="shared" si="413"/>
        <v>746.29179</v>
      </c>
      <c r="AY872" s="43"/>
      <c r="AZ872" s="47"/>
      <c r="BA872" s="48">
        <f t="shared" ref="BA872:BA877" si="687">IF(S872&lt;&gt;0,AU872-AO872-AM872,(AG872-AD872-AE872-AS872))</f>
        <v>4036.49729</v>
      </c>
      <c r="BB872" s="27"/>
      <c r="BC872" s="27"/>
      <c r="BD872" s="51"/>
      <c r="BE872" s="52"/>
      <c r="BF872" s="27"/>
      <c r="BG872" s="53">
        <v>0.0</v>
      </c>
      <c r="BH872" s="53" t="str">
        <f>'[1]2023'!Q1183</f>
        <v>#REF!</v>
      </c>
      <c r="BI872" s="27"/>
      <c r="BJ872" s="27"/>
      <c r="BK872" s="27" t="s">
        <v>76</v>
      </c>
      <c r="BL872" s="27"/>
    </row>
    <row r="873" ht="14.25" customHeight="1">
      <c r="A873" s="26" t="s">
        <v>55</v>
      </c>
      <c r="B873" s="26" t="s">
        <v>56</v>
      </c>
      <c r="C873" s="26" t="s">
        <v>57</v>
      </c>
      <c r="D873" s="26" t="s">
        <v>58</v>
      </c>
      <c r="E873" s="27" t="s">
        <v>2865</v>
      </c>
      <c r="F873" s="28" t="s">
        <v>2866</v>
      </c>
      <c r="G873" s="29">
        <v>45158.0</v>
      </c>
      <c r="H873" s="30">
        <v>45158.0</v>
      </c>
      <c r="I873" s="30">
        <v>45523.0</v>
      </c>
      <c r="J873" s="31">
        <v>0.0</v>
      </c>
      <c r="K873" s="26" t="s">
        <v>455</v>
      </c>
      <c r="L873" s="32" t="s">
        <v>2867</v>
      </c>
      <c r="M873" s="33">
        <v>5032.26</v>
      </c>
      <c r="N873" s="34">
        <v>5330.0</v>
      </c>
      <c r="O873" s="27" t="s">
        <v>76</v>
      </c>
      <c r="P873" s="35" t="s">
        <v>122</v>
      </c>
      <c r="Q873" s="35" t="s">
        <v>90</v>
      </c>
      <c r="R873" s="36">
        <v>45158.0</v>
      </c>
      <c r="S873" s="35" t="s">
        <v>86</v>
      </c>
      <c r="T873" s="35">
        <v>0.0</v>
      </c>
      <c r="U873" s="37" t="s">
        <v>67</v>
      </c>
      <c r="V873" s="38"/>
      <c r="W873" s="38"/>
      <c r="X873" s="27"/>
      <c r="Y873" s="39"/>
      <c r="Z873" s="39"/>
      <c r="AA873" s="39"/>
      <c r="AB873" s="27"/>
      <c r="AC873" s="27">
        <f t="shared" si="619"/>
        <v>0</v>
      </c>
      <c r="AD873" s="41">
        <f t="shared" si="684"/>
        <v>754.839</v>
      </c>
      <c r="AE873" s="42"/>
      <c r="AF873" s="27"/>
      <c r="AG873" s="43">
        <f>IF(O873="Paid",IF(A873="Alwataniya",(M873*21%)-((M873*21%)*5%),IF((A873="GIG"),(M873*25%)-((M873*25%)*5%),IF((A873="Allianz"),(M873*27%)-((M873*27%)*5%),0))),0)</f>
        <v>1290.77469</v>
      </c>
      <c r="AH873" s="29"/>
      <c r="AI873" s="29"/>
      <c r="AJ873" s="29"/>
      <c r="AK873" s="29"/>
      <c r="AL873" s="27"/>
      <c r="AM873" s="44">
        <f>((M873*25%)-AC873-((M873*25%)*22.5%))*30%</f>
        <v>292.5001125</v>
      </c>
      <c r="AN873" s="179">
        <v>45148.0</v>
      </c>
      <c r="AO873" s="46"/>
      <c r="AP873" s="47"/>
      <c r="AQ873" s="43">
        <f t="shared" si="685"/>
        <v>1358.7102</v>
      </c>
      <c r="AR873" s="43">
        <f t="shared" si="448"/>
        <v>67.93551</v>
      </c>
      <c r="AS873" s="43">
        <f t="shared" si="449"/>
        <v>237.774285</v>
      </c>
      <c r="AT873" s="48">
        <f t="shared" si="450"/>
        <v>1053.000405</v>
      </c>
      <c r="AU873" s="49">
        <f t="shared" si="686"/>
        <v>1053.000405</v>
      </c>
      <c r="AV873" s="48"/>
      <c r="AW873" s="34">
        <f t="shared" si="540"/>
        <v>4575.161</v>
      </c>
      <c r="AX873" s="50">
        <f t="shared" si="413"/>
        <v>5.6612925</v>
      </c>
      <c r="AY873" s="43"/>
      <c r="AZ873" s="47"/>
      <c r="BA873" s="48">
        <f t="shared" si="687"/>
        <v>760.5002925</v>
      </c>
      <c r="BB873" s="27"/>
      <c r="BC873" s="27"/>
      <c r="BD873" s="51"/>
      <c r="BE873" s="52"/>
      <c r="BF873" s="27"/>
      <c r="BG873" s="53">
        <v>0.0</v>
      </c>
      <c r="BH873" s="53" t="str">
        <f>'[1]2023'!Q1234</f>
        <v>#REF!</v>
      </c>
      <c r="BI873" s="27"/>
      <c r="BJ873" s="27"/>
      <c r="BK873" s="27" t="s">
        <v>76</v>
      </c>
      <c r="BL873" s="27"/>
    </row>
    <row r="874" ht="14.25" customHeight="1">
      <c r="A874" s="26" t="s">
        <v>68</v>
      </c>
      <c r="B874" s="26" t="s">
        <v>56</v>
      </c>
      <c r="C874" s="26" t="s">
        <v>57</v>
      </c>
      <c r="D874" s="26" t="s">
        <v>71</v>
      </c>
      <c r="E874" s="27" t="s">
        <v>2868</v>
      </c>
      <c r="F874" s="28" t="s">
        <v>2869</v>
      </c>
      <c r="G874" s="29" t="s">
        <v>2870</v>
      </c>
      <c r="H874" s="30">
        <v>45159.0</v>
      </c>
      <c r="I874" s="30">
        <v>45524.0</v>
      </c>
      <c r="J874" s="31">
        <v>0.0</v>
      </c>
      <c r="K874" s="26" t="s">
        <v>455</v>
      </c>
      <c r="L874" s="32" t="s">
        <v>63</v>
      </c>
      <c r="M874" s="33">
        <v>69197.1</v>
      </c>
      <c r="N874" s="34">
        <v>74000.0</v>
      </c>
      <c r="O874" s="27" t="s">
        <v>64</v>
      </c>
      <c r="P874" s="35">
        <v>0.0</v>
      </c>
      <c r="Q874" s="35">
        <v>0.0</v>
      </c>
      <c r="R874" s="36" t="e">
        <v>#VALUE!</v>
      </c>
      <c r="S874" s="35" t="s">
        <v>78</v>
      </c>
      <c r="T874" s="35">
        <v>0.0</v>
      </c>
      <c r="U874" s="37" t="s">
        <v>68</v>
      </c>
      <c r="V874" s="38">
        <v>3700000.0</v>
      </c>
      <c r="W874" s="38"/>
      <c r="X874" s="27"/>
      <c r="Y874" s="39"/>
      <c r="Z874" s="79" t="s">
        <v>2871</v>
      </c>
      <c r="AA874" s="39"/>
      <c r="AB874" s="27"/>
      <c r="AC874" s="27">
        <f t="shared" si="619"/>
        <v>0</v>
      </c>
      <c r="AD874" s="41">
        <f t="shared" si="684"/>
        <v>0</v>
      </c>
      <c r="AE874" s="42"/>
      <c r="AF874" s="27"/>
      <c r="AG874" s="43">
        <f>IF(O874="Paid",IF(A874="Alwataniya",(M874*21%)-((M874*21%)*5%),IF((A874="GIG"),(M874*25%)-((M874*25%)*5%),IF((A874="Allianz"),(M874*27%)-((M874*27%)*20%),0))),0)</f>
        <v>0</v>
      </c>
      <c r="AH874" s="29"/>
      <c r="AI874" s="29"/>
      <c r="AJ874" s="29"/>
      <c r="AK874" s="29"/>
      <c r="AL874" s="27"/>
      <c r="AM874" s="44"/>
      <c r="AN874" s="47"/>
      <c r="AO874" s="46"/>
      <c r="AP874" s="47"/>
      <c r="AQ874" s="43" t="b">
        <f>IF(O874="Paid",IF(U874="Motor Plus",(M874*27%),IF(U874="Motor One",(M874*22%),(IF(U874="Golden",(M874*25%),(IF(U874="Classic",(M874*15%),(IF(U874="Wethaq",(M874*28%),IF(U874="Alwataniya",(M874*21%))*0)))))))))</f>
        <v>0</v>
      </c>
      <c r="AR874" s="43">
        <f t="shared" si="448"/>
        <v>0</v>
      </c>
      <c r="AS874" s="43">
        <f t="shared" si="449"/>
        <v>0</v>
      </c>
      <c r="AT874" s="48">
        <f t="shared" si="450"/>
        <v>0</v>
      </c>
      <c r="AU874" s="49">
        <f t="shared" si="686"/>
        <v>0</v>
      </c>
      <c r="AV874" s="48"/>
      <c r="AW874" s="34">
        <f t="shared" si="540"/>
        <v>74000</v>
      </c>
      <c r="AX874" s="50">
        <f t="shared" si="413"/>
        <v>0</v>
      </c>
      <c r="AY874" s="43"/>
      <c r="AZ874" s="47"/>
      <c r="BA874" s="48">
        <f t="shared" si="687"/>
        <v>0</v>
      </c>
      <c r="BB874" s="27"/>
      <c r="BC874" s="27"/>
      <c r="BD874" s="51"/>
      <c r="BE874" s="52"/>
      <c r="BF874" s="27"/>
      <c r="BG874" s="53">
        <v>0.0</v>
      </c>
      <c r="BH874" s="53" t="str">
        <f>'[1]2023'!Q1184</f>
        <v>#REF!</v>
      </c>
      <c r="BI874" s="27"/>
      <c r="BJ874" s="27"/>
      <c r="BK874" s="27" t="s">
        <v>64</v>
      </c>
      <c r="BL874" s="27"/>
    </row>
    <row r="875" ht="14.25" customHeight="1">
      <c r="A875" s="26" t="s">
        <v>55</v>
      </c>
      <c r="B875" s="26" t="s">
        <v>56</v>
      </c>
      <c r="C875" s="26" t="s">
        <v>57</v>
      </c>
      <c r="D875" s="26" t="s">
        <v>81</v>
      </c>
      <c r="E875" s="27" t="s">
        <v>2872</v>
      </c>
      <c r="F875" s="28" t="s">
        <v>2873</v>
      </c>
      <c r="G875" s="29" t="s">
        <v>2870</v>
      </c>
      <c r="H875" s="30">
        <v>45159.0</v>
      </c>
      <c r="I875" s="30">
        <v>45524.0</v>
      </c>
      <c r="J875" s="31">
        <v>0.0</v>
      </c>
      <c r="K875" s="26" t="s">
        <v>455</v>
      </c>
      <c r="L875" s="32" t="s">
        <v>465</v>
      </c>
      <c r="M875" s="33">
        <v>19617.5</v>
      </c>
      <c r="N875" s="34">
        <v>21014.03</v>
      </c>
      <c r="O875" s="27" t="s">
        <v>76</v>
      </c>
      <c r="P875" s="35" t="s">
        <v>89</v>
      </c>
      <c r="Q875" s="35" t="s">
        <v>108</v>
      </c>
      <c r="R875" s="36" t="e">
        <v>#VALUE!</v>
      </c>
      <c r="S875" s="35" t="s">
        <v>86</v>
      </c>
      <c r="T875" s="35">
        <v>0.0</v>
      </c>
      <c r="U875" s="37" t="s">
        <v>67</v>
      </c>
      <c r="V875" s="38"/>
      <c r="W875" s="38"/>
      <c r="X875" s="27"/>
      <c r="Y875" s="39"/>
      <c r="Z875" s="39"/>
      <c r="AA875" s="39"/>
      <c r="AB875" s="27"/>
      <c r="AC875" s="27">
        <f t="shared" si="619"/>
        <v>0</v>
      </c>
      <c r="AD875" s="41">
        <f t="shared" si="684"/>
        <v>2942.625</v>
      </c>
      <c r="AE875" s="42"/>
      <c r="AF875" s="27" t="s">
        <v>1980</v>
      </c>
      <c r="AG875" s="43">
        <f>IF(O875="Paid",IF(A875="Alwataniya",(M875*21%)-((M875*21%)*5%),IF((A875="GIG"),(M875*25%)-((M875*25%)*5%),IF((A875="Allianz"),(M875*27%)-((M875*27%)*5%),0))),0)</f>
        <v>5031.88875</v>
      </c>
      <c r="AH875" s="29"/>
      <c r="AI875" s="29"/>
      <c r="AJ875" s="29"/>
      <c r="AK875" s="29"/>
      <c r="AL875" s="27"/>
      <c r="AM875" s="44"/>
      <c r="AN875" s="47"/>
      <c r="AO875" s="46"/>
      <c r="AP875" s="47"/>
      <c r="AQ875" s="43">
        <f>IF(U875="Motor Plus",(M875*27%),IF(U875="Motor One",(M875*22%),(IF(U875="Golden",(M875*25%),(IF(U875="Classic",(M875*15%),(IF(U875="Wethaq",(M875*28%),IF(U875="Alwataniya",(M875*21%))*0))))))))</f>
        <v>5296.725</v>
      </c>
      <c r="AR875" s="43">
        <f t="shared" si="448"/>
        <v>264.83625</v>
      </c>
      <c r="AS875" s="43">
        <f t="shared" si="449"/>
        <v>926.926875</v>
      </c>
      <c r="AT875" s="48">
        <f t="shared" si="450"/>
        <v>4104.961875</v>
      </c>
      <c r="AU875" s="49">
        <f t="shared" si="686"/>
        <v>4104.961875</v>
      </c>
      <c r="AV875" s="48"/>
      <c r="AW875" s="34">
        <f t="shared" si="540"/>
        <v>18071.405</v>
      </c>
      <c r="AX875" s="50">
        <f t="shared" si="413"/>
        <v>1162.336875</v>
      </c>
      <c r="AY875" s="43"/>
      <c r="AZ875" s="47"/>
      <c r="BA875" s="48">
        <f t="shared" si="687"/>
        <v>4104.961875</v>
      </c>
      <c r="BB875" s="27"/>
      <c r="BC875" s="27"/>
      <c r="BD875" s="51"/>
      <c r="BE875" s="52"/>
      <c r="BF875" s="27"/>
      <c r="BG875" s="53">
        <v>0.0</v>
      </c>
      <c r="BH875" s="53" t="str">
        <f>'[1]2023'!Q1188</f>
        <v>#REF!</v>
      </c>
      <c r="BI875" s="27"/>
      <c r="BJ875" s="27"/>
      <c r="BK875" s="27" t="s">
        <v>76</v>
      </c>
      <c r="BL875" s="27"/>
    </row>
    <row r="876" ht="14.25" customHeight="1">
      <c r="A876" s="26" t="s">
        <v>492</v>
      </c>
      <c r="B876" s="26" t="s">
        <v>69</v>
      </c>
      <c r="C876" s="26" t="s">
        <v>57</v>
      </c>
      <c r="D876" s="26" t="s">
        <v>71</v>
      </c>
      <c r="E876" s="27" t="s">
        <v>2874</v>
      </c>
      <c r="F876" s="28" t="s">
        <v>2875</v>
      </c>
      <c r="G876" s="29" t="s">
        <v>2870</v>
      </c>
      <c r="H876" s="30">
        <v>45159.0</v>
      </c>
      <c r="I876" s="30">
        <v>45524.0</v>
      </c>
      <c r="J876" s="31">
        <v>0.0</v>
      </c>
      <c r="K876" s="26" t="s">
        <v>455</v>
      </c>
      <c r="L876" s="32" t="s">
        <v>63</v>
      </c>
      <c r="M876" s="33">
        <v>2090.0</v>
      </c>
      <c r="N876" s="34">
        <v>2190.0</v>
      </c>
      <c r="O876" s="27" t="s">
        <v>64</v>
      </c>
      <c r="P876" s="35">
        <v>0.0</v>
      </c>
      <c r="Q876" s="35">
        <v>0.0</v>
      </c>
      <c r="R876" s="36" t="e">
        <v>#VALUE!</v>
      </c>
      <c r="S876" s="35" t="s">
        <v>78</v>
      </c>
      <c r="T876" s="54" t="s">
        <v>79</v>
      </c>
      <c r="U876" s="37" t="s">
        <v>69</v>
      </c>
      <c r="V876" s="38">
        <v>100000.0</v>
      </c>
      <c r="W876" s="38"/>
      <c r="X876" s="27"/>
      <c r="Y876" s="39"/>
      <c r="Z876" s="39"/>
      <c r="AA876" s="39"/>
      <c r="AB876" s="27"/>
      <c r="AC876" s="27">
        <f t="shared" si="619"/>
        <v>0</v>
      </c>
      <c r="AD876" s="41">
        <f t="shared" si="684"/>
        <v>0</v>
      </c>
      <c r="AE876" s="42"/>
      <c r="AF876" s="27"/>
      <c r="AG876" s="43">
        <f t="shared" ref="AG876:AG877" si="688">IF(O876="Paid",IF(A876="Alwataniya",(M876*21%)-((M876*21%)*5%),IF((A876="GIG"),(M876*25%)-((M876*25%)*5%),IF((A876="Allianz"),(M876*27%)-((M876*27%)*20%),0))),0)</f>
        <v>0</v>
      </c>
      <c r="AH876" s="29"/>
      <c r="AI876" s="29"/>
      <c r="AJ876" s="29"/>
      <c r="AK876" s="29"/>
      <c r="AL876" s="27"/>
      <c r="AM876" s="44"/>
      <c r="AN876" s="47"/>
      <c r="AO876" s="46"/>
      <c r="AP876" s="47"/>
      <c r="AQ876" s="43" t="b">
        <f t="shared" ref="AQ876:AQ877" si="689">IF(O876="Paid",IF(U876="Motor Plus",(M876*27%),IF(U876="Motor One",(M876*22%),(IF(U876="Golden",(M876*25%),(IF(U876="Classic",(M876*15%),(IF(U876="Wethaq",(M876*28%),IF(U876="Alwataniya",(M876*21%))*0)))))))))</f>
        <v>0</v>
      </c>
      <c r="AR876" s="43">
        <f t="shared" si="448"/>
        <v>0</v>
      </c>
      <c r="AS876" s="43">
        <f t="shared" si="449"/>
        <v>0</v>
      </c>
      <c r="AT876" s="48">
        <f t="shared" si="450"/>
        <v>0</v>
      </c>
      <c r="AU876" s="49">
        <f t="shared" si="686"/>
        <v>0</v>
      </c>
      <c r="AV876" s="48"/>
      <c r="AW876" s="34">
        <f t="shared" si="540"/>
        <v>2190</v>
      </c>
      <c r="AX876" s="50">
        <f t="shared" si="413"/>
        <v>0</v>
      </c>
      <c r="AY876" s="43"/>
      <c r="AZ876" s="47"/>
      <c r="BA876" s="48">
        <f t="shared" si="687"/>
        <v>0</v>
      </c>
      <c r="BB876" s="27"/>
      <c r="BC876" s="27"/>
      <c r="BD876" s="51"/>
      <c r="BE876" s="52"/>
      <c r="BF876" s="27"/>
      <c r="BG876" s="53">
        <v>0.0</v>
      </c>
      <c r="BH876" s="53" t="str">
        <f t="shared" ref="BH876:BH879" si="690">'[1]2023'!Q1195</f>
        <v>#REF!</v>
      </c>
      <c r="BI876" s="27"/>
      <c r="BJ876" s="27"/>
      <c r="BK876" s="27" t="s">
        <v>64</v>
      </c>
      <c r="BL876" s="27"/>
    </row>
    <row r="877" ht="14.25" customHeight="1">
      <c r="A877" s="26" t="s">
        <v>492</v>
      </c>
      <c r="B877" s="26" t="s">
        <v>69</v>
      </c>
      <c r="C877" s="26" t="s">
        <v>57</v>
      </c>
      <c r="D877" s="26" t="s">
        <v>71</v>
      </c>
      <c r="E877" s="27" t="s">
        <v>2876</v>
      </c>
      <c r="F877" s="28" t="s">
        <v>2877</v>
      </c>
      <c r="G877" s="29" t="s">
        <v>2870</v>
      </c>
      <c r="H877" s="30">
        <v>45159.0</v>
      </c>
      <c r="I877" s="30">
        <v>45524.0</v>
      </c>
      <c r="J877" s="31">
        <v>0.0</v>
      </c>
      <c r="K877" s="26" t="s">
        <v>455</v>
      </c>
      <c r="L877" s="32" t="s">
        <v>63</v>
      </c>
      <c r="M877" s="33">
        <v>20060.0</v>
      </c>
      <c r="N877" s="34">
        <v>21400.0</v>
      </c>
      <c r="O877" s="27" t="s">
        <v>64</v>
      </c>
      <c r="P877" s="35">
        <v>0.0</v>
      </c>
      <c r="Q877" s="35">
        <v>0.0</v>
      </c>
      <c r="R877" s="36" t="e">
        <v>#VALUE!</v>
      </c>
      <c r="S877" s="35" t="s">
        <v>78</v>
      </c>
      <c r="T877" s="54" t="s">
        <v>79</v>
      </c>
      <c r="U877" s="37" t="s">
        <v>69</v>
      </c>
      <c r="V877" s="38">
        <v>800000.0</v>
      </c>
      <c r="W877" s="38"/>
      <c r="X877" s="27"/>
      <c r="Y877" s="39"/>
      <c r="Z877" s="39"/>
      <c r="AA877" s="39"/>
      <c r="AB877" s="27"/>
      <c r="AC877" s="27">
        <f t="shared" si="619"/>
        <v>0</v>
      </c>
      <c r="AD877" s="41">
        <f t="shared" si="684"/>
        <v>0</v>
      </c>
      <c r="AE877" s="42"/>
      <c r="AF877" s="27"/>
      <c r="AG877" s="43">
        <f t="shared" si="688"/>
        <v>0</v>
      </c>
      <c r="AH877" s="29"/>
      <c r="AI877" s="29"/>
      <c r="AJ877" s="29"/>
      <c r="AK877" s="29"/>
      <c r="AL877" s="27"/>
      <c r="AM877" s="44"/>
      <c r="AN877" s="47"/>
      <c r="AO877" s="46"/>
      <c r="AP877" s="47"/>
      <c r="AQ877" s="43" t="b">
        <f t="shared" si="689"/>
        <v>0</v>
      </c>
      <c r="AR877" s="43">
        <f t="shared" si="448"/>
        <v>0</v>
      </c>
      <c r="AS877" s="43">
        <f t="shared" si="449"/>
        <v>0</v>
      </c>
      <c r="AT877" s="48">
        <f t="shared" si="450"/>
        <v>0</v>
      </c>
      <c r="AU877" s="49">
        <f t="shared" si="686"/>
        <v>0</v>
      </c>
      <c r="AV877" s="48"/>
      <c r="AW877" s="34">
        <f t="shared" si="540"/>
        <v>21400</v>
      </c>
      <c r="AX877" s="50">
        <f t="shared" si="413"/>
        <v>0</v>
      </c>
      <c r="AY877" s="43"/>
      <c r="AZ877" s="47"/>
      <c r="BA877" s="48">
        <f t="shared" si="687"/>
        <v>0</v>
      </c>
      <c r="BB877" s="27"/>
      <c r="BC877" s="27"/>
      <c r="BD877" s="51"/>
      <c r="BE877" s="52"/>
      <c r="BF877" s="27"/>
      <c r="BG877" s="53">
        <v>0.0</v>
      </c>
      <c r="BH877" s="53" t="str">
        <f t="shared" si="690"/>
        <v>#REF!</v>
      </c>
      <c r="BI877" s="27"/>
      <c r="BJ877" s="27"/>
      <c r="BK877" s="27" t="s">
        <v>64</v>
      </c>
      <c r="BL877" s="27"/>
    </row>
    <row r="878" ht="14.25" customHeight="1">
      <c r="A878" s="26" t="s">
        <v>492</v>
      </c>
      <c r="B878" s="26" t="s">
        <v>69</v>
      </c>
      <c r="C878" s="26" t="s">
        <v>57</v>
      </c>
      <c r="D878" s="26" t="s">
        <v>71</v>
      </c>
      <c r="E878" s="27" t="s">
        <v>2878</v>
      </c>
      <c r="F878" s="28" t="s">
        <v>2879</v>
      </c>
      <c r="G878" s="30" t="s">
        <v>2870</v>
      </c>
      <c r="H878" s="30">
        <v>45159.0</v>
      </c>
      <c r="I878" s="30">
        <v>45524.0</v>
      </c>
      <c r="J878" s="31">
        <v>0.0</v>
      </c>
      <c r="K878" s="26" t="s">
        <v>455</v>
      </c>
      <c r="L878" s="32" t="s">
        <v>75</v>
      </c>
      <c r="M878" s="33">
        <v>2090.0</v>
      </c>
      <c r="N878" s="34">
        <v>2190.0</v>
      </c>
      <c r="O878" s="27" t="s">
        <v>76</v>
      </c>
      <c r="P878" s="35" t="s">
        <v>89</v>
      </c>
      <c r="Q878" s="35">
        <v>0.0</v>
      </c>
      <c r="R878" s="36" t="e">
        <v>#VALUE!</v>
      </c>
      <c r="S878" s="35" t="s">
        <v>78</v>
      </c>
      <c r="T878" s="54" t="s">
        <v>79</v>
      </c>
      <c r="U878" s="37" t="s">
        <v>69</v>
      </c>
      <c r="V878" s="38"/>
      <c r="W878" s="38"/>
      <c r="X878" s="27"/>
      <c r="Y878" s="39"/>
      <c r="Z878" s="39"/>
      <c r="AA878" s="39"/>
      <c r="AB878" s="27"/>
      <c r="AC878" s="27">
        <f t="shared" si="619"/>
        <v>0</v>
      </c>
      <c r="AD878" s="41"/>
      <c r="AE878" s="42"/>
      <c r="AF878" s="27"/>
      <c r="AG878" s="43">
        <f t="shared" ref="AG878:AG879" si="691">(M878*23.5%)-((M878*23.5%)*5%)</f>
        <v>466.5925</v>
      </c>
      <c r="AH878" s="29"/>
      <c r="AI878" s="29">
        <v>45116.0</v>
      </c>
      <c r="AJ878" s="40">
        <v>0.235</v>
      </c>
      <c r="AK878" s="29">
        <v>44994.0</v>
      </c>
      <c r="AL878" s="27"/>
      <c r="AM878" s="44"/>
      <c r="AN878" s="56"/>
      <c r="AO878" s="46">
        <f t="shared" ref="AO878:AO879" si="692">((M878*AJ878)-((M878*AJ878)*22.5%))*80%</f>
        <v>304.513</v>
      </c>
      <c r="AP878" s="57">
        <v>45116.0</v>
      </c>
      <c r="AQ878" s="43">
        <f t="shared" ref="AQ878:AQ879" si="693">M878*AJ878</f>
        <v>491.15</v>
      </c>
      <c r="AR878" s="43">
        <f t="shared" si="448"/>
        <v>24.5575</v>
      </c>
      <c r="AS878" s="43">
        <f t="shared" si="449"/>
        <v>85.95125</v>
      </c>
      <c r="AT878" s="48">
        <f t="shared" si="450"/>
        <v>380.64125</v>
      </c>
      <c r="AU878" s="49" t="str">
        <f t="shared" ref="AU878:AU879" si="694">AQ878-AR878-AS878-AC878-#REF!</f>
        <v>#REF!</v>
      </c>
      <c r="AV878" s="48"/>
      <c r="AW878" s="34">
        <f t="shared" si="540"/>
        <v>2190</v>
      </c>
      <c r="AX878" s="50">
        <f t="shared" si="413"/>
        <v>76.12825</v>
      </c>
      <c r="AY878" s="43"/>
      <c r="AZ878" s="47"/>
      <c r="BA878" s="48" t="str">
        <f t="shared" ref="BA878:BA879" si="695">IF(S878&lt;&gt;0,AU878-#REF!-AM878,(AG878-AD878-AE878-AS878))</f>
        <v>#REF!</v>
      </c>
      <c r="BB878" s="27"/>
      <c r="BC878" s="27"/>
      <c r="BD878" s="51"/>
      <c r="BE878" s="52"/>
      <c r="BF878" s="27"/>
      <c r="BG878" s="53">
        <v>0.0</v>
      </c>
      <c r="BH878" s="53" t="str">
        <f t="shared" si="690"/>
        <v>#REF!</v>
      </c>
      <c r="BI878" s="27"/>
      <c r="BJ878" s="27"/>
      <c r="BK878" s="27" t="s">
        <v>76</v>
      </c>
      <c r="BL878" s="27"/>
    </row>
    <row r="879" ht="14.25" customHeight="1">
      <c r="A879" s="26" t="s">
        <v>492</v>
      </c>
      <c r="B879" s="26" t="s">
        <v>69</v>
      </c>
      <c r="C879" s="26" t="s">
        <v>57</v>
      </c>
      <c r="D879" s="26" t="s">
        <v>71</v>
      </c>
      <c r="E879" s="27" t="s">
        <v>2880</v>
      </c>
      <c r="F879" s="28" t="s">
        <v>2881</v>
      </c>
      <c r="G879" s="30" t="s">
        <v>2870</v>
      </c>
      <c r="H879" s="30">
        <v>45159.0</v>
      </c>
      <c r="I879" s="30">
        <v>45524.0</v>
      </c>
      <c r="J879" s="31">
        <v>0.0</v>
      </c>
      <c r="K879" s="26" t="s">
        <v>455</v>
      </c>
      <c r="L879" s="32" t="s">
        <v>75</v>
      </c>
      <c r="M879" s="33">
        <v>20060.0</v>
      </c>
      <c r="N879" s="34">
        <v>21400.0</v>
      </c>
      <c r="O879" s="27" t="s">
        <v>76</v>
      </c>
      <c r="P879" s="35" t="s">
        <v>89</v>
      </c>
      <c r="Q879" s="35">
        <v>0.0</v>
      </c>
      <c r="R879" s="36" t="e">
        <v>#VALUE!</v>
      </c>
      <c r="S879" s="35" t="s">
        <v>78</v>
      </c>
      <c r="T879" s="54" t="s">
        <v>79</v>
      </c>
      <c r="U879" s="37" t="s">
        <v>69</v>
      </c>
      <c r="V879" s="38"/>
      <c r="W879" s="38"/>
      <c r="X879" s="27"/>
      <c r="Y879" s="39"/>
      <c r="Z879" s="39"/>
      <c r="AA879" s="39"/>
      <c r="AB879" s="27"/>
      <c r="AC879" s="27">
        <f t="shared" si="619"/>
        <v>0</v>
      </c>
      <c r="AD879" s="41"/>
      <c r="AE879" s="42"/>
      <c r="AF879" s="27"/>
      <c r="AG879" s="43">
        <f t="shared" si="691"/>
        <v>4478.395</v>
      </c>
      <c r="AH879" s="29"/>
      <c r="AI879" s="29">
        <v>45116.0</v>
      </c>
      <c r="AJ879" s="40">
        <v>0.235</v>
      </c>
      <c r="AK879" s="29">
        <v>44994.0</v>
      </c>
      <c r="AL879" s="27"/>
      <c r="AM879" s="44"/>
      <c r="AN879" s="56"/>
      <c r="AO879" s="46">
        <f t="shared" si="692"/>
        <v>2922.742</v>
      </c>
      <c r="AP879" s="57">
        <v>45116.0</v>
      </c>
      <c r="AQ879" s="43">
        <f t="shared" si="693"/>
        <v>4714.1</v>
      </c>
      <c r="AR879" s="43">
        <f t="shared" si="448"/>
        <v>235.705</v>
      </c>
      <c r="AS879" s="43">
        <f t="shared" si="449"/>
        <v>824.9675</v>
      </c>
      <c r="AT879" s="48">
        <f t="shared" si="450"/>
        <v>3653.4275</v>
      </c>
      <c r="AU879" s="49" t="str">
        <f t="shared" si="694"/>
        <v>#REF!</v>
      </c>
      <c r="AV879" s="48"/>
      <c r="AW879" s="34">
        <f t="shared" si="540"/>
        <v>21400</v>
      </c>
      <c r="AX879" s="50">
        <f t="shared" si="413"/>
        <v>730.6855</v>
      </c>
      <c r="AY879" s="43"/>
      <c r="AZ879" s="47"/>
      <c r="BA879" s="48" t="str">
        <f t="shared" si="695"/>
        <v>#REF!</v>
      </c>
      <c r="BB879" s="27"/>
      <c r="BC879" s="27"/>
      <c r="BD879" s="51"/>
      <c r="BE879" s="52"/>
      <c r="BF879" s="27"/>
      <c r="BG879" s="53">
        <v>0.0</v>
      </c>
      <c r="BH879" s="53" t="str">
        <f t="shared" si="690"/>
        <v>#REF!</v>
      </c>
      <c r="BI879" s="27"/>
      <c r="BJ879" s="27"/>
      <c r="BK879" s="27" t="s">
        <v>76</v>
      </c>
      <c r="BL879" s="27"/>
    </row>
    <row r="880" ht="14.25" customHeight="1">
      <c r="A880" s="26" t="s">
        <v>68</v>
      </c>
      <c r="B880" s="26" t="s">
        <v>56</v>
      </c>
      <c r="C880" s="26" t="s">
        <v>57</v>
      </c>
      <c r="D880" s="26" t="s">
        <v>71</v>
      </c>
      <c r="E880" s="27" t="s">
        <v>2882</v>
      </c>
      <c r="F880" s="28" t="s">
        <v>2883</v>
      </c>
      <c r="G880" s="29" t="s">
        <v>2870</v>
      </c>
      <c r="H880" s="30">
        <v>45159.0</v>
      </c>
      <c r="I880" s="30">
        <v>45524.0</v>
      </c>
      <c r="J880" s="31" t="s">
        <v>2395</v>
      </c>
      <c r="K880" s="26" t="s">
        <v>455</v>
      </c>
      <c r="L880" s="69">
        <v>45025.0</v>
      </c>
      <c r="M880" s="33">
        <v>62128.58</v>
      </c>
      <c r="N880" s="34">
        <v>66600.0</v>
      </c>
      <c r="O880" s="27" t="s">
        <v>76</v>
      </c>
      <c r="P880" s="35" t="s">
        <v>89</v>
      </c>
      <c r="Q880" s="35">
        <v>0.0</v>
      </c>
      <c r="R880" s="36" t="e">
        <v>#VALUE!</v>
      </c>
      <c r="S880" s="35" t="s">
        <v>848</v>
      </c>
      <c r="T880" s="35">
        <v>0.0</v>
      </c>
      <c r="U880" s="37" t="s">
        <v>68</v>
      </c>
      <c r="V880" s="38">
        <v>3700000.0</v>
      </c>
      <c r="W880" s="38"/>
      <c r="X880" s="27"/>
      <c r="Y880" s="39"/>
      <c r="Z880" s="79" t="s">
        <v>2884</v>
      </c>
      <c r="AA880" s="39"/>
      <c r="AB880" s="55">
        <v>0.1</v>
      </c>
      <c r="AC880" s="34">
        <f t="shared" si="619"/>
        <v>6212.858</v>
      </c>
      <c r="AD880" s="41">
        <f t="shared" ref="AD880:AD881" si="696">IF(AND(S880="0",O880="Paid"),(M880*15%)-AC880,0)</f>
        <v>0</v>
      </c>
      <c r="AE880" s="42"/>
      <c r="AF880" s="27"/>
      <c r="AG880" s="43">
        <f>M880*28%-((M880*28%)*5%)</f>
        <v>16526.20228</v>
      </c>
      <c r="AH880" s="29">
        <v>45269.0</v>
      </c>
      <c r="AI880" s="29" t="s">
        <v>1324</v>
      </c>
      <c r="AJ880" s="55">
        <v>0.28</v>
      </c>
      <c r="AK880" s="29" t="s">
        <v>1325</v>
      </c>
      <c r="AL880" s="27"/>
      <c r="AM880" s="186">
        <f>IF((BD880&lt;=2),AU880*10%,(IF((BD880=3),AU880*20%,IF((BD880=4),AU880*20%,IF((BD880&gt;=5),AU880*30%,(IF((BD880="lead"),AU880*30%,0)))))))</f>
        <v>726.904386</v>
      </c>
      <c r="AN880" s="57">
        <v>44995.0</v>
      </c>
      <c r="AO880" s="46"/>
      <c r="AP880" s="47"/>
      <c r="AQ880" s="84">
        <f>((M880*28%))</f>
        <v>17396.0024</v>
      </c>
      <c r="AR880" s="43">
        <f t="shared" si="448"/>
        <v>869.80012</v>
      </c>
      <c r="AS880" s="43">
        <f t="shared" si="449"/>
        <v>3044.30042</v>
      </c>
      <c r="AT880" s="48">
        <f>AQ880-AR880-AS880-AC880</f>
        <v>7269.04386</v>
      </c>
      <c r="AU880" s="49">
        <f>AQ880-AR880-AS880-AO880-AC880</f>
        <v>7269.04386</v>
      </c>
      <c r="AV880" s="106">
        <f>AU880*10%</f>
        <v>726.904386</v>
      </c>
      <c r="AW880" s="34">
        <f t="shared" si="540"/>
        <v>60387.142</v>
      </c>
      <c r="AX880" s="50">
        <f t="shared" si="413"/>
        <v>12028.09309</v>
      </c>
      <c r="AY880" s="43"/>
      <c r="AZ880" s="47"/>
      <c r="BA880" s="48">
        <f t="shared" ref="BA880:BA898" si="697">IF(S880&lt;&gt;0,AU880-AO880-AM880,(AG880-AD880-AE880-AS880))</f>
        <v>6542.139474</v>
      </c>
      <c r="BB880" s="27"/>
      <c r="BC880" s="27"/>
      <c r="BD880" s="51">
        <v>1.0</v>
      </c>
      <c r="BE880" s="52"/>
      <c r="BF880" s="27"/>
      <c r="BG880" s="58" t="s">
        <v>2885</v>
      </c>
      <c r="BH880" s="53" t="str">
        <f>'[1]2023'!Q1246</f>
        <v>#REF!</v>
      </c>
      <c r="BI880" s="27"/>
      <c r="BJ880" s="27"/>
      <c r="BK880" s="27" t="s">
        <v>76</v>
      </c>
      <c r="BL880" s="64" t="s">
        <v>2886</v>
      </c>
    </row>
    <row r="881" ht="14.25" customHeight="1">
      <c r="A881" s="26" t="s">
        <v>55</v>
      </c>
      <c r="B881" s="26" t="s">
        <v>56</v>
      </c>
      <c r="C881" s="26" t="s">
        <v>57</v>
      </c>
      <c r="D881" s="26" t="s">
        <v>81</v>
      </c>
      <c r="E881" s="27" t="s">
        <v>2887</v>
      </c>
      <c r="F881" s="28" t="s">
        <v>2888</v>
      </c>
      <c r="G881" s="29">
        <v>45160.0</v>
      </c>
      <c r="H881" s="30">
        <v>45160.0</v>
      </c>
      <c r="I881" s="30">
        <v>45525.0</v>
      </c>
      <c r="J881" s="31">
        <v>0.0</v>
      </c>
      <c r="K881" s="26" t="s">
        <v>455</v>
      </c>
      <c r="L881" s="69">
        <v>44967.0</v>
      </c>
      <c r="M881" s="33">
        <v>15045.0</v>
      </c>
      <c r="N881" s="34">
        <v>16148.87</v>
      </c>
      <c r="O881" s="27" t="s">
        <v>76</v>
      </c>
      <c r="P881" s="35" t="s">
        <v>122</v>
      </c>
      <c r="Q881" s="35" t="s">
        <v>90</v>
      </c>
      <c r="R881" s="36">
        <v>45160.0</v>
      </c>
      <c r="S881" s="35" t="s">
        <v>86</v>
      </c>
      <c r="T881" s="35">
        <v>0.0</v>
      </c>
      <c r="U881" s="37" t="s">
        <v>67</v>
      </c>
      <c r="V881" s="38">
        <v>850000.0</v>
      </c>
      <c r="W881" s="38" t="s">
        <v>2889</v>
      </c>
      <c r="X881" s="27">
        <v>2020.0</v>
      </c>
      <c r="Y881" s="79" t="s">
        <v>2641</v>
      </c>
      <c r="Z881" s="79" t="s">
        <v>232</v>
      </c>
      <c r="AA881" s="39">
        <v>1780.0</v>
      </c>
      <c r="AB881" s="27"/>
      <c r="AC881" s="27">
        <f t="shared" si="619"/>
        <v>0</v>
      </c>
      <c r="AD881" s="41">
        <f t="shared" si="696"/>
        <v>2256.75</v>
      </c>
      <c r="AE881" s="42"/>
      <c r="AF881" s="27"/>
      <c r="AG881" s="43">
        <f t="shared" ref="AG881:AG883" si="698">IF(O881="Paid",IF(A881="Alwataniya",(M881*21%)-((M881*21%)*5%),IF((A881="GIG"),(M881*25%)-((M881*25%)*5%),IF((A881="Allianz"),(M881*27%)-((M881*27%)*5%),0))),0)</f>
        <v>3859.0425</v>
      </c>
      <c r="AH881" s="29"/>
      <c r="AI881" s="29"/>
      <c r="AJ881" s="29"/>
      <c r="AK881" s="29"/>
      <c r="AL881" s="27"/>
      <c r="AM881" s="44"/>
      <c r="AN881" s="47"/>
      <c r="AO881" s="46"/>
      <c r="AP881" s="47"/>
      <c r="AQ881" s="43">
        <f t="shared" ref="AQ881:AQ883" si="699">IF(U881="Motor Plus",(M881*27%),IF(U881="Motor One",(M881*22%),(IF(U881="Golden",(M881*25%),(IF(U881="Classic",(M881*15%),(IF(U881="Wethaq",(M881*28%),IF(U881="Alwataniya",(M881*21%))*0))))))))</f>
        <v>4062.15</v>
      </c>
      <c r="AR881" s="43">
        <f t="shared" si="448"/>
        <v>203.1075</v>
      </c>
      <c r="AS881" s="43">
        <f t="shared" si="449"/>
        <v>710.87625</v>
      </c>
      <c r="AT881" s="48">
        <f t="shared" ref="AT881:AT932" si="700">AQ881-AR881-AS881</f>
        <v>3148.16625</v>
      </c>
      <c r="AU881" s="49">
        <f t="shared" ref="AU881:AU898" si="701">AQ881-AR881-AS881-AC881-AO881</f>
        <v>3148.16625</v>
      </c>
      <c r="AV881" s="48"/>
      <c r="AW881" s="34">
        <f t="shared" si="540"/>
        <v>13892.12</v>
      </c>
      <c r="AX881" s="50">
        <f t="shared" si="413"/>
        <v>891.41625</v>
      </c>
      <c r="AY881" s="43"/>
      <c r="AZ881" s="47"/>
      <c r="BA881" s="48">
        <f t="shared" si="697"/>
        <v>3148.16625</v>
      </c>
      <c r="BB881" s="27"/>
      <c r="BC881" s="27"/>
      <c r="BD881" s="51"/>
      <c r="BE881" s="52"/>
      <c r="BF881" s="27" t="s">
        <v>2887</v>
      </c>
      <c r="BG881" s="53">
        <v>0.0</v>
      </c>
      <c r="BH881" s="53" t="str">
        <f>'[1]2023'!Q1085</f>
        <v>#REF!</v>
      </c>
      <c r="BI881" s="27"/>
      <c r="BJ881" s="27"/>
      <c r="BK881" s="27" t="s">
        <v>76</v>
      </c>
      <c r="BL881" s="27"/>
    </row>
    <row r="882" ht="14.25" customHeight="1">
      <c r="A882" s="26" t="s">
        <v>55</v>
      </c>
      <c r="B882" s="26" t="s">
        <v>56</v>
      </c>
      <c r="C882" s="26" t="s">
        <v>57</v>
      </c>
      <c r="D882" s="26" t="s">
        <v>81</v>
      </c>
      <c r="E882" s="27" t="s">
        <v>2890</v>
      </c>
      <c r="F882" s="28" t="s">
        <v>2891</v>
      </c>
      <c r="G882" s="29" t="s">
        <v>468</v>
      </c>
      <c r="H882" s="30">
        <v>45160.0</v>
      </c>
      <c r="I882" s="30">
        <v>45525.0</v>
      </c>
      <c r="J882" s="31">
        <v>0.0</v>
      </c>
      <c r="K882" s="26" t="s">
        <v>455</v>
      </c>
      <c r="L882" s="32" t="s">
        <v>1980</v>
      </c>
      <c r="M882" s="33">
        <v>22750.0</v>
      </c>
      <c r="N882" s="34">
        <v>24347.0</v>
      </c>
      <c r="O882" s="27" t="s">
        <v>76</v>
      </c>
      <c r="P882" s="35" t="s">
        <v>89</v>
      </c>
      <c r="Q882" s="35" t="s">
        <v>65</v>
      </c>
      <c r="R882" s="36" t="e">
        <v>#VALUE!</v>
      </c>
      <c r="S882" s="35" t="s">
        <v>78</v>
      </c>
      <c r="T882" s="54" t="s">
        <v>604</v>
      </c>
      <c r="U882" s="37" t="s">
        <v>67</v>
      </c>
      <c r="V882" s="38"/>
      <c r="W882" s="38"/>
      <c r="X882" s="27"/>
      <c r="Y882" s="39"/>
      <c r="Z882" s="39"/>
      <c r="AA882" s="39"/>
      <c r="AB882" s="27"/>
      <c r="AC882" s="27">
        <f t="shared" si="619"/>
        <v>0</v>
      </c>
      <c r="AD882" s="41"/>
      <c r="AE882" s="42"/>
      <c r="AF882" s="27"/>
      <c r="AG882" s="43">
        <f t="shared" si="698"/>
        <v>5835.375</v>
      </c>
      <c r="AH882" s="29"/>
      <c r="AI882" s="29"/>
      <c r="AJ882" s="29"/>
      <c r="AK882" s="29"/>
      <c r="AL882" s="27"/>
      <c r="AM882" s="44"/>
      <c r="AN882" s="47"/>
      <c r="AO882" s="46">
        <f>M882*15%</f>
        <v>3412.5</v>
      </c>
      <c r="AP882" s="57">
        <v>45055.0</v>
      </c>
      <c r="AQ882" s="43">
        <f t="shared" si="699"/>
        <v>6142.5</v>
      </c>
      <c r="AR882" s="43">
        <f t="shared" si="448"/>
        <v>307.125</v>
      </c>
      <c r="AS882" s="43">
        <f t="shared" si="449"/>
        <v>1074.9375</v>
      </c>
      <c r="AT882" s="48">
        <f t="shared" si="700"/>
        <v>4760.4375</v>
      </c>
      <c r="AU882" s="49">
        <f t="shared" si="701"/>
        <v>1347.9375</v>
      </c>
      <c r="AV882" s="48"/>
      <c r="AW882" s="34">
        <f t="shared" si="540"/>
        <v>24347</v>
      </c>
      <c r="AX882" s="50">
        <f t="shared" si="413"/>
        <v>1347.9375</v>
      </c>
      <c r="AY882" s="43"/>
      <c r="AZ882" s="47"/>
      <c r="BA882" s="48">
        <f t="shared" si="697"/>
        <v>-2064.5625</v>
      </c>
      <c r="BB882" s="27"/>
      <c r="BC882" s="27"/>
      <c r="BD882" s="51"/>
      <c r="BE882" s="52"/>
      <c r="BF882" s="27" t="s">
        <v>2890</v>
      </c>
      <c r="BG882" s="53">
        <v>0.0</v>
      </c>
      <c r="BH882" s="53" t="str">
        <f>'[1]2023'!Q1096</f>
        <v>#REF!</v>
      </c>
      <c r="BI882" s="27"/>
      <c r="BJ882" s="27"/>
      <c r="BK882" s="27" t="s">
        <v>76</v>
      </c>
      <c r="BL882" s="27"/>
    </row>
    <row r="883" ht="14.25" customHeight="1">
      <c r="A883" s="26" t="s">
        <v>55</v>
      </c>
      <c r="B883" s="26" t="s">
        <v>56</v>
      </c>
      <c r="C883" s="26" t="s">
        <v>57</v>
      </c>
      <c r="D883" s="26" t="s">
        <v>81</v>
      </c>
      <c r="E883" s="27" t="s">
        <v>2892</v>
      </c>
      <c r="F883" s="28" t="s">
        <v>2893</v>
      </c>
      <c r="G883" s="29">
        <v>45160.0</v>
      </c>
      <c r="H883" s="30">
        <v>45160.0</v>
      </c>
      <c r="I883" s="30">
        <v>45525.0</v>
      </c>
      <c r="J883" s="31" t="s">
        <v>2894</v>
      </c>
      <c r="K883" s="26" t="s">
        <v>455</v>
      </c>
      <c r="L883" s="69">
        <v>45055.0</v>
      </c>
      <c r="M883" s="33">
        <v>23100.0</v>
      </c>
      <c r="N883" s="34">
        <v>24719.4</v>
      </c>
      <c r="O883" s="27" t="s">
        <v>76</v>
      </c>
      <c r="P883" s="35" t="s">
        <v>430</v>
      </c>
      <c r="Q883" s="35" t="s">
        <v>108</v>
      </c>
      <c r="R883" s="36">
        <v>45160.0</v>
      </c>
      <c r="S883" s="35" t="s">
        <v>86</v>
      </c>
      <c r="T883" s="35">
        <v>0.0</v>
      </c>
      <c r="U883" s="37">
        <v>0.0</v>
      </c>
      <c r="V883" s="38"/>
      <c r="W883" s="38"/>
      <c r="X883" s="27"/>
      <c r="Y883" s="39"/>
      <c r="Z883" s="39"/>
      <c r="AA883" s="39"/>
      <c r="AB883" s="27"/>
      <c r="AC883" s="27">
        <f t="shared" si="619"/>
        <v>0</v>
      </c>
      <c r="AD883" s="41">
        <f t="shared" ref="AD883:AD884" si="702">IF(AND(S883="0",O883="Paid"),(M883*15%)-AC883,0)</f>
        <v>3465</v>
      </c>
      <c r="AE883" s="42"/>
      <c r="AF883" s="27" t="s">
        <v>1312</v>
      </c>
      <c r="AG883" s="43">
        <f t="shared" si="698"/>
        <v>5925.15</v>
      </c>
      <c r="AH883" s="29"/>
      <c r="AI883" s="29"/>
      <c r="AJ883" s="29"/>
      <c r="AK883" s="29"/>
      <c r="AL883" s="27"/>
      <c r="AM883" s="44"/>
      <c r="AN883" s="47"/>
      <c r="AO883" s="46"/>
      <c r="AP883" s="47"/>
      <c r="AQ883" s="43">
        <f t="shared" si="699"/>
        <v>0</v>
      </c>
      <c r="AR883" s="43">
        <f t="shared" si="448"/>
        <v>0</v>
      </c>
      <c r="AS883" s="43">
        <f t="shared" si="449"/>
        <v>0</v>
      </c>
      <c r="AT883" s="48">
        <f t="shared" si="700"/>
        <v>0</v>
      </c>
      <c r="AU883" s="49">
        <f t="shared" si="701"/>
        <v>0</v>
      </c>
      <c r="AV883" s="48"/>
      <c r="AW883" s="34">
        <f t="shared" si="540"/>
        <v>21254.4</v>
      </c>
      <c r="AX883" s="50">
        <f t="shared" si="413"/>
        <v>2460.15</v>
      </c>
      <c r="AY883" s="43"/>
      <c r="AZ883" s="47"/>
      <c r="BA883" s="48">
        <f t="shared" si="697"/>
        <v>0</v>
      </c>
      <c r="BB883" s="27"/>
      <c r="BC883" s="27"/>
      <c r="BD883" s="51"/>
      <c r="BE883" s="52"/>
      <c r="BF883" s="27" t="s">
        <v>2892</v>
      </c>
      <c r="BG883" s="53">
        <v>0.0</v>
      </c>
      <c r="BH883" s="53" t="str">
        <f>'[1]2023'!Q1102</f>
        <v>#REF!</v>
      </c>
      <c r="BI883" s="27"/>
      <c r="BJ883" s="27"/>
      <c r="BK883" s="27" t="s">
        <v>76</v>
      </c>
      <c r="BL883" s="27"/>
    </row>
    <row r="884" ht="14.25" customHeight="1">
      <c r="A884" s="26" t="s">
        <v>111</v>
      </c>
      <c r="B884" s="26" t="s">
        <v>56</v>
      </c>
      <c r="C884" s="26" t="s">
        <v>57</v>
      </c>
      <c r="D884" s="26" t="s">
        <v>71</v>
      </c>
      <c r="E884" s="27" t="s">
        <v>2895</v>
      </c>
      <c r="F884" s="28" t="s">
        <v>2896</v>
      </c>
      <c r="G884" s="29" t="s">
        <v>468</v>
      </c>
      <c r="H884" s="30">
        <v>45160.0</v>
      </c>
      <c r="I884" s="30">
        <v>45525.0</v>
      </c>
      <c r="J884" s="31">
        <v>0.0</v>
      </c>
      <c r="K884" s="26" t="s">
        <v>455</v>
      </c>
      <c r="L884" s="32" t="s">
        <v>2561</v>
      </c>
      <c r="M884" s="33">
        <v>12541.54</v>
      </c>
      <c r="N884" s="34">
        <v>13600.0</v>
      </c>
      <c r="O884" s="27" t="s">
        <v>64</v>
      </c>
      <c r="P884" s="35">
        <v>0.0</v>
      </c>
      <c r="Q884" s="35">
        <v>0.0</v>
      </c>
      <c r="R884" s="36" t="e">
        <v>#VALUE!</v>
      </c>
      <c r="S884" s="35" t="s">
        <v>86</v>
      </c>
      <c r="T884" s="35">
        <v>0.0</v>
      </c>
      <c r="U884" s="37" t="s">
        <v>115</v>
      </c>
      <c r="V884" s="38">
        <v>400000.0</v>
      </c>
      <c r="W884" s="38"/>
      <c r="X884" s="27"/>
      <c r="Y884" s="39"/>
      <c r="Z884" s="79" t="s">
        <v>2897</v>
      </c>
      <c r="AA884" s="39"/>
      <c r="AB884" s="27"/>
      <c r="AC884" s="27">
        <f t="shared" si="619"/>
        <v>0</v>
      </c>
      <c r="AD884" s="41">
        <f t="shared" si="702"/>
        <v>0</v>
      </c>
      <c r="AE884" s="42"/>
      <c r="AF884" s="27"/>
      <c r="AG884" s="43">
        <f>IF(O884="Paid",IF(A884="Alwataniya",(M884*21%)-((M884*21%)*5%),IF((A884="GIG"),(M884*25%)-((M884*25%)*5%),IF((A884="Allianz"),(M884*27%)-((M884*27%)*20%),0))),0)</f>
        <v>0</v>
      </c>
      <c r="AH884" s="29"/>
      <c r="AI884" s="29"/>
      <c r="AJ884" s="29"/>
      <c r="AK884" s="29"/>
      <c r="AL884" s="27"/>
      <c r="AM884" s="44"/>
      <c r="AN884" s="47"/>
      <c r="AO884" s="46"/>
      <c r="AP884" s="47"/>
      <c r="AQ884" s="43" t="b">
        <f>IF(O884="Paid",IF(U884="Motor Plus",(M884*27%),IF(U884="Motor One",(M884*22%),(IF(U884="Golden",(M884*25%),(IF(U884="Classic",(M884*15%),(IF(U884="Wethaq",(M884*28%),IF(U884="Alwataniya",(M884*21%))*0)))))))))</f>
        <v>0</v>
      </c>
      <c r="AR884" s="43">
        <f t="shared" si="448"/>
        <v>0</v>
      </c>
      <c r="AS884" s="43">
        <f t="shared" si="449"/>
        <v>0</v>
      </c>
      <c r="AT884" s="48">
        <f t="shared" si="700"/>
        <v>0</v>
      </c>
      <c r="AU884" s="49">
        <f t="shared" si="701"/>
        <v>0</v>
      </c>
      <c r="AV884" s="48"/>
      <c r="AW884" s="34">
        <f t="shared" si="540"/>
        <v>13600</v>
      </c>
      <c r="AX884" s="50">
        <f t="shared" si="413"/>
        <v>0</v>
      </c>
      <c r="AY884" s="43"/>
      <c r="AZ884" s="47"/>
      <c r="BA884" s="48">
        <f t="shared" si="697"/>
        <v>0</v>
      </c>
      <c r="BB884" s="27"/>
      <c r="BC884" s="27"/>
      <c r="BD884" s="51"/>
      <c r="BE884" s="52"/>
      <c r="BF884" s="27"/>
      <c r="BG884" s="53">
        <v>0.0</v>
      </c>
      <c r="BH884" s="53" t="str">
        <f>'[1]2023'!Q1185</f>
        <v>#REF!</v>
      </c>
      <c r="BI884" s="27"/>
      <c r="BJ884" s="27"/>
      <c r="BK884" s="27" t="s">
        <v>64</v>
      </c>
      <c r="BL884" s="27"/>
    </row>
    <row r="885" ht="14.25" customHeight="1">
      <c r="A885" s="26" t="s">
        <v>55</v>
      </c>
      <c r="B885" s="26" t="s">
        <v>56</v>
      </c>
      <c r="C885" s="26" t="s">
        <v>57</v>
      </c>
      <c r="D885" s="26" t="s">
        <v>71</v>
      </c>
      <c r="E885" s="27" t="s">
        <v>2898</v>
      </c>
      <c r="F885" s="28" t="s">
        <v>2899</v>
      </c>
      <c r="G885" s="182">
        <v>45160.0</v>
      </c>
      <c r="H885" s="30">
        <v>45160.0</v>
      </c>
      <c r="I885" s="30">
        <v>45525.0</v>
      </c>
      <c r="J885" s="31" t="s">
        <v>2900</v>
      </c>
      <c r="K885" s="26" t="s">
        <v>475</v>
      </c>
      <c r="L885" s="187">
        <v>45270.0</v>
      </c>
      <c r="M885" s="33">
        <v>23010.0</v>
      </c>
      <c r="N885" s="34">
        <v>24623.64</v>
      </c>
      <c r="O885" s="27" t="s">
        <v>76</v>
      </c>
      <c r="P885" s="35" t="s">
        <v>162</v>
      </c>
      <c r="Q885" s="35" t="s">
        <v>65</v>
      </c>
      <c r="R885" s="36">
        <v>45160.0</v>
      </c>
      <c r="S885" s="35" t="s">
        <v>78</v>
      </c>
      <c r="T885" s="54" t="s">
        <v>163</v>
      </c>
      <c r="U885" s="37" t="s">
        <v>67</v>
      </c>
      <c r="V885" s="38">
        <v>1300000.0</v>
      </c>
      <c r="W885" s="78">
        <v>0.11459</v>
      </c>
      <c r="X885" s="27">
        <v>2020.0</v>
      </c>
      <c r="Y885" s="39"/>
      <c r="Z885" s="79" t="s">
        <v>208</v>
      </c>
      <c r="AA885" s="39"/>
      <c r="AB885" s="27"/>
      <c r="AC885" s="27">
        <f t="shared" si="619"/>
        <v>0</v>
      </c>
      <c r="AD885" s="41"/>
      <c r="AE885" s="42"/>
      <c r="AF885" s="27"/>
      <c r="AG885" s="43">
        <f>IF(O885="Paid",IF(A885="Alwataniya",(M885*21%)-((M885*21%)*5%),IF((A885="GIG"),(M885*25%)-((M885*25%)*5%),IF((A885="Allianz"),(M885*27%)-((M885*27%)*5%),0))),0)</f>
        <v>5902.065</v>
      </c>
      <c r="AH885" s="29"/>
      <c r="AI885" s="29"/>
      <c r="AJ885" s="29"/>
      <c r="AK885" s="29"/>
      <c r="AL885" s="27"/>
      <c r="AM885" s="44"/>
      <c r="AN885" s="47"/>
      <c r="AO885" s="70">
        <f>M885*15%-AC885</f>
        <v>3451.5</v>
      </c>
      <c r="AP885" s="47"/>
      <c r="AQ885" s="43">
        <f>IF(U885="Motor Plus",(M885*27%),IF(U885="Motor One",(M885*22%),(IF(U885="Golden",(M885*25%),(IF(U885="Classic",(M885*15%),(IF(U885="Wethaq",(M885*28%),IF(U885="Alwataniya",(M885*21%))*0))))))))</f>
        <v>6212.7</v>
      </c>
      <c r="AR885" s="43">
        <f t="shared" si="448"/>
        <v>310.635</v>
      </c>
      <c r="AS885" s="43">
        <f t="shared" si="449"/>
        <v>1087.2225</v>
      </c>
      <c r="AT885" s="48">
        <f t="shared" si="700"/>
        <v>4814.8425</v>
      </c>
      <c r="AU885" s="49">
        <f t="shared" si="701"/>
        <v>1363.3425</v>
      </c>
      <c r="AV885" s="48"/>
      <c r="AW885" s="34">
        <f t="shared" si="540"/>
        <v>24623.64</v>
      </c>
      <c r="AX885" s="50">
        <f t="shared" si="413"/>
        <v>1363.3425</v>
      </c>
      <c r="AY885" s="43"/>
      <c r="AZ885" s="47"/>
      <c r="BA885" s="48">
        <f t="shared" si="697"/>
        <v>-2088.1575</v>
      </c>
      <c r="BB885" s="27"/>
      <c r="BC885" s="27"/>
      <c r="BD885" s="51"/>
      <c r="BE885" s="52"/>
      <c r="BF885" s="27"/>
      <c r="BG885" s="58" t="s">
        <v>2901</v>
      </c>
      <c r="BH885" s="53" t="str">
        <f>'[1]2023'!Q1201</f>
        <v>#REF!</v>
      </c>
      <c r="BI885" s="27"/>
      <c r="BJ885" s="27"/>
      <c r="BK885" s="27" t="s">
        <v>76</v>
      </c>
      <c r="BL885" s="27"/>
    </row>
    <row r="886" ht="14.25" customHeight="1">
      <c r="A886" s="26" t="s">
        <v>55</v>
      </c>
      <c r="B886" s="26" t="s">
        <v>56</v>
      </c>
      <c r="C886" s="26" t="s">
        <v>57</v>
      </c>
      <c r="D886" s="26" t="s">
        <v>81</v>
      </c>
      <c r="E886" s="27" t="s">
        <v>2902</v>
      </c>
      <c r="F886" s="26" t="s">
        <v>2903</v>
      </c>
      <c r="G886" s="29">
        <v>45160.0</v>
      </c>
      <c r="H886" s="30">
        <v>45160.0</v>
      </c>
      <c r="I886" s="30">
        <v>45525.0</v>
      </c>
      <c r="J886" s="31">
        <v>0.0</v>
      </c>
      <c r="K886" s="26" t="s">
        <v>2904</v>
      </c>
      <c r="L886" s="32"/>
      <c r="M886" s="33"/>
      <c r="N886" s="34"/>
      <c r="O886" s="27" t="s">
        <v>64</v>
      </c>
      <c r="P886" s="35">
        <v>0.0</v>
      </c>
      <c r="Q886" s="35">
        <v>0.0</v>
      </c>
      <c r="R886" s="36">
        <v>45160.0</v>
      </c>
      <c r="S886" s="35" t="s">
        <v>86</v>
      </c>
      <c r="T886" s="35">
        <v>0.0</v>
      </c>
      <c r="U886" s="37">
        <v>0.0</v>
      </c>
      <c r="V886" s="38"/>
      <c r="W886" s="78"/>
      <c r="X886" s="27"/>
      <c r="Y886" s="39"/>
      <c r="Z886" s="39"/>
      <c r="AA886" s="39"/>
      <c r="AB886" s="27"/>
      <c r="AC886" s="27">
        <f t="shared" si="619"/>
        <v>0</v>
      </c>
      <c r="AD886" s="41">
        <f t="shared" ref="AD886:AD889" si="703">IF(AND(S886="0",O886="Paid"),(M886*15%)-AC886,0)</f>
        <v>0</v>
      </c>
      <c r="AE886" s="42"/>
      <c r="AF886" s="27"/>
      <c r="AG886" s="43">
        <f>IF(O886="Paid",IF(A886="Wethaq",(M886*28%)-((M886*28%)*5%),IF((A886="GIG"),(M886*25%)-((M886*25%)*5%),IF((A886="Allianz"),(M886*27%)-((M886*27%)*20%),0))),0)</f>
        <v>0</v>
      </c>
      <c r="AH886" s="29"/>
      <c r="AI886" s="29"/>
      <c r="AJ886" s="29"/>
      <c r="AK886" s="29"/>
      <c r="AL886" s="27"/>
      <c r="AM886" s="44"/>
      <c r="AN886" s="47"/>
      <c r="AO886" s="46"/>
      <c r="AP886" s="47"/>
      <c r="AQ886" s="43" t="b">
        <f t="shared" ref="AQ886:AQ887" si="704">IF(O886="Paid",IF(U886="Motor Plus",(M886*27%),IF(U886="Motor One",(M886*22%),(IF(U886="Golden",(M886*25%),(IF(U886="Classic",(M886*15%),(IF(U886="Wethaq",(M886*28%),IF(U886="Alwataniya",(M886*21%))*0)))))))))</f>
        <v>0</v>
      </c>
      <c r="AR886" s="43">
        <f t="shared" si="448"/>
        <v>0</v>
      </c>
      <c r="AS886" s="43">
        <f t="shared" si="449"/>
        <v>0</v>
      </c>
      <c r="AT886" s="48">
        <f t="shared" si="700"/>
        <v>0</v>
      </c>
      <c r="AU886" s="49">
        <f t="shared" si="701"/>
        <v>0</v>
      </c>
      <c r="AV886" s="48"/>
      <c r="AW886" s="34">
        <f t="shared" si="540"/>
        <v>0</v>
      </c>
      <c r="AX886" s="50">
        <f t="shared" si="413"/>
        <v>0</v>
      </c>
      <c r="AY886" s="43"/>
      <c r="AZ886" s="47"/>
      <c r="BA886" s="48">
        <f t="shared" si="697"/>
        <v>0</v>
      </c>
      <c r="BB886" s="27"/>
      <c r="BC886" s="27"/>
      <c r="BD886" s="51"/>
      <c r="BE886" s="52"/>
      <c r="BF886" s="27"/>
      <c r="BG886" s="53">
        <v>0.0</v>
      </c>
      <c r="BH886" s="53" t="str">
        <f>'[1]2023'!Q1669</f>
        <v>#REF!</v>
      </c>
      <c r="BI886" s="27"/>
      <c r="BJ886" s="27"/>
      <c r="BK886" s="27" t="s">
        <v>64</v>
      </c>
      <c r="BL886" s="27"/>
    </row>
    <row r="887" ht="14.25" customHeight="1">
      <c r="A887" s="26" t="s">
        <v>111</v>
      </c>
      <c r="B887" s="26" t="s">
        <v>56</v>
      </c>
      <c r="C887" s="26" t="s">
        <v>57</v>
      </c>
      <c r="D887" s="26" t="s">
        <v>71</v>
      </c>
      <c r="E887" s="27" t="s">
        <v>2905</v>
      </c>
      <c r="F887" s="28" t="s">
        <v>2906</v>
      </c>
      <c r="G887" s="29">
        <v>45160.55917824074</v>
      </c>
      <c r="H887" s="30">
        <v>45160.55917824074</v>
      </c>
      <c r="I887" s="30">
        <v>45525.55917824074</v>
      </c>
      <c r="J887" s="31">
        <v>0.0</v>
      </c>
      <c r="K887" s="26" t="s">
        <v>455</v>
      </c>
      <c r="L887" s="32" t="s">
        <v>63</v>
      </c>
      <c r="M887" s="33">
        <v>15925.0</v>
      </c>
      <c r="N887" s="34">
        <v>17200.0</v>
      </c>
      <c r="O887" s="27" t="s">
        <v>64</v>
      </c>
      <c r="P887" s="35">
        <v>0.0</v>
      </c>
      <c r="Q887" s="35">
        <v>0.0</v>
      </c>
      <c r="R887" s="36">
        <v>45169.55917824074</v>
      </c>
      <c r="S887" s="35" t="s">
        <v>86</v>
      </c>
      <c r="T887" s="35">
        <v>0.0</v>
      </c>
      <c r="U887" s="37" t="s">
        <v>115</v>
      </c>
      <c r="V887" s="38"/>
      <c r="W887" s="78"/>
      <c r="X887" s="27"/>
      <c r="Y887" s="39"/>
      <c r="Z887" s="39"/>
      <c r="AA887" s="39"/>
      <c r="AB887" s="27"/>
      <c r="AC887" s="27">
        <f t="shared" si="619"/>
        <v>0</v>
      </c>
      <c r="AD887" s="41">
        <f t="shared" si="703"/>
        <v>0</v>
      </c>
      <c r="AE887" s="42"/>
      <c r="AF887" s="27"/>
      <c r="AG887" s="43">
        <f t="shared" ref="AG887:AG888" si="705">IF(O887="Paid",IF(A887="Alwataniya",(M887*21%)-((M887*21%)*5%),IF((A887="GIG"),(M887*25%)-((M887*25%)*5%),IF((A887="Allianz"),(M887*27%)-((M887*27%)*20%),0))),0)</f>
        <v>0</v>
      </c>
      <c r="AH887" s="29"/>
      <c r="AI887" s="29"/>
      <c r="AJ887" s="29"/>
      <c r="AK887" s="29"/>
      <c r="AL887" s="27"/>
      <c r="AM887" s="44"/>
      <c r="AN887" s="47"/>
      <c r="AO887" s="46"/>
      <c r="AP887" s="47"/>
      <c r="AQ887" s="43" t="b">
        <f t="shared" si="704"/>
        <v>0</v>
      </c>
      <c r="AR887" s="43">
        <f t="shared" si="448"/>
        <v>0</v>
      </c>
      <c r="AS887" s="43">
        <f t="shared" si="449"/>
        <v>0</v>
      </c>
      <c r="AT887" s="48">
        <f t="shared" si="700"/>
        <v>0</v>
      </c>
      <c r="AU887" s="49">
        <f t="shared" si="701"/>
        <v>0</v>
      </c>
      <c r="AV887" s="48"/>
      <c r="AW887" s="34">
        <f t="shared" si="540"/>
        <v>17200</v>
      </c>
      <c r="AX887" s="50">
        <f t="shared" si="413"/>
        <v>0</v>
      </c>
      <c r="AY887" s="43"/>
      <c r="AZ887" s="47"/>
      <c r="BA887" s="48">
        <f t="shared" si="697"/>
        <v>0</v>
      </c>
      <c r="BB887" s="27"/>
      <c r="BC887" s="27"/>
      <c r="BD887" s="51"/>
      <c r="BE887" s="52"/>
      <c r="BF887" s="27"/>
      <c r="BG887" s="53">
        <v>0.0</v>
      </c>
      <c r="BH887" s="53" t="str">
        <f>'[1]2023'!Q1347</f>
        <v>#REF!</v>
      </c>
      <c r="BI887" s="27"/>
      <c r="BJ887" s="27"/>
      <c r="BK887" s="27" t="s">
        <v>64</v>
      </c>
      <c r="BL887" s="27"/>
    </row>
    <row r="888" ht="14.25" customHeight="1">
      <c r="A888" s="26" t="s">
        <v>111</v>
      </c>
      <c r="B888" s="26" t="s">
        <v>56</v>
      </c>
      <c r="C888" s="26" t="s">
        <v>57</v>
      </c>
      <c r="D888" s="26" t="s">
        <v>71</v>
      </c>
      <c r="E888" s="27" t="s">
        <v>2907</v>
      </c>
      <c r="F888" s="28" t="s">
        <v>2908</v>
      </c>
      <c r="G888" s="29">
        <v>45160.57136574074</v>
      </c>
      <c r="H888" s="30">
        <v>45160.57136574074</v>
      </c>
      <c r="I888" s="30">
        <v>45525.57136574074</v>
      </c>
      <c r="J888" s="31" t="s">
        <v>2909</v>
      </c>
      <c r="K888" s="26" t="s">
        <v>455</v>
      </c>
      <c r="L888" s="32" t="s">
        <v>2561</v>
      </c>
      <c r="M888" s="33">
        <v>12541.54</v>
      </c>
      <c r="N888" s="34">
        <v>13600.0</v>
      </c>
      <c r="O888" s="27" t="s">
        <v>76</v>
      </c>
      <c r="P888" s="35" t="s">
        <v>142</v>
      </c>
      <c r="Q888" s="35" t="s">
        <v>108</v>
      </c>
      <c r="R888" s="36">
        <v>45169.57136574074</v>
      </c>
      <c r="S888" s="35" t="s">
        <v>86</v>
      </c>
      <c r="T888" s="35">
        <v>0.0</v>
      </c>
      <c r="U888" s="37" t="s">
        <v>115</v>
      </c>
      <c r="V888" s="38">
        <v>400000.0</v>
      </c>
      <c r="W888" s="38"/>
      <c r="X888" s="27"/>
      <c r="Y888" s="39"/>
      <c r="Z888" s="79" t="s">
        <v>2897</v>
      </c>
      <c r="AA888" s="39"/>
      <c r="AB888" s="27"/>
      <c r="AC888" s="27">
        <f t="shared" si="619"/>
        <v>0</v>
      </c>
      <c r="AD888" s="41">
        <f t="shared" si="703"/>
        <v>1881.231</v>
      </c>
      <c r="AE888" s="42">
        <v>250.0</v>
      </c>
      <c r="AF888" s="27" t="s">
        <v>457</v>
      </c>
      <c r="AG888" s="43">
        <f t="shared" si="705"/>
        <v>2978.61575</v>
      </c>
      <c r="AH888" s="29">
        <v>44994.0</v>
      </c>
      <c r="AI888" s="29" t="s">
        <v>2764</v>
      </c>
      <c r="AJ888" s="29"/>
      <c r="AK888" s="29" t="s">
        <v>2764</v>
      </c>
      <c r="AL888" s="27"/>
      <c r="AM888" s="44"/>
      <c r="AN888" s="68"/>
      <c r="AO888" s="46"/>
      <c r="AP888" s="47"/>
      <c r="AQ888" s="43">
        <f t="shared" ref="AQ888:AQ891" si="706">IF(U888="Motor Plus",(M888*27%),IF(U888="Motor One",(M888*22%),(IF(U888="Golden",(M888*25%),(IF(U888="Classic",(M888*15%),(IF(U888="Wethaq",(M888*28%),IF(U888="Alwataniya",(M888*21%))*0))))))))</f>
        <v>3135.385</v>
      </c>
      <c r="AR888" s="43">
        <f t="shared" si="448"/>
        <v>156.76925</v>
      </c>
      <c r="AS888" s="43">
        <f t="shared" si="449"/>
        <v>548.692375</v>
      </c>
      <c r="AT888" s="48">
        <f t="shared" si="700"/>
        <v>2429.923375</v>
      </c>
      <c r="AU888" s="49">
        <f t="shared" si="701"/>
        <v>2429.923375</v>
      </c>
      <c r="AV888" s="48"/>
      <c r="AW888" s="34">
        <f t="shared" si="540"/>
        <v>11468.769</v>
      </c>
      <c r="AX888" s="50">
        <f t="shared" si="413"/>
        <v>298.692375</v>
      </c>
      <c r="AY888" s="43"/>
      <c r="AZ888" s="47"/>
      <c r="BA888" s="48">
        <f t="shared" si="697"/>
        <v>2429.923375</v>
      </c>
      <c r="BB888" s="27"/>
      <c r="BC888" s="27"/>
      <c r="BD888" s="51"/>
      <c r="BE888" s="52"/>
      <c r="BF888" s="27"/>
      <c r="BG888" s="53">
        <v>0.0</v>
      </c>
      <c r="BH888" s="53" t="str">
        <f>'[1]2023'!Q1346</f>
        <v>#REF!</v>
      </c>
      <c r="BI888" s="27"/>
      <c r="BJ888" s="27"/>
      <c r="BK888" s="27" t="s">
        <v>76</v>
      </c>
      <c r="BL888" s="27"/>
    </row>
    <row r="889" ht="14.25" customHeight="1">
      <c r="A889" s="26" t="s">
        <v>55</v>
      </c>
      <c r="B889" s="26" t="s">
        <v>56</v>
      </c>
      <c r="C889" s="26" t="s">
        <v>57</v>
      </c>
      <c r="D889" s="26" t="s">
        <v>81</v>
      </c>
      <c r="E889" s="27" t="s">
        <v>2910</v>
      </c>
      <c r="F889" s="28" t="s">
        <v>2911</v>
      </c>
      <c r="G889" s="29" t="s">
        <v>2912</v>
      </c>
      <c r="H889" s="30">
        <v>45161.0</v>
      </c>
      <c r="I889" s="30">
        <v>45526.0</v>
      </c>
      <c r="J889" s="31">
        <v>0.0</v>
      </c>
      <c r="K889" s="26" t="s">
        <v>455</v>
      </c>
      <c r="L889" s="32" t="s">
        <v>926</v>
      </c>
      <c r="M889" s="33">
        <v>19617.5</v>
      </c>
      <c r="N889" s="34">
        <v>20915.95</v>
      </c>
      <c r="O889" s="27" t="s">
        <v>76</v>
      </c>
      <c r="P889" s="35" t="s">
        <v>142</v>
      </c>
      <c r="Q889" s="35" t="s">
        <v>90</v>
      </c>
      <c r="R889" s="36" t="e">
        <v>#VALUE!</v>
      </c>
      <c r="S889" s="35" t="s">
        <v>86</v>
      </c>
      <c r="T889" s="35">
        <v>0.0</v>
      </c>
      <c r="U889" s="37" t="s">
        <v>67</v>
      </c>
      <c r="V889" s="38"/>
      <c r="W889" s="38"/>
      <c r="X889" s="27"/>
      <c r="Y889" s="39"/>
      <c r="Z889" s="79" t="s">
        <v>232</v>
      </c>
      <c r="AA889" s="39"/>
      <c r="AB889" s="27"/>
      <c r="AC889" s="27">
        <f t="shared" si="619"/>
        <v>0</v>
      </c>
      <c r="AD889" s="41">
        <f t="shared" si="703"/>
        <v>2942.625</v>
      </c>
      <c r="AE889" s="42"/>
      <c r="AF889" s="29">
        <v>44967.0</v>
      </c>
      <c r="AG889" s="43">
        <f t="shared" ref="AG889:AG891" si="707">IF(O889="Paid",IF(A889="Alwataniya",(M889*21%)-((M889*21%)*5%),IF((A889="GIG"),(M889*25%)-((M889*25%)*5%),IF((A889="Allianz"),(M889*27%)-((M889*27%)*5%),0))),0)</f>
        <v>5031.88875</v>
      </c>
      <c r="AH889" s="29"/>
      <c r="AI889" s="29"/>
      <c r="AJ889" s="29"/>
      <c r="AK889" s="29"/>
      <c r="AL889" s="27"/>
      <c r="AM889" s="27"/>
      <c r="AN889" s="47"/>
      <c r="AO889" s="46"/>
      <c r="AP889" s="47"/>
      <c r="AQ889" s="43">
        <f t="shared" si="706"/>
        <v>5296.725</v>
      </c>
      <c r="AR889" s="43">
        <f t="shared" si="448"/>
        <v>264.83625</v>
      </c>
      <c r="AS889" s="43">
        <f t="shared" si="449"/>
        <v>926.926875</v>
      </c>
      <c r="AT889" s="48">
        <f t="shared" si="700"/>
        <v>4104.961875</v>
      </c>
      <c r="AU889" s="49">
        <f t="shared" si="701"/>
        <v>4104.961875</v>
      </c>
      <c r="AV889" s="48"/>
      <c r="AW889" s="34">
        <f t="shared" si="540"/>
        <v>17973.325</v>
      </c>
      <c r="AX889" s="50">
        <f t="shared" si="413"/>
        <v>1162.336875</v>
      </c>
      <c r="AY889" s="43"/>
      <c r="AZ889" s="47"/>
      <c r="BA889" s="48">
        <f t="shared" si="697"/>
        <v>4104.961875</v>
      </c>
      <c r="BB889" s="27"/>
      <c r="BC889" s="27"/>
      <c r="BD889" s="51"/>
      <c r="BE889" s="52"/>
      <c r="BF889" s="27" t="s">
        <v>2910</v>
      </c>
      <c r="BG889" s="53">
        <v>0.0</v>
      </c>
      <c r="BH889" s="53" t="str">
        <f t="shared" ref="BH889:BH890" si="708">'[1]2023'!Q1082</f>
        <v>#REF!</v>
      </c>
      <c r="BI889" s="27"/>
      <c r="BJ889" s="27"/>
      <c r="BK889" s="27" t="s">
        <v>76</v>
      </c>
      <c r="BL889" s="27"/>
    </row>
    <row r="890" ht="14.25" customHeight="1">
      <c r="A890" s="26" t="s">
        <v>55</v>
      </c>
      <c r="B890" s="26" t="s">
        <v>56</v>
      </c>
      <c r="C890" s="26" t="s">
        <v>57</v>
      </c>
      <c r="D890" s="26" t="s">
        <v>81</v>
      </c>
      <c r="E890" s="27" t="s">
        <v>2913</v>
      </c>
      <c r="F890" s="28" t="s">
        <v>2914</v>
      </c>
      <c r="G890" s="29" t="s">
        <v>2912</v>
      </c>
      <c r="H890" s="30">
        <v>45161.0</v>
      </c>
      <c r="I890" s="30">
        <v>45526.0</v>
      </c>
      <c r="J890" s="31">
        <v>0.0</v>
      </c>
      <c r="K890" s="26" t="s">
        <v>455</v>
      </c>
      <c r="L890" s="32" t="s">
        <v>63</v>
      </c>
      <c r="M890" s="33">
        <v>20650.0</v>
      </c>
      <c r="N890" s="34">
        <v>22009.35</v>
      </c>
      <c r="O890" s="27" t="s">
        <v>76</v>
      </c>
      <c r="P890" s="35" t="s">
        <v>122</v>
      </c>
      <c r="Q890" s="35" t="s">
        <v>65</v>
      </c>
      <c r="R890" s="36" t="e">
        <v>#VALUE!</v>
      </c>
      <c r="S890" s="35" t="s">
        <v>86</v>
      </c>
      <c r="T890" s="35">
        <v>0.0</v>
      </c>
      <c r="U890" s="37" t="s">
        <v>67</v>
      </c>
      <c r="V890" s="38"/>
      <c r="W890" s="38"/>
      <c r="X890" s="27"/>
      <c r="Y890" s="39"/>
      <c r="Z890" s="39"/>
      <c r="AA890" s="39"/>
      <c r="AB890" s="27"/>
      <c r="AC890" s="27">
        <f t="shared" si="619"/>
        <v>0</v>
      </c>
      <c r="AD890" s="41"/>
      <c r="AE890" s="42"/>
      <c r="AF890" s="27"/>
      <c r="AG890" s="43">
        <f t="shared" si="707"/>
        <v>5296.725</v>
      </c>
      <c r="AH890" s="29"/>
      <c r="AI890" s="29"/>
      <c r="AJ890" s="29"/>
      <c r="AK890" s="29"/>
      <c r="AL890" s="27"/>
      <c r="AM890" s="44"/>
      <c r="AN890" s="68"/>
      <c r="AO890" s="46"/>
      <c r="AP890" s="47"/>
      <c r="AQ890" s="43">
        <f t="shared" si="706"/>
        <v>5575.5</v>
      </c>
      <c r="AR890" s="43">
        <f t="shared" si="448"/>
        <v>278.775</v>
      </c>
      <c r="AS890" s="43">
        <f t="shared" si="449"/>
        <v>975.7125</v>
      </c>
      <c r="AT890" s="48">
        <f t="shared" si="700"/>
        <v>4321.0125</v>
      </c>
      <c r="AU890" s="49">
        <f t="shared" si="701"/>
        <v>4321.0125</v>
      </c>
      <c r="AV890" s="48"/>
      <c r="AW890" s="34">
        <f t="shared" si="540"/>
        <v>22009.35</v>
      </c>
      <c r="AX890" s="50">
        <f t="shared" si="413"/>
        <v>4321.0125</v>
      </c>
      <c r="AY890" s="43"/>
      <c r="AZ890" s="47"/>
      <c r="BA890" s="48">
        <f t="shared" si="697"/>
        <v>4321.0125</v>
      </c>
      <c r="BB890" s="27"/>
      <c r="BC890" s="27"/>
      <c r="BD890" s="51"/>
      <c r="BE890" s="52"/>
      <c r="BF890" s="27" t="s">
        <v>2913</v>
      </c>
      <c r="BG890" s="53">
        <v>0.0</v>
      </c>
      <c r="BH890" s="53" t="str">
        <f t="shared" si="708"/>
        <v>#REF!</v>
      </c>
      <c r="BI890" s="27"/>
      <c r="BJ890" s="27"/>
      <c r="BK890" s="27" t="s">
        <v>76</v>
      </c>
      <c r="BL890" s="27"/>
    </row>
    <row r="891" ht="14.25" customHeight="1">
      <c r="A891" s="26" t="s">
        <v>55</v>
      </c>
      <c r="B891" s="26" t="s">
        <v>56</v>
      </c>
      <c r="C891" s="26" t="s">
        <v>57</v>
      </c>
      <c r="D891" s="26" t="s">
        <v>81</v>
      </c>
      <c r="E891" s="27" t="s">
        <v>2915</v>
      </c>
      <c r="F891" s="28" t="s">
        <v>2916</v>
      </c>
      <c r="G891" s="29" t="s">
        <v>2912</v>
      </c>
      <c r="H891" s="30">
        <v>45161.0</v>
      </c>
      <c r="I891" s="30">
        <v>45526.0</v>
      </c>
      <c r="J891" s="31">
        <v>0.0</v>
      </c>
      <c r="K891" s="26" t="s">
        <v>455</v>
      </c>
      <c r="L891" s="69">
        <v>45207.0</v>
      </c>
      <c r="M891" s="33">
        <v>30800.0</v>
      </c>
      <c r="N891" s="34">
        <v>32914.2</v>
      </c>
      <c r="O891" s="27" t="s">
        <v>76</v>
      </c>
      <c r="P891" s="35" t="s">
        <v>122</v>
      </c>
      <c r="Q891" s="35" t="s">
        <v>65</v>
      </c>
      <c r="R891" s="36" t="e">
        <v>#VALUE!</v>
      </c>
      <c r="S891" s="35" t="s">
        <v>86</v>
      </c>
      <c r="T891" s="35">
        <v>0.0</v>
      </c>
      <c r="U891" s="37" t="s">
        <v>67</v>
      </c>
      <c r="V891" s="38"/>
      <c r="W891" s="38"/>
      <c r="X891" s="27"/>
      <c r="Y891" s="39"/>
      <c r="Z891" s="39"/>
      <c r="AA891" s="39"/>
      <c r="AB891" s="27"/>
      <c r="AC891" s="27">
        <f t="shared" si="619"/>
        <v>0</v>
      </c>
      <c r="AD891" s="41"/>
      <c r="AE891" s="42"/>
      <c r="AF891" s="27"/>
      <c r="AG891" s="43">
        <f t="shared" si="707"/>
        <v>7900.2</v>
      </c>
      <c r="AH891" s="29"/>
      <c r="AI891" s="29"/>
      <c r="AJ891" s="29"/>
      <c r="AK891" s="29"/>
      <c r="AL891" s="27"/>
      <c r="AM891" s="44"/>
      <c r="AN891" s="47"/>
      <c r="AO891" s="46"/>
      <c r="AP891" s="47"/>
      <c r="AQ891" s="43">
        <f t="shared" si="706"/>
        <v>8316</v>
      </c>
      <c r="AR891" s="43">
        <f t="shared" si="448"/>
        <v>415.8</v>
      </c>
      <c r="AS891" s="43">
        <f t="shared" si="449"/>
        <v>1455.3</v>
      </c>
      <c r="AT891" s="48">
        <f t="shared" si="700"/>
        <v>6444.9</v>
      </c>
      <c r="AU891" s="49">
        <f t="shared" si="701"/>
        <v>6444.9</v>
      </c>
      <c r="AV891" s="48"/>
      <c r="AW891" s="34">
        <f t="shared" si="540"/>
        <v>32914.2</v>
      </c>
      <c r="AX891" s="50">
        <f t="shared" si="413"/>
        <v>6444.9</v>
      </c>
      <c r="AY891" s="43"/>
      <c r="AZ891" s="47"/>
      <c r="BA891" s="48">
        <f t="shared" si="697"/>
        <v>6444.9</v>
      </c>
      <c r="BB891" s="27"/>
      <c r="BC891" s="27"/>
      <c r="BD891" s="51"/>
      <c r="BE891" s="52"/>
      <c r="BF891" s="27" t="s">
        <v>2915</v>
      </c>
      <c r="BG891" s="53">
        <v>0.0</v>
      </c>
      <c r="BH891" s="53" t="str">
        <f>'[1]2023'!Q1107</f>
        <v>#REF!</v>
      </c>
      <c r="BI891" s="27"/>
      <c r="BJ891" s="27"/>
      <c r="BK891" s="27" t="s">
        <v>76</v>
      </c>
      <c r="BL891" s="27"/>
    </row>
    <row r="892" ht="14.25" customHeight="1">
      <c r="A892" s="26" t="s">
        <v>68</v>
      </c>
      <c r="B892" s="26" t="s">
        <v>56</v>
      </c>
      <c r="C892" s="26" t="s">
        <v>57</v>
      </c>
      <c r="D892" s="26" t="s">
        <v>71</v>
      </c>
      <c r="E892" s="27" t="s">
        <v>2917</v>
      </c>
      <c r="F892" s="28" t="s">
        <v>2918</v>
      </c>
      <c r="G892" s="29" t="s">
        <v>2912</v>
      </c>
      <c r="H892" s="30">
        <v>45161.0</v>
      </c>
      <c r="I892" s="30">
        <v>45526.0</v>
      </c>
      <c r="J892" s="31">
        <v>0.0</v>
      </c>
      <c r="K892" s="26" t="s">
        <v>455</v>
      </c>
      <c r="L892" s="32" t="s">
        <v>63</v>
      </c>
      <c r="M892" s="33">
        <v>0.0</v>
      </c>
      <c r="N892" s="34">
        <v>0.0</v>
      </c>
      <c r="O892" s="27" t="s">
        <v>64</v>
      </c>
      <c r="P892" s="35">
        <v>0.0</v>
      </c>
      <c r="Q892" s="35">
        <v>0.0</v>
      </c>
      <c r="R892" s="36" t="e">
        <v>#VALUE!</v>
      </c>
      <c r="S892" s="35" t="s">
        <v>86</v>
      </c>
      <c r="T892" s="35">
        <v>0.0</v>
      </c>
      <c r="U892" s="37" t="s">
        <v>68</v>
      </c>
      <c r="V892" s="38"/>
      <c r="W892" s="38"/>
      <c r="X892" s="27"/>
      <c r="Y892" s="39"/>
      <c r="Z892" s="39"/>
      <c r="AA892" s="39"/>
      <c r="AB892" s="27"/>
      <c r="AC892" s="27">
        <f t="shared" si="619"/>
        <v>0</v>
      </c>
      <c r="AD892" s="41">
        <f t="shared" ref="AD892:AD893" si="709">IF(AND(S892="0",O892="Paid"),(M892*15%)-AC892,0)</f>
        <v>0</v>
      </c>
      <c r="AE892" s="42"/>
      <c r="AF892" s="27"/>
      <c r="AG892" s="43">
        <f>IF(O892="Paid",IF(A892="Alwataniya",(M892*21%)-((M892*21%)*5%),IF((A892="GIG"),(M892*25%)-((M892*25%)*5%),IF((A892="Allianz"),(M892*27%)-((M892*27%)*20%),0))),0)</f>
        <v>0</v>
      </c>
      <c r="AH892" s="29"/>
      <c r="AI892" s="29"/>
      <c r="AJ892" s="29"/>
      <c r="AK892" s="29"/>
      <c r="AL892" s="27"/>
      <c r="AM892" s="44"/>
      <c r="AN892" s="47"/>
      <c r="AO892" s="46"/>
      <c r="AP892" s="47"/>
      <c r="AQ892" s="43" t="b">
        <f t="shared" ref="AQ892:AQ893" si="710">IF(O892="Paid",IF(U892="Motor Plus",(M892*27%),IF(U892="Motor One",(M892*22%),(IF(U892="Golden",(M892*25%),(IF(U892="Classic",(M892*15%),(IF(U892="Wethaq",(M892*28%),IF(U892="Alwataniya",(M892*21%))*0)))))))))</f>
        <v>0</v>
      </c>
      <c r="AR892" s="43">
        <f t="shared" si="448"/>
        <v>0</v>
      </c>
      <c r="AS892" s="43">
        <f t="shared" si="449"/>
        <v>0</v>
      </c>
      <c r="AT892" s="48">
        <f t="shared" si="700"/>
        <v>0</v>
      </c>
      <c r="AU892" s="49">
        <f t="shared" si="701"/>
        <v>0</v>
      </c>
      <c r="AV892" s="48"/>
      <c r="AW892" s="34">
        <f t="shared" si="540"/>
        <v>0</v>
      </c>
      <c r="AX892" s="50">
        <f t="shared" si="413"/>
        <v>0</v>
      </c>
      <c r="AY892" s="43"/>
      <c r="AZ892" s="47"/>
      <c r="BA892" s="48">
        <f t="shared" si="697"/>
        <v>0</v>
      </c>
      <c r="BB892" s="27"/>
      <c r="BC892" s="27"/>
      <c r="BD892" s="51"/>
      <c r="BE892" s="52"/>
      <c r="BF892" s="27"/>
      <c r="BG892" s="53">
        <v>0.0</v>
      </c>
      <c r="BH892" s="53" t="str">
        <f>'[1]2023'!Q1191</f>
        <v>#REF!</v>
      </c>
      <c r="BI892" s="27"/>
      <c r="BJ892" s="27"/>
      <c r="BK892" s="27" t="s">
        <v>64</v>
      </c>
      <c r="BL892" s="27"/>
    </row>
    <row r="893" ht="14.25" customHeight="1">
      <c r="A893" s="26" t="s">
        <v>68</v>
      </c>
      <c r="B893" s="26" t="s">
        <v>69</v>
      </c>
      <c r="C893" s="26" t="s">
        <v>70</v>
      </c>
      <c r="D893" s="26" t="s">
        <v>81</v>
      </c>
      <c r="E893" s="27" t="s">
        <v>2919</v>
      </c>
      <c r="F893" s="28" t="s">
        <v>2920</v>
      </c>
      <c r="G893" s="29">
        <v>45161.0</v>
      </c>
      <c r="H893" s="30">
        <v>45161.0</v>
      </c>
      <c r="I893" s="30">
        <v>45526.0</v>
      </c>
      <c r="J893" s="31">
        <v>0.0</v>
      </c>
      <c r="K893" s="26" t="s">
        <v>455</v>
      </c>
      <c r="L893" s="73" t="s">
        <v>63</v>
      </c>
      <c r="M893" s="33">
        <v>13872.0</v>
      </c>
      <c r="N893" s="34">
        <v>14205.0</v>
      </c>
      <c r="O893" s="27" t="s">
        <v>64</v>
      </c>
      <c r="P893" s="35">
        <v>0.0</v>
      </c>
      <c r="Q893" s="35">
        <v>0.0</v>
      </c>
      <c r="R893" s="36">
        <v>45181.0</v>
      </c>
      <c r="S893" s="35" t="s">
        <v>78</v>
      </c>
      <c r="T893" s="54" t="s">
        <v>79</v>
      </c>
      <c r="U893" s="37" t="s">
        <v>68</v>
      </c>
      <c r="V893" s="38"/>
      <c r="W893" s="38"/>
      <c r="X893" s="27"/>
      <c r="Y893" s="39"/>
      <c r="Z893" s="39"/>
      <c r="AA893" s="39"/>
      <c r="AB893" s="27"/>
      <c r="AC893" s="27">
        <f t="shared" si="619"/>
        <v>0</v>
      </c>
      <c r="AD893" s="41">
        <f t="shared" si="709"/>
        <v>0</v>
      </c>
      <c r="AE893" s="42"/>
      <c r="AF893" s="27"/>
      <c r="AG893" s="43">
        <f>IF(O893="Paid",IF(A893="Wethaq",(M893*28%)-((M893*28%)*5%),IF((A893="GIG"),(M893*25%)-((M893*25%)*5%),IF((A893="Allianz"),(M893*27%)-((M893*27%)*20%),0))),0)</f>
        <v>0</v>
      </c>
      <c r="AH893" s="29"/>
      <c r="AI893" s="29"/>
      <c r="AJ893" s="29"/>
      <c r="AK893" s="29"/>
      <c r="AL893" s="27"/>
      <c r="AM893" s="44"/>
      <c r="AN893" s="47"/>
      <c r="AO893" s="46"/>
      <c r="AP893" s="47"/>
      <c r="AQ893" s="43" t="b">
        <f t="shared" si="710"/>
        <v>0</v>
      </c>
      <c r="AR893" s="43">
        <f t="shared" si="448"/>
        <v>0</v>
      </c>
      <c r="AS893" s="43">
        <f t="shared" si="449"/>
        <v>0</v>
      </c>
      <c r="AT893" s="48">
        <f t="shared" si="700"/>
        <v>0</v>
      </c>
      <c r="AU893" s="49">
        <f t="shared" si="701"/>
        <v>0</v>
      </c>
      <c r="AV893" s="48"/>
      <c r="AW893" s="34">
        <f t="shared" si="540"/>
        <v>14205</v>
      </c>
      <c r="AX893" s="50">
        <f t="shared" si="413"/>
        <v>0</v>
      </c>
      <c r="AY893" s="43"/>
      <c r="AZ893" s="47"/>
      <c r="BA893" s="48">
        <f t="shared" si="697"/>
        <v>0</v>
      </c>
      <c r="BB893" s="27"/>
      <c r="BC893" s="27"/>
      <c r="BD893" s="51"/>
      <c r="BE893" s="52"/>
      <c r="BF893" s="27"/>
      <c r="BG893" s="53">
        <v>0.0</v>
      </c>
      <c r="BH893" s="53" t="str">
        <f t="shared" ref="BH893:BH894" si="711">'[1]2023'!Q1193</f>
        <v>#REF!</v>
      </c>
      <c r="BI893" s="27"/>
      <c r="BJ893" s="27"/>
      <c r="BK893" s="27" t="s">
        <v>64</v>
      </c>
      <c r="BL893" s="27"/>
    </row>
    <row r="894" ht="14.25" customHeight="1">
      <c r="A894" s="26" t="s">
        <v>68</v>
      </c>
      <c r="B894" s="26" t="s">
        <v>56</v>
      </c>
      <c r="C894" s="26" t="s">
        <v>57</v>
      </c>
      <c r="D894" s="26" t="s">
        <v>71</v>
      </c>
      <c r="E894" s="27" t="s">
        <v>2921</v>
      </c>
      <c r="F894" s="28" t="s">
        <v>2922</v>
      </c>
      <c r="G894" s="30" t="s">
        <v>2912</v>
      </c>
      <c r="H894" s="30">
        <v>45161.0</v>
      </c>
      <c r="I894" s="30">
        <v>45526.0</v>
      </c>
      <c r="J894" s="31" t="s">
        <v>2923</v>
      </c>
      <c r="K894" s="26" t="s">
        <v>455</v>
      </c>
      <c r="L894" s="32" t="s">
        <v>487</v>
      </c>
      <c r="M894" s="33">
        <v>23377.4</v>
      </c>
      <c r="N894" s="34">
        <v>25000.0</v>
      </c>
      <c r="O894" s="27" t="s">
        <v>76</v>
      </c>
      <c r="P894" s="35" t="s">
        <v>142</v>
      </c>
      <c r="Q894" s="35" t="s">
        <v>90</v>
      </c>
      <c r="R894" s="36" t="e">
        <v>#VALUE!</v>
      </c>
      <c r="S894" s="35">
        <v>0.0</v>
      </c>
      <c r="T894" s="54" t="s">
        <v>456</v>
      </c>
      <c r="U894" s="37" t="s">
        <v>68</v>
      </c>
      <c r="V894" s="38">
        <v>1250000.0</v>
      </c>
      <c r="W894" s="38"/>
      <c r="X894" s="27"/>
      <c r="Y894" s="39"/>
      <c r="Z894" s="39" t="s">
        <v>2924</v>
      </c>
      <c r="AA894" s="39"/>
      <c r="AB894" s="27"/>
      <c r="AC894" s="27">
        <f t="shared" si="619"/>
        <v>0</v>
      </c>
      <c r="AD894" s="41">
        <f>(M894*15%)</f>
        <v>3506.61</v>
      </c>
      <c r="AE894" s="42">
        <v>400.0</v>
      </c>
      <c r="AF894" s="92" t="s">
        <v>2707</v>
      </c>
      <c r="AG894" s="159">
        <f>IF(O894="Paid",IF(A894="Wethaq",(M894*28%)-((M894*28%)*5%)))</f>
        <v>6218.3884</v>
      </c>
      <c r="AH894" s="29"/>
      <c r="AI894" s="29" t="s">
        <v>1324</v>
      </c>
      <c r="AJ894" s="55">
        <v>0.28</v>
      </c>
      <c r="AK894" s="29" t="s">
        <v>1325</v>
      </c>
      <c r="AL894" s="27"/>
      <c r="AM894" s="44"/>
      <c r="AN894" s="47"/>
      <c r="AO894" s="46"/>
      <c r="AP894" s="92" t="s">
        <v>2707</v>
      </c>
      <c r="AQ894" s="43">
        <f t="shared" ref="AQ894:AQ895" si="712">IF(U894="Motor Plus",(M894*27%),IF(U894="Motor One",(M894*22%),(IF(U894="Golden",(M894*25%),(IF(U894="Classic",(M894*15%),(IF(U894="Wethaq",(M894*28%),IF(U894="Alwataniya",(M894*21%))*0))))))))</f>
        <v>6545.672</v>
      </c>
      <c r="AR894" s="43">
        <f t="shared" si="448"/>
        <v>327.2836</v>
      </c>
      <c r="AS894" s="43">
        <f t="shared" si="449"/>
        <v>1145.4926</v>
      </c>
      <c r="AT894" s="48">
        <f t="shared" si="700"/>
        <v>5072.8958</v>
      </c>
      <c r="AU894" s="49">
        <f t="shared" si="701"/>
        <v>5072.8958</v>
      </c>
      <c r="AV894" s="48"/>
      <c r="AW894" s="34">
        <f t="shared" si="540"/>
        <v>21093.39</v>
      </c>
      <c r="AX894" s="50">
        <f t="shared" si="413"/>
        <v>1166.2858</v>
      </c>
      <c r="AY894" s="43"/>
      <c r="AZ894" s="47"/>
      <c r="BA894" s="48">
        <f t="shared" si="697"/>
        <v>1166.2858</v>
      </c>
      <c r="BB894" s="27"/>
      <c r="BC894" s="27"/>
      <c r="BD894" s="51"/>
      <c r="BE894" s="52"/>
      <c r="BF894" s="27"/>
      <c r="BG894" s="53">
        <v>0.0</v>
      </c>
      <c r="BH894" s="53" t="str">
        <f t="shared" si="711"/>
        <v>#REF!</v>
      </c>
      <c r="BI894" s="27"/>
      <c r="BJ894" s="27"/>
      <c r="BK894" s="27" t="s">
        <v>76</v>
      </c>
      <c r="BL894" s="27"/>
    </row>
    <row r="895" ht="14.25" customHeight="1">
      <c r="A895" s="26" t="s">
        <v>55</v>
      </c>
      <c r="B895" s="26" t="s">
        <v>56</v>
      </c>
      <c r="C895" s="26" t="s">
        <v>57</v>
      </c>
      <c r="D895" s="26" t="s">
        <v>81</v>
      </c>
      <c r="E895" s="27" t="s">
        <v>2925</v>
      </c>
      <c r="F895" s="28" t="s">
        <v>2926</v>
      </c>
      <c r="G895" s="29" t="s">
        <v>464</v>
      </c>
      <c r="H895" s="30">
        <v>45162.0</v>
      </c>
      <c r="I895" s="30">
        <v>45527.0</v>
      </c>
      <c r="J895" s="31">
        <v>0.0</v>
      </c>
      <c r="K895" s="26" t="s">
        <v>455</v>
      </c>
      <c r="L895" s="69">
        <v>45207.0</v>
      </c>
      <c r="M895" s="33">
        <v>31200.0</v>
      </c>
      <c r="N895" s="34">
        <v>33181.8</v>
      </c>
      <c r="O895" s="27" t="s">
        <v>76</v>
      </c>
      <c r="P895" s="35" t="s">
        <v>89</v>
      </c>
      <c r="Q895" s="35" t="s">
        <v>108</v>
      </c>
      <c r="R895" s="36" t="e">
        <v>#VALUE!</v>
      </c>
      <c r="S895" s="35" t="s">
        <v>86</v>
      </c>
      <c r="T895" s="35">
        <v>0.0</v>
      </c>
      <c r="U895" s="37" t="s">
        <v>67</v>
      </c>
      <c r="V895" s="38"/>
      <c r="W895" s="38"/>
      <c r="X895" s="27"/>
      <c r="Y895" s="39"/>
      <c r="Z895" s="39"/>
      <c r="AA895" s="39"/>
      <c r="AB895" s="40"/>
      <c r="AC895" s="27">
        <f t="shared" si="619"/>
        <v>0</v>
      </c>
      <c r="AD895" s="41">
        <f t="shared" ref="AD895:AD898" si="713">IF(AND(S895="0",O895="Paid"),(M895*15%)-AC895,0)</f>
        <v>4680</v>
      </c>
      <c r="AE895" s="42"/>
      <c r="AF895" s="27" t="s">
        <v>1980</v>
      </c>
      <c r="AG895" s="43">
        <f t="shared" ref="AG895:AG896" si="714">IF(O895="Paid",IF(A895="Alwataniya",(M895*21%)-((M895*21%)*5%),IF((A895="GIG"),(M895*25%)-((M895*25%)*5%),IF((A895="Allianz"),(M895*27%)-((M895*27%)*5%),0))),0)</f>
        <v>8002.8</v>
      </c>
      <c r="AH895" s="29"/>
      <c r="AI895" s="29"/>
      <c r="AJ895" s="29"/>
      <c r="AK895" s="29"/>
      <c r="AL895" s="27"/>
      <c r="AM895" s="44"/>
      <c r="AN895" s="47"/>
      <c r="AO895" s="46"/>
      <c r="AP895" s="47"/>
      <c r="AQ895" s="43">
        <f t="shared" si="712"/>
        <v>8424</v>
      </c>
      <c r="AR895" s="43">
        <f t="shared" si="448"/>
        <v>421.2</v>
      </c>
      <c r="AS895" s="43">
        <f t="shared" si="449"/>
        <v>1474.2</v>
      </c>
      <c r="AT895" s="48">
        <f t="shared" si="700"/>
        <v>6528.6</v>
      </c>
      <c r="AU895" s="49">
        <f t="shared" si="701"/>
        <v>6528.6</v>
      </c>
      <c r="AV895" s="48"/>
      <c r="AW895" s="34">
        <f t="shared" si="540"/>
        <v>28501.8</v>
      </c>
      <c r="AX895" s="50">
        <f t="shared" si="413"/>
        <v>1848.6</v>
      </c>
      <c r="AY895" s="43"/>
      <c r="AZ895" s="47"/>
      <c r="BA895" s="48">
        <f t="shared" si="697"/>
        <v>6528.6</v>
      </c>
      <c r="BB895" s="27"/>
      <c r="BC895" s="27"/>
      <c r="BD895" s="51"/>
      <c r="BE895" s="52"/>
      <c r="BF895" s="27" t="s">
        <v>2925</v>
      </c>
      <c r="BG895" s="53">
        <v>0.0</v>
      </c>
      <c r="BH895" s="53" t="str">
        <f>'[1]2023'!Q1066</f>
        <v>#REF!</v>
      </c>
      <c r="BI895" s="27"/>
      <c r="BJ895" s="27"/>
      <c r="BK895" s="27" t="s">
        <v>76</v>
      </c>
      <c r="BL895" s="27"/>
    </row>
    <row r="896" ht="14.25" customHeight="1">
      <c r="A896" s="26" t="s">
        <v>55</v>
      </c>
      <c r="B896" s="26" t="s">
        <v>56</v>
      </c>
      <c r="C896" s="26" t="s">
        <v>57</v>
      </c>
      <c r="D896" s="26" t="s">
        <v>58</v>
      </c>
      <c r="E896" s="27" t="s">
        <v>2927</v>
      </c>
      <c r="F896" s="28" t="s">
        <v>2928</v>
      </c>
      <c r="G896" s="29">
        <v>45162.0</v>
      </c>
      <c r="H896" s="30">
        <v>45162.0</v>
      </c>
      <c r="I896" s="30">
        <v>45527.0</v>
      </c>
      <c r="J896" s="31">
        <v>0.0</v>
      </c>
      <c r="K896" s="26" t="s">
        <v>455</v>
      </c>
      <c r="L896" s="89">
        <v>45162.0</v>
      </c>
      <c r="M896" s="33">
        <v>2660.0</v>
      </c>
      <c r="N896" s="34">
        <v>2864.42</v>
      </c>
      <c r="O896" s="27" t="s">
        <v>76</v>
      </c>
      <c r="P896" s="35" t="s">
        <v>122</v>
      </c>
      <c r="Q896" s="35" t="s">
        <v>90</v>
      </c>
      <c r="R896" s="36">
        <v>45162.0</v>
      </c>
      <c r="S896" s="35" t="s">
        <v>86</v>
      </c>
      <c r="T896" s="35">
        <v>0.0</v>
      </c>
      <c r="U896" s="37">
        <v>0.0</v>
      </c>
      <c r="V896" s="38"/>
      <c r="W896" s="38"/>
      <c r="X896" s="27"/>
      <c r="Y896" s="39"/>
      <c r="Z896" s="39"/>
      <c r="AA896" s="39"/>
      <c r="AB896" s="27"/>
      <c r="AC896" s="27">
        <f t="shared" si="619"/>
        <v>0</v>
      </c>
      <c r="AD896" s="41">
        <f t="shared" si="713"/>
        <v>399</v>
      </c>
      <c r="AE896" s="42"/>
      <c r="AF896" s="27"/>
      <c r="AG896" s="43">
        <f t="shared" si="714"/>
        <v>682.29</v>
      </c>
      <c r="AH896" s="29"/>
      <c r="AI896" s="29"/>
      <c r="AJ896" s="29"/>
      <c r="AK896" s="29"/>
      <c r="AL896" s="27"/>
      <c r="AM896" s="44">
        <f>((M896*25%)-AC896-((M896*25%)*22.5%))*30%</f>
        <v>154.6125</v>
      </c>
      <c r="AN896" s="179">
        <v>45148.0</v>
      </c>
      <c r="AO896" s="46"/>
      <c r="AP896" s="47"/>
      <c r="AQ896" s="43">
        <f t="shared" ref="AQ896:AQ897" si="715">IF(O896="Paid",IF(U896="Motor Plus",(M896*27%),IF(U896="Motor One",(M896*22%),(IF(U896="Golden",(M896*25%),(IF(U896="Classic",(M896*15%),(IF(U896="Wethaq",(M896*28%),IF(U896="Alwataniya",(M896*21%))*0)))))))))</f>
        <v>0</v>
      </c>
      <c r="AR896" s="43">
        <f t="shared" si="448"/>
        <v>0</v>
      </c>
      <c r="AS896" s="43">
        <f t="shared" si="449"/>
        <v>0</v>
      </c>
      <c r="AT896" s="48">
        <f t="shared" si="700"/>
        <v>0</v>
      </c>
      <c r="AU896" s="49">
        <f t="shared" si="701"/>
        <v>0</v>
      </c>
      <c r="AV896" s="48"/>
      <c r="AW896" s="34">
        <f t="shared" si="540"/>
        <v>2465.42</v>
      </c>
      <c r="AX896" s="50">
        <f t="shared" si="413"/>
        <v>128.6775</v>
      </c>
      <c r="AY896" s="43"/>
      <c r="AZ896" s="47"/>
      <c r="BA896" s="48">
        <f t="shared" si="697"/>
        <v>-154.6125</v>
      </c>
      <c r="BB896" s="27"/>
      <c r="BC896" s="27"/>
      <c r="BD896" s="51"/>
      <c r="BE896" s="52"/>
      <c r="BF896" s="27" t="s">
        <v>2927</v>
      </c>
      <c r="BG896" s="53">
        <v>0.0</v>
      </c>
      <c r="BH896" s="53" t="str">
        <f>'[1]2023'!Q1162</f>
        <v>#REF!</v>
      </c>
      <c r="BI896" s="27"/>
      <c r="BJ896" s="27"/>
      <c r="BK896" s="27" t="s">
        <v>76</v>
      </c>
      <c r="BL896" s="27"/>
    </row>
    <row r="897" ht="14.25" customHeight="1">
      <c r="A897" s="26" t="s">
        <v>111</v>
      </c>
      <c r="B897" s="26" t="s">
        <v>56</v>
      </c>
      <c r="C897" s="26" t="s">
        <v>57</v>
      </c>
      <c r="D897" s="26" t="s">
        <v>71</v>
      </c>
      <c r="E897" s="27" t="s">
        <v>2929</v>
      </c>
      <c r="F897" s="28" t="s">
        <v>2930</v>
      </c>
      <c r="G897" s="29">
        <v>45162.0</v>
      </c>
      <c r="H897" s="30">
        <v>45162.0</v>
      </c>
      <c r="I897" s="30">
        <v>45527.0</v>
      </c>
      <c r="J897" s="31">
        <v>0.0</v>
      </c>
      <c r="K897" s="26" t="s">
        <v>455</v>
      </c>
      <c r="L897" s="32" t="s">
        <v>63</v>
      </c>
      <c r="M897" s="33">
        <v>36169.36</v>
      </c>
      <c r="N897" s="34">
        <v>38740.0</v>
      </c>
      <c r="O897" s="27" t="s">
        <v>64</v>
      </c>
      <c r="P897" s="35" t="s">
        <v>430</v>
      </c>
      <c r="Q897" s="35" t="s">
        <v>114</v>
      </c>
      <c r="R897" s="36">
        <v>45171.0</v>
      </c>
      <c r="S897" s="35" t="s">
        <v>78</v>
      </c>
      <c r="T897" s="54" t="s">
        <v>510</v>
      </c>
      <c r="U897" s="37" t="s">
        <v>115</v>
      </c>
      <c r="V897" s="38"/>
      <c r="W897" s="38"/>
      <c r="X897" s="27"/>
      <c r="Y897" s="39"/>
      <c r="Z897" s="79" t="s">
        <v>2931</v>
      </c>
      <c r="AA897" s="39"/>
      <c r="AB897" s="27"/>
      <c r="AC897" s="27">
        <f t="shared" si="619"/>
        <v>0</v>
      </c>
      <c r="AD897" s="41">
        <f t="shared" si="713"/>
        <v>0</v>
      </c>
      <c r="AE897" s="42"/>
      <c r="AF897" s="27"/>
      <c r="AG897" s="43">
        <f t="shared" ref="AG897:AG898" si="716">IF(O897="Paid",IF(A897="Alwataniya",(M897*21%)-((M897*21%)*5%),IF((A897="GIG"),(M897*25%)-((M897*25%)*5%),IF((A897="Allianz"),(M897*27%)-((M897*27%)*20%),0))),0)</f>
        <v>0</v>
      </c>
      <c r="AH897" s="29"/>
      <c r="AI897" s="29"/>
      <c r="AJ897" s="29"/>
      <c r="AK897" s="29"/>
      <c r="AL897" s="27"/>
      <c r="AM897" s="44"/>
      <c r="AN897" s="96"/>
      <c r="AO897" s="46"/>
      <c r="AP897" s="47"/>
      <c r="AQ897" s="43" t="b">
        <f t="shared" si="715"/>
        <v>0</v>
      </c>
      <c r="AR897" s="43">
        <f t="shared" si="448"/>
        <v>0</v>
      </c>
      <c r="AS897" s="43">
        <f t="shared" si="449"/>
        <v>0</v>
      </c>
      <c r="AT897" s="48">
        <f t="shared" si="700"/>
        <v>0</v>
      </c>
      <c r="AU897" s="49">
        <f t="shared" si="701"/>
        <v>0</v>
      </c>
      <c r="AV897" s="48"/>
      <c r="AW897" s="34">
        <f t="shared" si="540"/>
        <v>38740</v>
      </c>
      <c r="AX897" s="50">
        <f t="shared" si="413"/>
        <v>0</v>
      </c>
      <c r="AY897" s="43"/>
      <c r="AZ897" s="47"/>
      <c r="BA897" s="48">
        <f t="shared" si="697"/>
        <v>0</v>
      </c>
      <c r="BB897" s="27"/>
      <c r="BC897" s="27"/>
      <c r="BD897" s="51"/>
      <c r="BE897" s="52"/>
      <c r="BF897" s="27"/>
      <c r="BG897" s="58" t="s">
        <v>2932</v>
      </c>
      <c r="BH897" s="53" t="str">
        <f>'[1]2023'!Q1190</f>
        <v>#REF!</v>
      </c>
      <c r="BI897" s="27"/>
      <c r="BJ897" s="27"/>
      <c r="BK897" s="27" t="s">
        <v>64</v>
      </c>
      <c r="BL897" s="27"/>
    </row>
    <row r="898" ht="14.25" customHeight="1">
      <c r="A898" s="26" t="s">
        <v>111</v>
      </c>
      <c r="B898" s="26" t="s">
        <v>56</v>
      </c>
      <c r="C898" s="26" t="s">
        <v>57</v>
      </c>
      <c r="D898" s="26" t="s">
        <v>71</v>
      </c>
      <c r="E898" s="27" t="s">
        <v>2933</v>
      </c>
      <c r="F898" s="28" t="s">
        <v>2934</v>
      </c>
      <c r="G898" s="30" t="s">
        <v>464</v>
      </c>
      <c r="H898" s="30">
        <v>45162.0</v>
      </c>
      <c r="I898" s="30">
        <v>45527.0</v>
      </c>
      <c r="J898" s="31" t="s">
        <v>2935</v>
      </c>
      <c r="K898" s="26" t="s">
        <v>455</v>
      </c>
      <c r="L898" s="32" t="s">
        <v>487</v>
      </c>
      <c r="M898" s="33">
        <v>19675.0</v>
      </c>
      <c r="N898" s="34">
        <v>21190.0</v>
      </c>
      <c r="O898" s="27" t="s">
        <v>76</v>
      </c>
      <c r="P898" s="35" t="s">
        <v>142</v>
      </c>
      <c r="Q898" s="35" t="s">
        <v>108</v>
      </c>
      <c r="R898" s="36" t="e">
        <v>#VALUE!</v>
      </c>
      <c r="S898" s="35" t="s">
        <v>86</v>
      </c>
      <c r="T898" s="35">
        <v>0.0</v>
      </c>
      <c r="U898" s="37" t="s">
        <v>115</v>
      </c>
      <c r="V898" s="38">
        <v>815000.0</v>
      </c>
      <c r="W898" s="38"/>
      <c r="X898" s="27"/>
      <c r="Y898" s="39"/>
      <c r="Z898" s="39" t="s">
        <v>2936</v>
      </c>
      <c r="AA898" s="39"/>
      <c r="AB898" s="27"/>
      <c r="AC898" s="27">
        <f t="shared" si="619"/>
        <v>0</v>
      </c>
      <c r="AD898" s="41">
        <f t="shared" si="713"/>
        <v>2951.25</v>
      </c>
      <c r="AE898" s="42">
        <v>400.0</v>
      </c>
      <c r="AF898" s="27" t="s">
        <v>1980</v>
      </c>
      <c r="AG898" s="43">
        <f t="shared" si="716"/>
        <v>4672.8125</v>
      </c>
      <c r="AH898" s="29">
        <v>44994.0</v>
      </c>
      <c r="AI898" s="29">
        <v>45086.0</v>
      </c>
      <c r="AJ898" s="29"/>
      <c r="AK898" s="29">
        <v>45055.0</v>
      </c>
      <c r="AL898" s="27"/>
      <c r="AM898" s="44"/>
      <c r="AN898" s="47"/>
      <c r="AO898" s="46"/>
      <c r="AP898" s="47"/>
      <c r="AQ898" s="43">
        <f>IF(U898="Motor Plus",(M898*27%),IF(U898="Motor One",(M898*22%),(IF(U898="Golden",(M898*25%),(IF(U898="Classic",(M898*15%),(IF(U898="Wethaq",(M898*28%),IF(U898="Alwataniya",(M898*21%))*0))))))))</f>
        <v>4918.75</v>
      </c>
      <c r="AR898" s="43">
        <f t="shared" si="448"/>
        <v>245.9375</v>
      </c>
      <c r="AS898" s="43">
        <f t="shared" si="449"/>
        <v>860.78125</v>
      </c>
      <c r="AT898" s="48">
        <f t="shared" si="700"/>
        <v>3812.03125</v>
      </c>
      <c r="AU898" s="49">
        <f t="shared" si="701"/>
        <v>3812.03125</v>
      </c>
      <c r="AV898" s="48"/>
      <c r="AW898" s="34">
        <f t="shared" si="540"/>
        <v>17838.75</v>
      </c>
      <c r="AX898" s="50">
        <f t="shared" si="413"/>
        <v>460.78125</v>
      </c>
      <c r="AY898" s="43"/>
      <c r="AZ898" s="47"/>
      <c r="BA898" s="48">
        <f t="shared" si="697"/>
        <v>3812.03125</v>
      </c>
      <c r="BB898" s="27"/>
      <c r="BC898" s="27"/>
      <c r="BD898" s="51"/>
      <c r="BE898" s="52"/>
      <c r="BF898" s="27"/>
      <c r="BG898" s="53">
        <v>0.0</v>
      </c>
      <c r="BH898" s="53" t="str">
        <f>'[1]2023'!Q1199</f>
        <v>#REF!</v>
      </c>
      <c r="BI898" s="27"/>
      <c r="BJ898" s="27"/>
      <c r="BK898" s="27" t="s">
        <v>76</v>
      </c>
      <c r="BL898" s="27"/>
    </row>
    <row r="899" ht="14.25" customHeight="1">
      <c r="A899" s="26" t="s">
        <v>68</v>
      </c>
      <c r="B899" s="26" t="s">
        <v>56</v>
      </c>
      <c r="C899" s="26" t="s">
        <v>57</v>
      </c>
      <c r="D899" s="26" t="s">
        <v>58</v>
      </c>
      <c r="E899" s="27" t="s">
        <v>2937</v>
      </c>
      <c r="F899" s="28" t="s">
        <v>2938</v>
      </c>
      <c r="G899" s="29">
        <v>45162.0</v>
      </c>
      <c r="H899" s="30">
        <v>45162.0</v>
      </c>
      <c r="I899" s="30">
        <v>45527.0</v>
      </c>
      <c r="J899" s="31">
        <v>0.0</v>
      </c>
      <c r="K899" s="26" t="s">
        <v>455</v>
      </c>
      <c r="L899" s="69">
        <v>44995.0</v>
      </c>
      <c r="M899" s="33">
        <v>18944.58</v>
      </c>
      <c r="N899" s="34">
        <v>20300.0</v>
      </c>
      <c r="O899" s="27" t="s">
        <v>76</v>
      </c>
      <c r="P899" s="35" t="s">
        <v>162</v>
      </c>
      <c r="Q899" s="35">
        <v>0.0</v>
      </c>
      <c r="R899" s="36">
        <v>45181.0</v>
      </c>
      <c r="S899" s="35" t="s">
        <v>78</v>
      </c>
      <c r="T899" s="54" t="s">
        <v>510</v>
      </c>
      <c r="U899" s="37" t="s">
        <v>68</v>
      </c>
      <c r="V899" s="38"/>
      <c r="W899" s="38"/>
      <c r="X899" s="27"/>
      <c r="Y899" s="39"/>
      <c r="Z899" s="39"/>
      <c r="AA899" s="39"/>
      <c r="AB899" s="27"/>
      <c r="AC899" s="27">
        <f t="shared" si="619"/>
        <v>0</v>
      </c>
      <c r="AD899" s="41"/>
      <c r="AE899" s="42"/>
      <c r="AF899" s="27"/>
      <c r="AG899" s="177">
        <f>IF(O899="Paid",IF(A899="Wethaq",(M899*29.81%)-((M899*29.81%)*5%)))</f>
        <v>5365.010333</v>
      </c>
      <c r="AH899" s="29"/>
      <c r="AI899" s="29" t="s">
        <v>1324</v>
      </c>
      <c r="AJ899" s="40">
        <v>0.2981</v>
      </c>
      <c r="AK899" s="29" t="s">
        <v>1325</v>
      </c>
      <c r="AL899" s="27"/>
      <c r="AM899" s="44"/>
      <c r="AN899" s="56"/>
      <c r="AO899" s="95">
        <f>M899*AJ899-((M899*AJ899)*22.5%)</f>
        <v>4376.718956</v>
      </c>
      <c r="AP899" s="47" t="s">
        <v>1325</v>
      </c>
      <c r="AQ899" s="43">
        <f>IF(U899="Motor Plus",(M899*27%),IF(U899="Motor One",(M899*22%),(IF(U899="Golden",(M899*25%),(IF(U899="Classic",(M899*15%),(IF(U899="Wethaq",(M899*29.81%),IF(U899="Alwataniya",(M899*21%))*0))))))))</f>
        <v>5647.379298</v>
      </c>
      <c r="AR899" s="43">
        <f t="shared" si="448"/>
        <v>282.3689649</v>
      </c>
      <c r="AS899" s="43">
        <f t="shared" si="449"/>
        <v>988.2913772</v>
      </c>
      <c r="AT899" s="48">
        <f t="shared" si="700"/>
        <v>4376.718956</v>
      </c>
      <c r="AU899" s="49" t="str">
        <f>AQ899-AR899-AS899-AC899-#REF!</f>
        <v>#REF!</v>
      </c>
      <c r="AV899" s="48"/>
      <c r="AW899" s="34">
        <f t="shared" si="540"/>
        <v>20300</v>
      </c>
      <c r="AX899" s="50">
        <f t="shared" si="413"/>
        <v>0</v>
      </c>
      <c r="AY899" s="43"/>
      <c r="AZ899" s="47"/>
      <c r="BA899" s="48" t="str">
        <f>IF(S899&lt;&gt;0,AU899-#REF!-AM899,(AG899-AD899-AE899-AS899))</f>
        <v>#REF!</v>
      </c>
      <c r="BB899" s="27"/>
      <c r="BC899" s="27"/>
      <c r="BD899" s="51"/>
      <c r="BE899" s="52"/>
      <c r="BF899" s="27"/>
      <c r="BG899" s="53">
        <v>0.0</v>
      </c>
      <c r="BH899" s="53" t="str">
        <f>'[1]2023'!Q1253</f>
        <v>#REF!</v>
      </c>
      <c r="BI899" s="27"/>
      <c r="BJ899" s="27"/>
      <c r="BK899" s="27" t="s">
        <v>76</v>
      </c>
      <c r="BL899" s="27"/>
    </row>
    <row r="900" ht="14.25" customHeight="1">
      <c r="A900" s="26" t="s">
        <v>55</v>
      </c>
      <c r="B900" s="26" t="s">
        <v>56</v>
      </c>
      <c r="C900" s="26" t="s">
        <v>57</v>
      </c>
      <c r="D900" s="26" t="s">
        <v>81</v>
      </c>
      <c r="E900" s="27" t="s">
        <v>2939</v>
      </c>
      <c r="F900" s="28" t="s">
        <v>2940</v>
      </c>
      <c r="G900" s="29" t="s">
        <v>1979</v>
      </c>
      <c r="H900" s="30">
        <v>45164.0</v>
      </c>
      <c r="I900" s="30">
        <v>45529.0</v>
      </c>
      <c r="J900" s="31">
        <v>0.0</v>
      </c>
      <c r="K900" s="26" t="s">
        <v>455</v>
      </c>
      <c r="L900" s="32" t="s">
        <v>75</v>
      </c>
      <c r="M900" s="33">
        <v>30975.0</v>
      </c>
      <c r="N900" s="34">
        <v>33098.41</v>
      </c>
      <c r="O900" s="27" t="s">
        <v>76</v>
      </c>
      <c r="P900" s="35" t="s">
        <v>89</v>
      </c>
      <c r="Q900" s="35">
        <v>0.0</v>
      </c>
      <c r="R900" s="36" t="e">
        <v>#VALUE!</v>
      </c>
      <c r="S900" s="35" t="s">
        <v>86</v>
      </c>
      <c r="T900" s="35">
        <v>0.0</v>
      </c>
      <c r="U900" s="37" t="s">
        <v>67</v>
      </c>
      <c r="V900" s="38"/>
      <c r="W900" s="38"/>
      <c r="X900" s="27"/>
      <c r="Y900" s="39"/>
      <c r="Z900" s="39"/>
      <c r="AA900" s="39"/>
      <c r="AB900" s="40"/>
      <c r="AC900" s="27">
        <f t="shared" si="619"/>
        <v>0</v>
      </c>
      <c r="AD900" s="41">
        <f t="shared" ref="AD900:AD901" si="717">IF(AND(S900="0",O900="Paid"),(M900*15%)-AC900,0)</f>
        <v>4646.25</v>
      </c>
      <c r="AE900" s="42"/>
      <c r="AF900" s="27"/>
      <c r="AG900" s="43">
        <f t="shared" ref="AG900:AG902" si="718">IF(O900="Paid",IF(A900="Alwataniya",(M900*21%)-((M900*21%)*5%),IF((A900="GIG"),(M900*25%)-((M900*25%)*5%),IF((A900="Allianz"),(M900*27%)-((M900*27%)*5%),0))),0)</f>
        <v>7945.0875</v>
      </c>
      <c r="AH900" s="29"/>
      <c r="AI900" s="29"/>
      <c r="AJ900" s="29"/>
      <c r="AK900" s="29"/>
      <c r="AL900" s="27"/>
      <c r="AM900" s="44"/>
      <c r="AN900" s="47"/>
      <c r="AO900" s="46"/>
      <c r="AP900" s="47"/>
      <c r="AQ900" s="43">
        <f>IF(U900="Motor Plus",(M900*27%),IF(U900="Motor One",(M900*22%),(IF(U900="Golden",(M900*25%),(IF(U900="Classic",(M900*15%),(IF(U900="Wethaq",(M900*28%),IF(U900="Alwataniya",(M900*21%))*0))))))))</f>
        <v>8363.25</v>
      </c>
      <c r="AR900" s="43">
        <f t="shared" si="448"/>
        <v>418.1625</v>
      </c>
      <c r="AS900" s="43">
        <f t="shared" si="449"/>
        <v>1463.56875</v>
      </c>
      <c r="AT900" s="48">
        <f t="shared" si="700"/>
        <v>6481.51875</v>
      </c>
      <c r="AU900" s="49">
        <f t="shared" ref="AU900:AU910" si="719">AQ900-AR900-AS900-AC900-AO900</f>
        <v>6481.51875</v>
      </c>
      <c r="AV900" s="48"/>
      <c r="AW900" s="34">
        <f t="shared" si="540"/>
        <v>28452.16</v>
      </c>
      <c r="AX900" s="50">
        <f t="shared" si="413"/>
        <v>1835.26875</v>
      </c>
      <c r="AY900" s="43"/>
      <c r="AZ900" s="47"/>
      <c r="BA900" s="48">
        <f t="shared" ref="BA900:BA910" si="720">IF(S900&lt;&gt;0,AU900-AO900-AM900,(AG900-AD900-AE900-AS900))</f>
        <v>6481.51875</v>
      </c>
      <c r="BB900" s="27"/>
      <c r="BC900" s="27"/>
      <c r="BD900" s="51"/>
      <c r="BE900" s="52"/>
      <c r="BF900" s="27" t="s">
        <v>2939</v>
      </c>
      <c r="BG900" s="53">
        <v>0.0</v>
      </c>
      <c r="BH900" s="53" t="str">
        <f>'[1]2023'!Q1042</f>
        <v>#REF!</v>
      </c>
      <c r="BI900" s="27"/>
      <c r="BJ900" s="27"/>
      <c r="BK900" s="27" t="s">
        <v>76</v>
      </c>
      <c r="BL900" s="27"/>
    </row>
    <row r="901" ht="14.25" customHeight="1">
      <c r="A901" s="26" t="s">
        <v>55</v>
      </c>
      <c r="B901" s="26" t="s">
        <v>56</v>
      </c>
      <c r="C901" s="26" t="s">
        <v>57</v>
      </c>
      <c r="D901" s="26" t="s">
        <v>81</v>
      </c>
      <c r="E901" s="27" t="s">
        <v>2941</v>
      </c>
      <c r="F901" s="28" t="s">
        <v>2942</v>
      </c>
      <c r="G901" s="29">
        <v>45164.0</v>
      </c>
      <c r="H901" s="30">
        <v>45164.0</v>
      </c>
      <c r="I901" s="30">
        <v>45529.0</v>
      </c>
      <c r="J901" s="31" t="s">
        <v>2943</v>
      </c>
      <c r="K901" s="26" t="s">
        <v>931</v>
      </c>
      <c r="L901" s="69">
        <v>44937.0</v>
      </c>
      <c r="M901" s="33">
        <v>15795.0</v>
      </c>
      <c r="N901" s="34">
        <v>16946.87</v>
      </c>
      <c r="O901" s="27" t="s">
        <v>76</v>
      </c>
      <c r="P901" s="35" t="s">
        <v>89</v>
      </c>
      <c r="Q901" s="35" t="s">
        <v>108</v>
      </c>
      <c r="R901" s="36">
        <v>45164.0</v>
      </c>
      <c r="S901" s="35" t="s">
        <v>86</v>
      </c>
      <c r="T901" s="35">
        <v>0.0</v>
      </c>
      <c r="U901" s="37" t="s">
        <v>67</v>
      </c>
      <c r="V901" s="38">
        <v>810000.0</v>
      </c>
      <c r="W901" s="78">
        <v>454860.0</v>
      </c>
      <c r="X901" s="27">
        <v>2020.0</v>
      </c>
      <c r="Y901" s="79" t="s">
        <v>2944</v>
      </c>
      <c r="Z901" s="39"/>
      <c r="AA901" s="39"/>
      <c r="AB901" s="27"/>
      <c r="AC901" s="27">
        <f t="shared" si="619"/>
        <v>0</v>
      </c>
      <c r="AD901" s="41">
        <f t="shared" si="717"/>
        <v>2369.25</v>
      </c>
      <c r="AE901" s="42"/>
      <c r="AF901" s="188">
        <v>45259.0</v>
      </c>
      <c r="AG901" s="43">
        <f t="shared" si="718"/>
        <v>4051.4175</v>
      </c>
      <c r="AH901" s="29"/>
      <c r="AI901" s="29"/>
      <c r="AJ901" s="29"/>
      <c r="AK901" s="29"/>
      <c r="AL901" s="27"/>
      <c r="AM901" s="44"/>
      <c r="AN901" s="47"/>
      <c r="AO901" s="46"/>
      <c r="AP901" s="47"/>
      <c r="AQ901" s="43">
        <f>IF(O901="Paid",IF(U901="Motor Plus",(M901*27%),IF(U901="Motor One",(M901*22%),(IF(U901="Golden",(M901*25%),(IF(U901="Classic",(M901*15%),(IF(U901="Wethaq",(M901*28%),IF(U901="Alwataniya",(M901*21%))*0)))))))))</f>
        <v>4264.65</v>
      </c>
      <c r="AR901" s="43">
        <f t="shared" si="448"/>
        <v>213.2325</v>
      </c>
      <c r="AS901" s="43">
        <f t="shared" si="449"/>
        <v>746.31375</v>
      </c>
      <c r="AT901" s="48">
        <f t="shared" si="700"/>
        <v>3305.10375</v>
      </c>
      <c r="AU901" s="49">
        <f t="shared" si="719"/>
        <v>3305.10375</v>
      </c>
      <c r="AV901" s="48"/>
      <c r="AW901" s="34">
        <f t="shared" si="540"/>
        <v>14577.62</v>
      </c>
      <c r="AX901" s="50">
        <f t="shared" si="413"/>
        <v>935.85375</v>
      </c>
      <c r="AY901" s="43"/>
      <c r="AZ901" s="47"/>
      <c r="BA901" s="48">
        <f t="shared" si="720"/>
        <v>3305.10375</v>
      </c>
      <c r="BB901" s="27"/>
      <c r="BC901" s="27"/>
      <c r="BD901" s="51"/>
      <c r="BE901" s="52"/>
      <c r="BF901" s="27"/>
      <c r="BG901" s="53">
        <v>0.0</v>
      </c>
      <c r="BH901" s="53" t="str">
        <f>'[1]2023'!Q1518</f>
        <v>#REF!</v>
      </c>
      <c r="BI901" s="27"/>
      <c r="BJ901" s="27"/>
      <c r="BK901" s="27" t="s">
        <v>76</v>
      </c>
      <c r="BL901" s="27"/>
    </row>
    <row r="902" ht="14.25" customHeight="1">
      <c r="A902" s="26" t="s">
        <v>55</v>
      </c>
      <c r="B902" s="26" t="s">
        <v>56</v>
      </c>
      <c r="C902" s="26" t="s">
        <v>57</v>
      </c>
      <c r="D902" s="26" t="s">
        <v>81</v>
      </c>
      <c r="E902" s="27" t="s">
        <v>2945</v>
      </c>
      <c r="F902" s="28" t="s">
        <v>2946</v>
      </c>
      <c r="G902" s="29">
        <v>45165.0</v>
      </c>
      <c r="H902" s="30">
        <v>45165.0</v>
      </c>
      <c r="I902" s="30">
        <v>45530.0</v>
      </c>
      <c r="J902" s="31">
        <v>0.0</v>
      </c>
      <c r="K902" s="26" t="s">
        <v>887</v>
      </c>
      <c r="L902" s="32" t="s">
        <v>2369</v>
      </c>
      <c r="M902" s="33">
        <v>20900.0</v>
      </c>
      <c r="N902" s="34">
        <v>22274.1</v>
      </c>
      <c r="O902" s="27" t="s">
        <v>76</v>
      </c>
      <c r="P902" s="35" t="s">
        <v>122</v>
      </c>
      <c r="Q902" s="35" t="s">
        <v>65</v>
      </c>
      <c r="R902" s="36">
        <v>45165.0</v>
      </c>
      <c r="S902" s="35" t="s">
        <v>86</v>
      </c>
      <c r="T902" s="35">
        <v>0.0</v>
      </c>
      <c r="U902" s="37" t="s">
        <v>67</v>
      </c>
      <c r="V902" s="38"/>
      <c r="W902" s="38"/>
      <c r="X902" s="27"/>
      <c r="Y902" s="39"/>
      <c r="Z902" s="39"/>
      <c r="AA902" s="39"/>
      <c r="AB902" s="40"/>
      <c r="AC902" s="27">
        <f t="shared" si="619"/>
        <v>0</v>
      </c>
      <c r="AD902" s="41"/>
      <c r="AE902" s="42"/>
      <c r="AF902" s="27"/>
      <c r="AG902" s="43">
        <f t="shared" si="718"/>
        <v>5360.85</v>
      </c>
      <c r="AH902" s="29"/>
      <c r="AI902" s="29"/>
      <c r="AJ902" s="29"/>
      <c r="AK902" s="29"/>
      <c r="AL902" s="27"/>
      <c r="AM902" s="44"/>
      <c r="AN902" s="47"/>
      <c r="AO902" s="46"/>
      <c r="AP902" s="47"/>
      <c r="AQ902" s="43">
        <f t="shared" ref="AQ902:AQ907" si="721">IF(U902="Motor Plus",(M902*27%),IF(U902="Motor One",(M902*22%),(IF(U902="Golden",(M902*25%),(IF(U902="Classic",(M902*15%),(IF(U902="Wethaq",(M902*28%),IF(U902="Alwataniya",(M902*21%))*0))))))))</f>
        <v>5643</v>
      </c>
      <c r="AR902" s="43">
        <f t="shared" si="448"/>
        <v>282.15</v>
      </c>
      <c r="AS902" s="43">
        <f t="shared" si="449"/>
        <v>987.525</v>
      </c>
      <c r="AT902" s="48">
        <f t="shared" si="700"/>
        <v>4373.325</v>
      </c>
      <c r="AU902" s="49">
        <f t="shared" si="719"/>
        <v>4373.325</v>
      </c>
      <c r="AV902" s="48"/>
      <c r="AW902" s="34">
        <f t="shared" si="540"/>
        <v>22274.1</v>
      </c>
      <c r="AX902" s="50">
        <f t="shared" si="413"/>
        <v>4373.325</v>
      </c>
      <c r="AY902" s="43"/>
      <c r="AZ902" s="47"/>
      <c r="BA902" s="48">
        <f t="shared" si="720"/>
        <v>4373.325</v>
      </c>
      <c r="BB902" s="27"/>
      <c r="BC902" s="27"/>
      <c r="BD902" s="51"/>
      <c r="BE902" s="52"/>
      <c r="BF902" s="27" t="s">
        <v>2945</v>
      </c>
      <c r="BG902" s="53">
        <v>0.0</v>
      </c>
      <c r="BH902" s="53" t="str">
        <f>'[1]2023'!Q1079</f>
        <v>#REF!</v>
      </c>
      <c r="BI902" s="27"/>
      <c r="BJ902" s="27"/>
      <c r="BK902" s="27" t="s">
        <v>76</v>
      </c>
      <c r="BL902" s="27"/>
    </row>
    <row r="903" ht="14.25" customHeight="1">
      <c r="A903" s="26" t="s">
        <v>111</v>
      </c>
      <c r="B903" s="26" t="s">
        <v>56</v>
      </c>
      <c r="C903" s="26" t="s">
        <v>57</v>
      </c>
      <c r="D903" s="26" t="s">
        <v>71</v>
      </c>
      <c r="E903" s="27" t="s">
        <v>2947</v>
      </c>
      <c r="F903" s="28" t="s">
        <v>2948</v>
      </c>
      <c r="G903" s="29" t="s">
        <v>2949</v>
      </c>
      <c r="H903" s="30">
        <v>45165.0</v>
      </c>
      <c r="I903" s="30">
        <v>45530.0</v>
      </c>
      <c r="J903" s="31" t="s">
        <v>2950</v>
      </c>
      <c r="K903" s="26" t="s">
        <v>455</v>
      </c>
      <c r="L903" s="32" t="s">
        <v>487</v>
      </c>
      <c r="M903" s="33">
        <v>15032.14</v>
      </c>
      <c r="N903" s="34">
        <v>16250.0</v>
      </c>
      <c r="O903" s="27" t="s">
        <v>76</v>
      </c>
      <c r="P903" s="35" t="s">
        <v>142</v>
      </c>
      <c r="Q903" s="35" t="s">
        <v>108</v>
      </c>
      <c r="R903" s="36" t="e">
        <v>#VALUE!</v>
      </c>
      <c r="S903" s="35" t="s">
        <v>86</v>
      </c>
      <c r="T903" s="35">
        <v>0.0</v>
      </c>
      <c r="U903" s="37" t="s">
        <v>115</v>
      </c>
      <c r="V903" s="38">
        <v>625000.0</v>
      </c>
      <c r="W903" s="38"/>
      <c r="X903" s="27"/>
      <c r="Y903" s="39"/>
      <c r="Z903" s="79" t="s">
        <v>2951</v>
      </c>
      <c r="AA903" s="39"/>
      <c r="AB903" s="27"/>
      <c r="AC903" s="27">
        <f t="shared" si="619"/>
        <v>0</v>
      </c>
      <c r="AD903" s="41">
        <f t="shared" ref="AD903:AD904" si="722">IF(AND(S903="0",O903="Paid"),(M903*15%)-AC903,0)</f>
        <v>2254.821</v>
      </c>
      <c r="AE903" s="42">
        <v>250.0</v>
      </c>
      <c r="AF903" s="27" t="s">
        <v>1980</v>
      </c>
      <c r="AG903" s="43">
        <f>IF(O903="Paid",IF(A903="Alwataniya",(M903*21%)-((M903*21%)*5%),IF((A903="GIG"),(M903*25%)-((M903*25%)*5%),IF((A903="Allianz"),(M903*27%)-((M903*27%)*20%),0))),0)</f>
        <v>3570.13325</v>
      </c>
      <c r="AH903" s="29">
        <v>44994.0</v>
      </c>
      <c r="AI903" s="29">
        <v>45086.0</v>
      </c>
      <c r="AJ903" s="29"/>
      <c r="AK903" s="29">
        <v>45055.0</v>
      </c>
      <c r="AL903" s="27"/>
      <c r="AM903" s="44"/>
      <c r="AN903" s="47"/>
      <c r="AO903" s="46"/>
      <c r="AP903" s="47"/>
      <c r="AQ903" s="43">
        <f t="shared" si="721"/>
        <v>3758.035</v>
      </c>
      <c r="AR903" s="43">
        <f t="shared" si="448"/>
        <v>187.90175</v>
      </c>
      <c r="AS903" s="43">
        <f t="shared" si="449"/>
        <v>657.656125</v>
      </c>
      <c r="AT903" s="48">
        <f t="shared" si="700"/>
        <v>2912.477125</v>
      </c>
      <c r="AU903" s="49">
        <f t="shared" si="719"/>
        <v>2912.477125</v>
      </c>
      <c r="AV903" s="48"/>
      <c r="AW903" s="34">
        <f t="shared" si="540"/>
        <v>13745.179</v>
      </c>
      <c r="AX903" s="50">
        <f t="shared" si="413"/>
        <v>407.656125</v>
      </c>
      <c r="AY903" s="43"/>
      <c r="AZ903" s="47"/>
      <c r="BA903" s="48">
        <f t="shared" si="720"/>
        <v>2912.477125</v>
      </c>
      <c r="BB903" s="27"/>
      <c r="BC903" s="27"/>
      <c r="BD903" s="51"/>
      <c r="BE903" s="52"/>
      <c r="BF903" s="27"/>
      <c r="BG903" s="53">
        <v>0.0</v>
      </c>
      <c r="BH903" s="53" t="str">
        <f>'[1]2023'!Q1205</f>
        <v>#REF!</v>
      </c>
      <c r="BI903" s="27"/>
      <c r="BJ903" s="27"/>
      <c r="BK903" s="27" t="s">
        <v>76</v>
      </c>
      <c r="BL903" s="27"/>
    </row>
    <row r="904" ht="14.25" customHeight="1">
      <c r="A904" s="26" t="s">
        <v>55</v>
      </c>
      <c r="B904" s="26" t="s">
        <v>56</v>
      </c>
      <c r="C904" s="26" t="s">
        <v>57</v>
      </c>
      <c r="D904" s="26" t="s">
        <v>58</v>
      </c>
      <c r="E904" s="27" t="s">
        <v>2952</v>
      </c>
      <c r="F904" s="28" t="s">
        <v>2953</v>
      </c>
      <c r="G904" s="29" t="s">
        <v>2949</v>
      </c>
      <c r="H904" s="30">
        <v>45165.0</v>
      </c>
      <c r="I904" s="30">
        <v>45530.0</v>
      </c>
      <c r="J904" s="31" t="s">
        <v>2954</v>
      </c>
      <c r="K904" s="26" t="s">
        <v>455</v>
      </c>
      <c r="L904" s="32" t="s">
        <v>63</v>
      </c>
      <c r="M904" s="33">
        <v>6639.09</v>
      </c>
      <c r="N904" s="34">
        <v>7030.79</v>
      </c>
      <c r="O904" s="27" t="s">
        <v>76</v>
      </c>
      <c r="P904" s="35" t="s">
        <v>89</v>
      </c>
      <c r="Q904" s="35" t="s">
        <v>85</v>
      </c>
      <c r="R904" s="36" t="e">
        <v>#VALUE!</v>
      </c>
      <c r="S904" s="35" t="s">
        <v>86</v>
      </c>
      <c r="T904" s="35">
        <v>0.0</v>
      </c>
      <c r="U904" s="37" t="s">
        <v>67</v>
      </c>
      <c r="V904" s="38"/>
      <c r="W904" s="38"/>
      <c r="X904" s="27"/>
      <c r="Y904" s="39"/>
      <c r="Z904" s="39"/>
      <c r="AA904" s="39"/>
      <c r="AB904" s="27"/>
      <c r="AC904" s="27">
        <f t="shared" si="619"/>
        <v>0</v>
      </c>
      <c r="AD904" s="41">
        <f t="shared" si="722"/>
        <v>995.8635</v>
      </c>
      <c r="AE904" s="42"/>
      <c r="AF904" s="27"/>
      <c r="AG904" s="43">
        <f t="shared" ref="AG904:AG905" si="723">IF(O904="Paid",IF(A904="Alwataniya",(M904*21%)-((M904*21%)*5%),IF((A904="GIG"),(M904*25%)-((M904*25%)*5%),IF((A904="Allianz"),(M904*27%)-((M904*27%)*5%),0))),0)</f>
        <v>1702.926585</v>
      </c>
      <c r="AH904" s="29"/>
      <c r="AI904" s="29"/>
      <c r="AJ904" s="29"/>
      <c r="AK904" s="29"/>
      <c r="AL904" s="27"/>
      <c r="AM904" s="44">
        <f>((M904*25%)-AC904-((M904*25%)*22.5%))*30%</f>
        <v>385.8971063</v>
      </c>
      <c r="AN904" s="179">
        <v>45148.0</v>
      </c>
      <c r="AO904" s="46"/>
      <c r="AP904" s="47"/>
      <c r="AQ904" s="43">
        <f t="shared" si="721"/>
        <v>1792.5543</v>
      </c>
      <c r="AR904" s="43">
        <f t="shared" si="448"/>
        <v>89.627715</v>
      </c>
      <c r="AS904" s="43">
        <f t="shared" si="449"/>
        <v>313.6970025</v>
      </c>
      <c r="AT904" s="48">
        <f t="shared" si="700"/>
        <v>1389.229583</v>
      </c>
      <c r="AU904" s="49">
        <f t="shared" si="719"/>
        <v>1389.229583</v>
      </c>
      <c r="AV904" s="48"/>
      <c r="AW904" s="34">
        <f t="shared" si="540"/>
        <v>6034.9265</v>
      </c>
      <c r="AX904" s="50">
        <f t="shared" si="413"/>
        <v>7.46897625</v>
      </c>
      <c r="AY904" s="43"/>
      <c r="AZ904" s="47"/>
      <c r="BA904" s="48">
        <f t="shared" si="720"/>
        <v>1003.332476</v>
      </c>
      <c r="BB904" s="27"/>
      <c r="BC904" s="27"/>
      <c r="BD904" s="51"/>
      <c r="BE904" s="52"/>
      <c r="BF904" s="27"/>
      <c r="BG904" s="58" t="s">
        <v>2955</v>
      </c>
      <c r="BH904" s="53" t="str">
        <f>'[1]2023'!Q1228</f>
        <v>#REF!</v>
      </c>
      <c r="BI904" s="27"/>
      <c r="BJ904" s="27"/>
      <c r="BK904" s="27" t="s">
        <v>76</v>
      </c>
      <c r="BL904" s="27"/>
    </row>
    <row r="905" ht="14.25" customHeight="1">
      <c r="A905" s="26" t="s">
        <v>55</v>
      </c>
      <c r="B905" s="26" t="s">
        <v>56</v>
      </c>
      <c r="C905" s="26" t="s">
        <v>57</v>
      </c>
      <c r="D905" s="26" t="s">
        <v>81</v>
      </c>
      <c r="E905" s="27" t="s">
        <v>2956</v>
      </c>
      <c r="F905" s="28" t="s">
        <v>2957</v>
      </c>
      <c r="G905" s="29" t="s">
        <v>2949</v>
      </c>
      <c r="H905" s="30">
        <v>45165.0</v>
      </c>
      <c r="I905" s="30">
        <v>45530.0</v>
      </c>
      <c r="J905" s="31">
        <v>0.0</v>
      </c>
      <c r="K905" s="26" t="s">
        <v>455</v>
      </c>
      <c r="L905" s="69">
        <v>45025.0</v>
      </c>
      <c r="M905" s="33">
        <v>22687.5</v>
      </c>
      <c r="N905" s="34">
        <v>24280.51</v>
      </c>
      <c r="O905" s="27" t="s">
        <v>76</v>
      </c>
      <c r="P905" s="35" t="s">
        <v>89</v>
      </c>
      <c r="Q905" s="35" t="s">
        <v>65</v>
      </c>
      <c r="R905" s="36" t="e">
        <v>#VALUE!</v>
      </c>
      <c r="S905" s="35" t="s">
        <v>78</v>
      </c>
      <c r="T905" s="54" t="s">
        <v>2958</v>
      </c>
      <c r="U905" s="37" t="s">
        <v>67</v>
      </c>
      <c r="V905" s="38"/>
      <c r="W905" s="38"/>
      <c r="X905" s="27"/>
      <c r="Y905" s="39"/>
      <c r="Z905" s="39"/>
      <c r="AA905" s="39"/>
      <c r="AB905" s="27"/>
      <c r="AC905" s="27">
        <f t="shared" si="619"/>
        <v>0</v>
      </c>
      <c r="AD905" s="41"/>
      <c r="AE905" s="42"/>
      <c r="AF905" s="27"/>
      <c r="AG905" s="43">
        <f t="shared" si="723"/>
        <v>5819.34375</v>
      </c>
      <c r="AH905" s="29"/>
      <c r="AI905" s="29"/>
      <c r="AJ905" s="29"/>
      <c r="AK905" s="29"/>
      <c r="AL905" s="27"/>
      <c r="AM905" s="44"/>
      <c r="AN905" s="47"/>
      <c r="AO905" s="46">
        <f>M905*15%</f>
        <v>3403.125</v>
      </c>
      <c r="AP905" s="57">
        <v>45116.0</v>
      </c>
      <c r="AQ905" s="43">
        <f t="shared" si="721"/>
        <v>6125.625</v>
      </c>
      <c r="AR905" s="43">
        <f t="shared" si="448"/>
        <v>306.28125</v>
      </c>
      <c r="AS905" s="43">
        <f t="shared" si="449"/>
        <v>1071.984375</v>
      </c>
      <c r="AT905" s="48">
        <f t="shared" si="700"/>
        <v>4747.359375</v>
      </c>
      <c r="AU905" s="49">
        <f t="shared" si="719"/>
        <v>1344.234375</v>
      </c>
      <c r="AV905" s="48"/>
      <c r="AW905" s="34">
        <f t="shared" si="540"/>
        <v>24280.51</v>
      </c>
      <c r="AX905" s="50">
        <f t="shared" si="413"/>
        <v>1344.234375</v>
      </c>
      <c r="AY905" s="43"/>
      <c r="AZ905" s="47"/>
      <c r="BA905" s="48">
        <f t="shared" si="720"/>
        <v>-2058.890625</v>
      </c>
      <c r="BB905" s="27"/>
      <c r="BC905" s="27"/>
      <c r="BD905" s="51"/>
      <c r="BE905" s="52"/>
      <c r="BF905" s="27"/>
      <c r="BG905" s="53">
        <v>0.0</v>
      </c>
      <c r="BH905" s="53" t="str">
        <f>'[1]2023'!Q1265</f>
        <v>#REF!</v>
      </c>
      <c r="BI905" s="27"/>
      <c r="BJ905" s="27"/>
      <c r="BK905" s="27" t="s">
        <v>76</v>
      </c>
      <c r="BL905" s="27"/>
    </row>
    <row r="906" ht="14.25" customHeight="1">
      <c r="A906" s="26" t="s">
        <v>111</v>
      </c>
      <c r="B906" s="26" t="s">
        <v>56</v>
      </c>
      <c r="C906" s="26" t="s">
        <v>57</v>
      </c>
      <c r="D906" s="26" t="s">
        <v>71</v>
      </c>
      <c r="E906" s="27" t="s">
        <v>2959</v>
      </c>
      <c r="F906" s="28" t="s">
        <v>2960</v>
      </c>
      <c r="G906" s="29" t="s">
        <v>2806</v>
      </c>
      <c r="H906" s="30">
        <v>45166.0</v>
      </c>
      <c r="I906" s="30">
        <v>45531.0</v>
      </c>
      <c r="J906" s="31" t="s">
        <v>2961</v>
      </c>
      <c r="K906" s="26" t="s">
        <v>455</v>
      </c>
      <c r="L906" s="32" t="s">
        <v>487</v>
      </c>
      <c r="M906" s="33">
        <v>32992.67</v>
      </c>
      <c r="N906" s="34">
        <v>35360.0</v>
      </c>
      <c r="O906" s="27" t="s">
        <v>76</v>
      </c>
      <c r="P906" s="35" t="s">
        <v>142</v>
      </c>
      <c r="Q906" s="35" t="s">
        <v>108</v>
      </c>
      <c r="R906" s="36" t="e">
        <v>#VALUE!</v>
      </c>
      <c r="S906" s="35" t="s">
        <v>86</v>
      </c>
      <c r="T906" s="35">
        <v>0.0</v>
      </c>
      <c r="U906" s="37" t="s">
        <v>115</v>
      </c>
      <c r="V906" s="38">
        <v>1360000.0</v>
      </c>
      <c r="W906" s="38"/>
      <c r="X906" s="27"/>
      <c r="Y906" s="39"/>
      <c r="Z906" s="39" t="s">
        <v>2962</v>
      </c>
      <c r="AA906" s="39"/>
      <c r="AB906" s="27"/>
      <c r="AC906" s="27">
        <f t="shared" si="619"/>
        <v>0</v>
      </c>
      <c r="AD906" s="41">
        <f t="shared" ref="AD906:AD908" si="724">IF(AND(S906="0",O906="Paid"),(M906*15%)-AC906,0)</f>
        <v>4948.9005</v>
      </c>
      <c r="AE906" s="42">
        <v>750.0</v>
      </c>
      <c r="AF906" s="27" t="s">
        <v>1980</v>
      </c>
      <c r="AG906" s="43">
        <f t="shared" ref="AG906:AG908" si="725">IF(O906="Paid",IF(A906="Alwataniya",(M906*21%)-((M906*21%)*5%),IF((A906="GIG"),(M906*25%)-((M906*25%)*5%),IF((A906="Allianz"),(M906*27%)-((M906*27%)*20%),0))),0)</f>
        <v>7835.759125</v>
      </c>
      <c r="AH906" s="29">
        <v>44994.0</v>
      </c>
      <c r="AI906" s="29">
        <v>45086.0</v>
      </c>
      <c r="AJ906" s="29"/>
      <c r="AK906" s="29">
        <v>45055.0</v>
      </c>
      <c r="AL906" s="27"/>
      <c r="AM906" s="44"/>
      <c r="AN906" s="47"/>
      <c r="AO906" s="46"/>
      <c r="AP906" s="47"/>
      <c r="AQ906" s="43">
        <f t="shared" si="721"/>
        <v>8248.1675</v>
      </c>
      <c r="AR906" s="43">
        <f t="shared" si="448"/>
        <v>412.408375</v>
      </c>
      <c r="AS906" s="43">
        <f t="shared" si="449"/>
        <v>1443.429313</v>
      </c>
      <c r="AT906" s="48">
        <f t="shared" si="700"/>
        <v>6392.329813</v>
      </c>
      <c r="AU906" s="49">
        <f t="shared" si="719"/>
        <v>6392.329813</v>
      </c>
      <c r="AV906" s="48"/>
      <c r="AW906" s="34">
        <f t="shared" si="540"/>
        <v>29661.0995</v>
      </c>
      <c r="AX906" s="50">
        <f t="shared" si="413"/>
        <v>693.4293125</v>
      </c>
      <c r="AY906" s="43"/>
      <c r="AZ906" s="47"/>
      <c r="BA906" s="48">
        <f t="shared" si="720"/>
        <v>6392.329813</v>
      </c>
      <c r="BB906" s="27"/>
      <c r="BC906" s="27"/>
      <c r="BD906" s="51"/>
      <c r="BE906" s="52"/>
      <c r="BF906" s="27"/>
      <c r="BG906" s="53">
        <v>0.0</v>
      </c>
      <c r="BH906" s="53" t="str">
        <f>'[1]2023'!Q1208</f>
        <v>#REF!</v>
      </c>
      <c r="BI906" s="27"/>
      <c r="BJ906" s="27"/>
      <c r="BK906" s="27" t="s">
        <v>76</v>
      </c>
      <c r="BL906" s="27"/>
    </row>
    <row r="907" ht="14.25" customHeight="1">
      <c r="A907" s="26" t="s">
        <v>111</v>
      </c>
      <c r="B907" s="26" t="s">
        <v>56</v>
      </c>
      <c r="C907" s="26" t="s">
        <v>57</v>
      </c>
      <c r="D907" s="26" t="s">
        <v>71</v>
      </c>
      <c r="E907" s="27" t="s">
        <v>2963</v>
      </c>
      <c r="F907" s="28" t="s">
        <v>2964</v>
      </c>
      <c r="G907" s="29" t="s">
        <v>2806</v>
      </c>
      <c r="H907" s="30">
        <v>45166.0</v>
      </c>
      <c r="I907" s="30">
        <v>45531.0</v>
      </c>
      <c r="J907" s="31" t="s">
        <v>2965</v>
      </c>
      <c r="K907" s="26" t="s">
        <v>455</v>
      </c>
      <c r="L907" s="32" t="s">
        <v>487</v>
      </c>
      <c r="M907" s="33">
        <v>26394.92</v>
      </c>
      <c r="N907" s="34">
        <v>28340.0</v>
      </c>
      <c r="O907" s="27" t="s">
        <v>76</v>
      </c>
      <c r="P907" s="35" t="s">
        <v>142</v>
      </c>
      <c r="Q907" s="35" t="s">
        <v>108</v>
      </c>
      <c r="R907" s="36" t="e">
        <v>#VALUE!</v>
      </c>
      <c r="S907" s="35" t="s">
        <v>86</v>
      </c>
      <c r="T907" s="35">
        <v>0.0</v>
      </c>
      <c r="U907" s="37" t="s">
        <v>115</v>
      </c>
      <c r="V907" s="38">
        <v>1090000.0</v>
      </c>
      <c r="W907" s="38"/>
      <c r="X907" s="27"/>
      <c r="Y907" s="39"/>
      <c r="Z907" s="79" t="s">
        <v>2966</v>
      </c>
      <c r="AA907" s="39"/>
      <c r="AB907" s="27"/>
      <c r="AC907" s="27">
        <f t="shared" si="619"/>
        <v>0</v>
      </c>
      <c r="AD907" s="41">
        <f t="shared" si="724"/>
        <v>3959.238</v>
      </c>
      <c r="AE907" s="42">
        <v>500.0</v>
      </c>
      <c r="AF907" s="27" t="s">
        <v>1980</v>
      </c>
      <c r="AG907" s="43">
        <f t="shared" si="725"/>
        <v>6268.7935</v>
      </c>
      <c r="AH907" s="29">
        <v>44994.0</v>
      </c>
      <c r="AI907" s="29">
        <v>45086.0</v>
      </c>
      <c r="AJ907" s="29"/>
      <c r="AK907" s="29">
        <v>45055.0</v>
      </c>
      <c r="AL907" s="27"/>
      <c r="AM907" s="44"/>
      <c r="AN907" s="47"/>
      <c r="AO907" s="46"/>
      <c r="AP907" s="47"/>
      <c r="AQ907" s="43">
        <f t="shared" si="721"/>
        <v>6598.73</v>
      </c>
      <c r="AR907" s="43">
        <f t="shared" si="448"/>
        <v>329.9365</v>
      </c>
      <c r="AS907" s="43">
        <f t="shared" si="449"/>
        <v>1154.77775</v>
      </c>
      <c r="AT907" s="48">
        <f t="shared" si="700"/>
        <v>5114.01575</v>
      </c>
      <c r="AU907" s="49">
        <f t="shared" si="719"/>
        <v>5114.01575</v>
      </c>
      <c r="AV907" s="48"/>
      <c r="AW907" s="34">
        <f t="shared" si="540"/>
        <v>23880.762</v>
      </c>
      <c r="AX907" s="50">
        <f t="shared" si="413"/>
        <v>654.77775</v>
      </c>
      <c r="AY907" s="43"/>
      <c r="AZ907" s="47"/>
      <c r="BA907" s="48">
        <f t="shared" si="720"/>
        <v>5114.01575</v>
      </c>
      <c r="BB907" s="27"/>
      <c r="BC907" s="27"/>
      <c r="BD907" s="51"/>
      <c r="BE907" s="52"/>
      <c r="BF907" s="27"/>
      <c r="BG907" s="58" t="s">
        <v>562</v>
      </c>
      <c r="BH907" s="53" t="str">
        <f>'[1]2023'!Q1210</f>
        <v>#REF!</v>
      </c>
      <c r="BI907" s="27"/>
      <c r="BJ907" s="27"/>
      <c r="BK907" s="27" t="s">
        <v>76</v>
      </c>
      <c r="BL907" s="27"/>
    </row>
    <row r="908" ht="14.25" customHeight="1">
      <c r="A908" s="26" t="s">
        <v>111</v>
      </c>
      <c r="B908" s="26" t="s">
        <v>56</v>
      </c>
      <c r="C908" s="26" t="s">
        <v>57</v>
      </c>
      <c r="D908" s="26" t="s">
        <v>71</v>
      </c>
      <c r="E908" s="27" t="s">
        <v>2967</v>
      </c>
      <c r="F908" s="28" t="s">
        <v>2968</v>
      </c>
      <c r="G908" s="29" t="s">
        <v>2806</v>
      </c>
      <c r="H908" s="30">
        <v>45166.0</v>
      </c>
      <c r="I908" s="30">
        <v>45531.0</v>
      </c>
      <c r="J908" s="31">
        <v>0.0</v>
      </c>
      <c r="K908" s="26" t="s">
        <v>455</v>
      </c>
      <c r="L908" s="32" t="s">
        <v>63</v>
      </c>
      <c r="M908" s="33">
        <v>17720.11</v>
      </c>
      <c r="N908" s="34">
        <v>19110.0</v>
      </c>
      <c r="O908" s="27" t="s">
        <v>64</v>
      </c>
      <c r="P908" s="35">
        <v>0.0</v>
      </c>
      <c r="Q908" s="35" t="s">
        <v>108</v>
      </c>
      <c r="R908" s="36" t="e">
        <v>#VALUE!</v>
      </c>
      <c r="S908" s="35" t="s">
        <v>86</v>
      </c>
      <c r="T908" s="35">
        <v>0.0</v>
      </c>
      <c r="U908" s="37" t="s">
        <v>115</v>
      </c>
      <c r="V908" s="38">
        <v>735000.0</v>
      </c>
      <c r="W908" s="38"/>
      <c r="X908" s="27"/>
      <c r="Y908" s="39"/>
      <c r="Z908" s="79" t="s">
        <v>2969</v>
      </c>
      <c r="AA908" s="39"/>
      <c r="AB908" s="27"/>
      <c r="AC908" s="27">
        <f t="shared" si="619"/>
        <v>0</v>
      </c>
      <c r="AD908" s="41">
        <f t="shared" si="724"/>
        <v>0</v>
      </c>
      <c r="AE908" s="42">
        <v>400.0</v>
      </c>
      <c r="AF908" s="27"/>
      <c r="AG908" s="43">
        <f t="shared" si="725"/>
        <v>0</v>
      </c>
      <c r="AH908" s="29"/>
      <c r="AI908" s="29"/>
      <c r="AJ908" s="29"/>
      <c r="AK908" s="29"/>
      <c r="AL908" s="27"/>
      <c r="AM908" s="44"/>
      <c r="AN908" s="47"/>
      <c r="AO908" s="46"/>
      <c r="AP908" s="47"/>
      <c r="AQ908" s="43" t="b">
        <f>IF(O908="Paid",IF(U908="Motor Plus",(M908*27%),IF(U908="Motor One",(M908*22%),(IF(U908="Golden",(M908*25%),(IF(U908="Classic",(M908*15%),(IF(U908="Wethaq",(M908*28%),IF(U908="Alwataniya",(M908*21%))*0)))))))))</f>
        <v>0</v>
      </c>
      <c r="AR908" s="43">
        <f t="shared" si="448"/>
        <v>0</v>
      </c>
      <c r="AS908" s="43">
        <f t="shared" si="449"/>
        <v>0</v>
      </c>
      <c r="AT908" s="48">
        <f t="shared" si="700"/>
        <v>0</v>
      </c>
      <c r="AU908" s="49">
        <f t="shared" si="719"/>
        <v>0</v>
      </c>
      <c r="AV908" s="48"/>
      <c r="AW908" s="34">
        <f t="shared" si="540"/>
        <v>18710</v>
      </c>
      <c r="AX908" s="50">
        <f t="shared" si="413"/>
        <v>0</v>
      </c>
      <c r="AY908" s="43"/>
      <c r="AZ908" s="47"/>
      <c r="BA908" s="48">
        <f t="shared" si="720"/>
        <v>0</v>
      </c>
      <c r="BB908" s="27"/>
      <c r="BC908" s="27"/>
      <c r="BD908" s="51"/>
      <c r="BE908" s="52"/>
      <c r="BF908" s="27"/>
      <c r="BG908" s="53">
        <v>0.0</v>
      </c>
      <c r="BH908" s="53" t="str">
        <f>'[1]2023'!Q1214</f>
        <v>#REF!</v>
      </c>
      <c r="BI908" s="27"/>
      <c r="BJ908" s="27"/>
      <c r="BK908" s="27" t="s">
        <v>64</v>
      </c>
      <c r="BL908" s="27"/>
    </row>
    <row r="909" ht="14.25" customHeight="1">
      <c r="A909" s="26" t="s">
        <v>1634</v>
      </c>
      <c r="B909" s="26" t="s">
        <v>69</v>
      </c>
      <c r="C909" s="26" t="s">
        <v>70</v>
      </c>
      <c r="D909" s="26" t="s">
        <v>71</v>
      </c>
      <c r="E909" s="99" t="s">
        <v>2970</v>
      </c>
      <c r="F909" s="28" t="s">
        <v>2971</v>
      </c>
      <c r="G909" s="29">
        <v>45166.0</v>
      </c>
      <c r="H909" s="30">
        <v>45166.0</v>
      </c>
      <c r="I909" s="30">
        <v>45531.0</v>
      </c>
      <c r="J909" s="31">
        <v>0.0</v>
      </c>
      <c r="K909" s="26" t="s">
        <v>455</v>
      </c>
      <c r="L909" s="89">
        <v>45225.0</v>
      </c>
      <c r="M909" s="33">
        <v>40450.0</v>
      </c>
      <c r="N909" s="34">
        <v>43180.0</v>
      </c>
      <c r="O909" s="27" t="s">
        <v>76</v>
      </c>
      <c r="P909" s="35" t="s">
        <v>77</v>
      </c>
      <c r="Q909" s="35">
        <v>0.0</v>
      </c>
      <c r="R909" s="36">
        <v>45166.0</v>
      </c>
      <c r="S909" s="35" t="s">
        <v>78</v>
      </c>
      <c r="T909" s="54" t="s">
        <v>79</v>
      </c>
      <c r="U909" s="37" t="s">
        <v>69</v>
      </c>
      <c r="V909" s="38"/>
      <c r="W909" s="38"/>
      <c r="X909" s="27"/>
      <c r="Y909" s="39"/>
      <c r="Z909" s="39"/>
      <c r="AA909" s="39"/>
      <c r="AB909" s="27"/>
      <c r="AC909" s="27">
        <f t="shared" si="619"/>
        <v>0</v>
      </c>
      <c r="AD909" s="41"/>
      <c r="AE909" s="42"/>
      <c r="AF909" s="189">
        <f>(43790+15300)-(223210-208922)</f>
        <v>44802</v>
      </c>
      <c r="AG909" s="190">
        <f>(AF909*17.143%)-((AF909*17.143%)*5%)</f>
        <v>7296.386517</v>
      </c>
      <c r="AH909" s="29"/>
      <c r="AI909" s="29">
        <v>45058.0</v>
      </c>
      <c r="AJ909" s="40">
        <v>0.17143</v>
      </c>
      <c r="AK909" s="29" t="s">
        <v>2972</v>
      </c>
      <c r="AL909" s="27">
        <f>AF909*AJ909</f>
        <v>7680.40686</v>
      </c>
      <c r="AM909" s="44"/>
      <c r="AN909" s="47"/>
      <c r="AO909" s="149">
        <f>((AF909*AJ909)-((AF909*AJ909)*22.5%))*80%</f>
        <v>4761.852253</v>
      </c>
      <c r="AP909" s="71">
        <v>45294.0</v>
      </c>
      <c r="AQ909" s="43">
        <f>AF909*AJ909</f>
        <v>7680.40686</v>
      </c>
      <c r="AR909" s="43">
        <f t="shared" si="448"/>
        <v>384.020343</v>
      </c>
      <c r="AS909" s="43">
        <f t="shared" si="449"/>
        <v>1344.071201</v>
      </c>
      <c r="AT909" s="48">
        <f t="shared" si="700"/>
        <v>5952.315317</v>
      </c>
      <c r="AU909" s="49">
        <f t="shared" si="719"/>
        <v>1190.463063</v>
      </c>
      <c r="AV909" s="48"/>
      <c r="AW909" s="34">
        <f t="shared" si="540"/>
        <v>43180</v>
      </c>
      <c r="AX909" s="50">
        <f t="shared" si="413"/>
        <v>-6489.943797</v>
      </c>
      <c r="AY909" s="43"/>
      <c r="AZ909" s="47"/>
      <c r="BA909" s="48">
        <f t="shared" si="720"/>
        <v>-3571.38919</v>
      </c>
      <c r="BB909" s="27"/>
      <c r="BC909" s="27"/>
      <c r="BD909" s="51"/>
      <c r="BE909" s="52"/>
      <c r="BF909" s="27"/>
      <c r="BG909" s="58" t="s">
        <v>2973</v>
      </c>
      <c r="BH909" s="53" t="str">
        <f>'[1]2023'!Q1226</f>
        <v>#REF!</v>
      </c>
      <c r="BI909" s="27"/>
      <c r="BJ909" s="27"/>
      <c r="BK909" s="27" t="s">
        <v>76</v>
      </c>
      <c r="BL909" s="27"/>
    </row>
    <row r="910" ht="14.25" customHeight="1">
      <c r="A910" s="26" t="s">
        <v>55</v>
      </c>
      <c r="B910" s="26" t="s">
        <v>56</v>
      </c>
      <c r="C910" s="26" t="s">
        <v>57</v>
      </c>
      <c r="D910" s="26" t="s">
        <v>71</v>
      </c>
      <c r="E910" s="27" t="s">
        <v>2974</v>
      </c>
      <c r="F910" s="28" t="s">
        <v>2975</v>
      </c>
      <c r="G910" s="29" t="s">
        <v>2806</v>
      </c>
      <c r="H910" s="30">
        <v>45166.0</v>
      </c>
      <c r="I910" s="30">
        <v>45531.0</v>
      </c>
      <c r="J910" s="31" t="s">
        <v>2976</v>
      </c>
      <c r="K910" s="26" t="s">
        <v>455</v>
      </c>
      <c r="L910" s="69">
        <v>44994.0</v>
      </c>
      <c r="M910" s="33">
        <v>69492.5</v>
      </c>
      <c r="N910" s="34">
        <v>74083.01</v>
      </c>
      <c r="O910" s="27" t="s">
        <v>76</v>
      </c>
      <c r="P910" s="35" t="s">
        <v>430</v>
      </c>
      <c r="Q910" s="35" t="s">
        <v>65</v>
      </c>
      <c r="R910" s="36" t="e">
        <v>#VALUE!</v>
      </c>
      <c r="S910" s="35" t="s">
        <v>66</v>
      </c>
      <c r="T910" s="35">
        <v>0.0</v>
      </c>
      <c r="U910" s="37" t="s">
        <v>67</v>
      </c>
      <c r="V910" s="38">
        <v>2800000.0</v>
      </c>
      <c r="W910" s="78"/>
      <c r="X910" s="27">
        <v>2023.0</v>
      </c>
      <c r="Y910" s="39"/>
      <c r="Z910" s="79" t="s">
        <v>2556</v>
      </c>
      <c r="AA910" s="39"/>
      <c r="AB910" s="27"/>
      <c r="AC910" s="27">
        <f t="shared" si="619"/>
        <v>0</v>
      </c>
      <c r="AD910" s="41"/>
      <c r="AE910" s="42"/>
      <c r="AF910" s="27"/>
      <c r="AG910" s="43">
        <f>IF(O910="Paid",IF(A910="Alwataniya",(M910*21%)-((M910*21%)*5%),IF((A910="GIG"),(M910*25%)-((M910*25%)*5%),IF((A910="Allianz"),(M910*27%)-((M910*27%)*5%),0))),0)</f>
        <v>17824.82625</v>
      </c>
      <c r="AH910" s="29"/>
      <c r="AI910" s="29"/>
      <c r="AJ910" s="29"/>
      <c r="AK910" s="29"/>
      <c r="AL910" s="27"/>
      <c r="AM910" s="46">
        <f>((M910*27%)-AC910-((M910*27%)*22.5%))*30%</f>
        <v>4362.391688</v>
      </c>
      <c r="AN910" s="63" t="s">
        <v>1730</v>
      </c>
      <c r="AO910" s="46"/>
      <c r="AP910" s="47"/>
      <c r="AQ910" s="43">
        <f>IF(U910="Motor Plus",(M910*27%),IF(U910="Motor One",(M910*22%),(IF(U910="Golden",(M910*25%),(IF(U910="Classic",(M910*15%),(IF(U910="Wethaq",(M910*28%),IF(U910="Alwataniya",(M910*21%))*0))))))))</f>
        <v>18762.975</v>
      </c>
      <c r="AR910" s="43">
        <f t="shared" si="448"/>
        <v>938.14875</v>
      </c>
      <c r="AS910" s="43">
        <f t="shared" si="449"/>
        <v>3283.520625</v>
      </c>
      <c r="AT910" s="48">
        <f t="shared" si="700"/>
        <v>14541.30563</v>
      </c>
      <c r="AU910" s="49">
        <f t="shared" si="719"/>
        <v>14541.30563</v>
      </c>
      <c r="AV910" s="48"/>
      <c r="AW910" s="34">
        <f t="shared" si="540"/>
        <v>74083.01</v>
      </c>
      <c r="AX910" s="50">
        <f t="shared" si="413"/>
        <v>10178.91394</v>
      </c>
      <c r="AY910" s="43"/>
      <c r="AZ910" s="47"/>
      <c r="BA910" s="48">
        <f t="shared" si="720"/>
        <v>10178.91394</v>
      </c>
      <c r="BB910" s="27"/>
      <c r="BC910" s="27"/>
      <c r="BD910" s="51"/>
      <c r="BE910" s="52"/>
      <c r="BF910" s="27"/>
      <c r="BG910" s="58" t="s">
        <v>2977</v>
      </c>
      <c r="BH910" s="53" t="str">
        <f>'[1]2023'!Q1232</f>
        <v>#REF!</v>
      </c>
      <c r="BI910" s="27"/>
      <c r="BJ910" s="27"/>
      <c r="BK910" s="27" t="s">
        <v>76</v>
      </c>
      <c r="BL910" s="27"/>
    </row>
    <row r="911" ht="14.25" customHeight="1">
      <c r="A911" s="26" t="s">
        <v>68</v>
      </c>
      <c r="B911" s="26" t="s">
        <v>56</v>
      </c>
      <c r="C911" s="26" t="s">
        <v>57</v>
      </c>
      <c r="D911" s="26" t="s">
        <v>58</v>
      </c>
      <c r="E911" s="27" t="s">
        <v>2978</v>
      </c>
      <c r="F911" s="28" t="s">
        <v>2979</v>
      </c>
      <c r="G911" s="29">
        <v>45166.0</v>
      </c>
      <c r="H911" s="30">
        <v>45166.0</v>
      </c>
      <c r="I911" s="30">
        <v>45531.0</v>
      </c>
      <c r="J911" s="31">
        <v>0.0</v>
      </c>
      <c r="K911" s="26" t="s">
        <v>455</v>
      </c>
      <c r="L911" s="69">
        <v>44995.0</v>
      </c>
      <c r="M911" s="33">
        <v>15805.83</v>
      </c>
      <c r="N911" s="34">
        <v>16940.0</v>
      </c>
      <c r="O911" s="27" t="s">
        <v>76</v>
      </c>
      <c r="P911" s="35" t="s">
        <v>162</v>
      </c>
      <c r="Q911" s="35">
        <v>0.0</v>
      </c>
      <c r="R911" s="36">
        <v>45185.0</v>
      </c>
      <c r="S911" s="35" t="s">
        <v>78</v>
      </c>
      <c r="T911" s="54" t="s">
        <v>510</v>
      </c>
      <c r="U911" s="37" t="s">
        <v>68</v>
      </c>
      <c r="V911" s="38"/>
      <c r="W911" s="38"/>
      <c r="X911" s="27"/>
      <c r="Y911" s="39"/>
      <c r="Z911" s="39"/>
      <c r="AA911" s="39"/>
      <c r="AB911" s="27"/>
      <c r="AC911" s="27">
        <f t="shared" si="619"/>
        <v>0</v>
      </c>
      <c r="AD911" s="41"/>
      <c r="AE911" s="42"/>
      <c r="AF911" s="27"/>
      <c r="AG911" s="177">
        <f>IF(O911="Paid",IF(A911="Wethaq",(M911*29.81%)-((M911*29.81%)*5%)))</f>
        <v>4476.132027</v>
      </c>
      <c r="AH911" s="29"/>
      <c r="AI911" s="29" t="s">
        <v>1324</v>
      </c>
      <c r="AJ911" s="40">
        <v>0.2981</v>
      </c>
      <c r="AK911" s="29" t="s">
        <v>1325</v>
      </c>
      <c r="AL911" s="27"/>
      <c r="AM911" s="44"/>
      <c r="AN911" s="56"/>
      <c r="AO911" s="95">
        <f t="shared" ref="AO911:AO912" si="726">M911*AJ911-((M911*AJ911)*22.5%)</f>
        <v>3651.58139</v>
      </c>
      <c r="AP911" s="47" t="s">
        <v>1325</v>
      </c>
      <c r="AQ911" s="43">
        <f>IF(U911="Motor Plus",(M911*27%),IF(U911="Motor One",(M911*22%),(IF(U911="Golden",(M911*25%),(IF(U911="Classic",(M911*15%),(IF(U911="Wethaq",(M911*29.81%),IF(U911="Alwataniya",(M911*21%))*0))))))))</f>
        <v>4711.717923</v>
      </c>
      <c r="AR911" s="43">
        <f t="shared" si="448"/>
        <v>235.5858962</v>
      </c>
      <c r="AS911" s="43">
        <f t="shared" si="449"/>
        <v>824.5506365</v>
      </c>
      <c r="AT911" s="48">
        <f t="shared" si="700"/>
        <v>3651.58139</v>
      </c>
      <c r="AU911" s="49" t="str">
        <f>AQ911-AR911-AS911-AC911-#REF!</f>
        <v>#REF!</v>
      </c>
      <c r="AV911" s="48"/>
      <c r="AW911" s="34">
        <f t="shared" si="540"/>
        <v>16940</v>
      </c>
      <c r="AX911" s="50">
        <f t="shared" si="413"/>
        <v>0</v>
      </c>
      <c r="AY911" s="43"/>
      <c r="AZ911" s="47"/>
      <c r="BA911" s="48" t="str">
        <f>IF(S911&lt;&gt;0,AU911-#REF!-AM911,(AG911-AD911-AE911-AS911))</f>
        <v>#REF!</v>
      </c>
      <c r="BB911" s="27"/>
      <c r="BC911" s="27"/>
      <c r="BD911" s="51"/>
      <c r="BE911" s="52"/>
      <c r="BF911" s="27"/>
      <c r="BG911" s="53">
        <v>0.0</v>
      </c>
      <c r="BH911" s="53" t="str">
        <f t="shared" ref="BH911:BH912" si="727">'[1]2023'!Q1254</f>
        <v>#REF!</v>
      </c>
      <c r="BI911" s="27"/>
      <c r="BJ911" s="27"/>
      <c r="BK911" s="27" t="s">
        <v>76</v>
      </c>
      <c r="BL911" s="27"/>
    </row>
    <row r="912" ht="14.25" customHeight="1">
      <c r="A912" s="26" t="s">
        <v>68</v>
      </c>
      <c r="B912" s="26" t="s">
        <v>56</v>
      </c>
      <c r="C912" s="26" t="s">
        <v>57</v>
      </c>
      <c r="D912" s="26" t="s">
        <v>58</v>
      </c>
      <c r="E912" s="27" t="s">
        <v>2365</v>
      </c>
      <c r="F912" s="28" t="s">
        <v>2980</v>
      </c>
      <c r="G912" s="29">
        <v>45166.0</v>
      </c>
      <c r="H912" s="30">
        <v>45166.0</v>
      </c>
      <c r="I912" s="30">
        <v>45531.0</v>
      </c>
      <c r="J912" s="31">
        <v>0.0</v>
      </c>
      <c r="K912" s="26" t="s">
        <v>455</v>
      </c>
      <c r="L912" s="32" t="s">
        <v>2981</v>
      </c>
      <c r="M912" s="33">
        <v>12595.97</v>
      </c>
      <c r="N912" s="34">
        <v>13550.0</v>
      </c>
      <c r="O912" s="27" t="s">
        <v>76</v>
      </c>
      <c r="P912" s="35" t="s">
        <v>162</v>
      </c>
      <c r="Q912" s="35">
        <v>0.0</v>
      </c>
      <c r="R912" s="36">
        <v>45185.0</v>
      </c>
      <c r="S912" s="35" t="s">
        <v>78</v>
      </c>
      <c r="T912" s="54" t="s">
        <v>510</v>
      </c>
      <c r="U912" s="37" t="s">
        <v>68</v>
      </c>
      <c r="V912" s="38"/>
      <c r="W912" s="38"/>
      <c r="X912" s="27"/>
      <c r="Y912" s="39"/>
      <c r="Z912" s="39"/>
      <c r="AA912" s="39"/>
      <c r="AB912" s="27"/>
      <c r="AC912" s="27">
        <f t="shared" si="619"/>
        <v>0</v>
      </c>
      <c r="AD912" s="41"/>
      <c r="AE912" s="42"/>
      <c r="AF912" s="27"/>
      <c r="AG912" s="43">
        <f>M912*23%-((M912*23%))*5%</f>
        <v>2752.219445</v>
      </c>
      <c r="AH912" s="29"/>
      <c r="AI912" s="29" t="s">
        <v>2982</v>
      </c>
      <c r="AJ912" s="55">
        <v>0.23</v>
      </c>
      <c r="AK912" s="29">
        <v>45180.0</v>
      </c>
      <c r="AL912" s="27"/>
      <c r="AM912" s="44"/>
      <c r="AN912" s="56"/>
      <c r="AO912" s="95">
        <f t="shared" si="726"/>
        <v>2245.231653</v>
      </c>
      <c r="AP912" s="47" t="s">
        <v>1325</v>
      </c>
      <c r="AQ912" s="43">
        <f>M912*AJ912</f>
        <v>2897.0731</v>
      </c>
      <c r="AR912" s="43">
        <f t="shared" si="448"/>
        <v>144.853655</v>
      </c>
      <c r="AS912" s="43">
        <f t="shared" si="449"/>
        <v>506.9877925</v>
      </c>
      <c r="AT912" s="48">
        <f t="shared" si="700"/>
        <v>2245.231653</v>
      </c>
      <c r="AU912" s="49">
        <f>AQ912-AR912-AS912-AC912</f>
        <v>2245.231653</v>
      </c>
      <c r="AV912" s="48"/>
      <c r="AW912" s="34">
        <f t="shared" si="540"/>
        <v>13550</v>
      </c>
      <c r="AX912" s="113">
        <f t="shared" si="413"/>
        <v>0</v>
      </c>
      <c r="AY912" s="43"/>
      <c r="AZ912" s="47"/>
      <c r="BA912" s="48">
        <f t="shared" ref="BA912:BA919" si="728">IF(S912&lt;&gt;0,AU912-AO912-AM912,(AG912-AD912-AE912-AS912))</f>
        <v>0</v>
      </c>
      <c r="BB912" s="27"/>
      <c r="BC912" s="27"/>
      <c r="BD912" s="51"/>
      <c r="BE912" s="52"/>
      <c r="BF912" s="27"/>
      <c r="BG912" s="53">
        <v>0.0</v>
      </c>
      <c r="BH912" s="53" t="str">
        <f t="shared" si="727"/>
        <v>#REF!</v>
      </c>
      <c r="BI912" s="27"/>
      <c r="BJ912" s="27"/>
      <c r="BK912" s="27" t="s">
        <v>76</v>
      </c>
      <c r="BL912" s="64" t="s">
        <v>2983</v>
      </c>
    </row>
    <row r="913" ht="14.25" customHeight="1">
      <c r="A913" s="26" t="s">
        <v>55</v>
      </c>
      <c r="B913" s="26" t="s">
        <v>56</v>
      </c>
      <c r="C913" s="26" t="s">
        <v>57</v>
      </c>
      <c r="D913" s="26" t="s">
        <v>71</v>
      </c>
      <c r="E913" s="27" t="s">
        <v>2984</v>
      </c>
      <c r="F913" s="28" t="s">
        <v>2985</v>
      </c>
      <c r="G913" s="29" t="s">
        <v>2806</v>
      </c>
      <c r="H913" s="30">
        <v>45166.0</v>
      </c>
      <c r="I913" s="30">
        <v>45531.0</v>
      </c>
      <c r="J913" s="31">
        <v>0.0</v>
      </c>
      <c r="K913" s="26" t="s">
        <v>455</v>
      </c>
      <c r="L913" s="32" t="s">
        <v>63</v>
      </c>
      <c r="M913" s="33">
        <v>49225.0</v>
      </c>
      <c r="N913" s="34">
        <v>52516.41</v>
      </c>
      <c r="O913" s="27" t="s">
        <v>64</v>
      </c>
      <c r="P913" s="35">
        <v>0.0</v>
      </c>
      <c r="Q913" s="35" t="s">
        <v>108</v>
      </c>
      <c r="R913" s="36" t="e">
        <v>#VALUE!</v>
      </c>
      <c r="S913" s="35" t="s">
        <v>86</v>
      </c>
      <c r="T913" s="35">
        <v>0.0</v>
      </c>
      <c r="U913" s="37" t="s">
        <v>67</v>
      </c>
      <c r="V913" s="38">
        <v>1790000.0</v>
      </c>
      <c r="W913" s="38"/>
      <c r="X913" s="27"/>
      <c r="Y913" s="39"/>
      <c r="Z913" s="79" t="s">
        <v>1769</v>
      </c>
      <c r="AA913" s="39"/>
      <c r="AB913" s="27"/>
      <c r="AC913" s="27">
        <f t="shared" si="619"/>
        <v>0</v>
      </c>
      <c r="AD913" s="41">
        <f t="shared" ref="AD913:AD919" si="729">IF(AND(S913="0",O913="Paid"),(M913*15%)-AC913,0)</f>
        <v>0</v>
      </c>
      <c r="AE913" s="42"/>
      <c r="AF913" s="27"/>
      <c r="AG913" s="43">
        <f t="shared" ref="AG913:AG914" si="730">IF(O913="Paid",IF(A913="Alwataniya",(M913*21%)-((M913*21%)*5%),IF((A913="GIG"),(M913*25%)-((M913*25%)*5%),IF((A913="Allianz"),(M913*27%)-((M913*27%)*20%),0))),0)</f>
        <v>0</v>
      </c>
      <c r="AH913" s="29"/>
      <c r="AI913" s="29"/>
      <c r="AJ913" s="29"/>
      <c r="AK913" s="29"/>
      <c r="AL913" s="27"/>
      <c r="AM913" s="44"/>
      <c r="AN913" s="47"/>
      <c r="AO913" s="46"/>
      <c r="AP913" s="47"/>
      <c r="AQ913" s="43" t="b">
        <f>IF(O913="Paid",IF(U913="Motor Plus",(M913*27%),IF(U913="Motor One",(M913*22%),(IF(U913="Golden",(M913*25%),(IF(U913="Classic",(M913*15%),(IF(U913="Wethaq",(M913*28%),IF(U913="Alwataniya",(M913*21%))*0)))))))))</f>
        <v>0</v>
      </c>
      <c r="AR913" s="43">
        <f t="shared" si="448"/>
        <v>0</v>
      </c>
      <c r="AS913" s="43">
        <f t="shared" si="449"/>
        <v>0</v>
      </c>
      <c r="AT913" s="48">
        <f t="shared" si="700"/>
        <v>0</v>
      </c>
      <c r="AU913" s="49">
        <f t="shared" ref="AU913:AU919" si="731">AQ913-AR913-AS913-AC913-AO913</f>
        <v>0</v>
      </c>
      <c r="AV913" s="48"/>
      <c r="AW913" s="34">
        <f t="shared" si="540"/>
        <v>52516.41</v>
      </c>
      <c r="AX913" s="50">
        <f t="shared" si="413"/>
        <v>0</v>
      </c>
      <c r="AY913" s="43"/>
      <c r="AZ913" s="47"/>
      <c r="BA913" s="48">
        <f t="shared" si="728"/>
        <v>0</v>
      </c>
      <c r="BB913" s="27"/>
      <c r="BC913" s="27"/>
      <c r="BD913" s="51"/>
      <c r="BE913" s="52"/>
      <c r="BF913" s="27"/>
      <c r="BG913" s="53">
        <v>0.0</v>
      </c>
      <c r="BH913" s="53" t="str">
        <f t="shared" ref="BH913:BH914" si="732">'[1]2023'!Q1259</f>
        <v>#REF!</v>
      </c>
      <c r="BI913" s="27"/>
      <c r="BJ913" s="27"/>
      <c r="BK913" s="27" t="s">
        <v>64</v>
      </c>
      <c r="BL913" s="27"/>
    </row>
    <row r="914" ht="14.25" customHeight="1">
      <c r="A914" s="26" t="s">
        <v>111</v>
      </c>
      <c r="B914" s="26" t="s">
        <v>56</v>
      </c>
      <c r="C914" s="26" t="s">
        <v>57</v>
      </c>
      <c r="D914" s="26" t="s">
        <v>71</v>
      </c>
      <c r="E914" s="27" t="s">
        <v>2986</v>
      </c>
      <c r="F914" s="28" t="s">
        <v>2987</v>
      </c>
      <c r="G914" s="29" t="s">
        <v>2806</v>
      </c>
      <c r="H914" s="30">
        <v>45166.0</v>
      </c>
      <c r="I914" s="30">
        <v>45531.0</v>
      </c>
      <c r="J914" s="31" t="s">
        <v>2988</v>
      </c>
      <c r="K914" s="26" t="s">
        <v>455</v>
      </c>
      <c r="L914" s="69">
        <v>45025.0</v>
      </c>
      <c r="M914" s="33">
        <v>48631.77</v>
      </c>
      <c r="N914" s="34">
        <v>52000.0</v>
      </c>
      <c r="O914" s="27" t="s">
        <v>76</v>
      </c>
      <c r="P914" s="35" t="s">
        <v>142</v>
      </c>
      <c r="Q914" s="35" t="s">
        <v>108</v>
      </c>
      <c r="R914" s="36" t="e">
        <v>#VALUE!</v>
      </c>
      <c r="S914" s="35" t="s">
        <v>86</v>
      </c>
      <c r="T914" s="35">
        <v>0.0</v>
      </c>
      <c r="U914" s="37" t="s">
        <v>115</v>
      </c>
      <c r="V914" s="38">
        <v>2000000.0</v>
      </c>
      <c r="W914" s="38"/>
      <c r="X914" s="27"/>
      <c r="Y914" s="39"/>
      <c r="Z914" s="79" t="s">
        <v>2989</v>
      </c>
      <c r="AA914" s="39"/>
      <c r="AB914" s="27"/>
      <c r="AC914" s="27">
        <f t="shared" si="619"/>
        <v>0</v>
      </c>
      <c r="AD914" s="41">
        <f t="shared" si="729"/>
        <v>7294.7655</v>
      </c>
      <c r="AE914" s="42">
        <v>1000.0</v>
      </c>
      <c r="AF914" s="29">
        <v>45086.0</v>
      </c>
      <c r="AG914" s="43">
        <f t="shared" si="730"/>
        <v>11550.04538</v>
      </c>
      <c r="AH914" s="29">
        <v>45116.0</v>
      </c>
      <c r="AI914" s="29" t="s">
        <v>2764</v>
      </c>
      <c r="AJ914" s="29"/>
      <c r="AK914" s="29" t="s">
        <v>2764</v>
      </c>
      <c r="AL914" s="27"/>
      <c r="AM914" s="44"/>
      <c r="AN914" s="47"/>
      <c r="AO914" s="46"/>
      <c r="AP914" s="47"/>
      <c r="AQ914" s="43">
        <f t="shared" ref="AQ914:AQ916" si="733">IF(U914="Motor Plus",(M914*27%),IF(U914="Motor One",(M914*22%),(IF(U914="Golden",(M914*25%),(IF(U914="Classic",(M914*15%),(IF(U914="Wethaq",(M914*28%),IF(U914="Alwataniya",(M914*21%))*0))))))))</f>
        <v>12157.9425</v>
      </c>
      <c r="AR914" s="43">
        <f t="shared" si="448"/>
        <v>607.897125</v>
      </c>
      <c r="AS914" s="43">
        <f t="shared" si="449"/>
        <v>2127.639938</v>
      </c>
      <c r="AT914" s="48">
        <f t="shared" si="700"/>
        <v>9422.405438</v>
      </c>
      <c r="AU914" s="49">
        <f t="shared" si="731"/>
        <v>9422.405438</v>
      </c>
      <c r="AV914" s="48"/>
      <c r="AW914" s="34">
        <f t="shared" si="540"/>
        <v>43705.2345</v>
      </c>
      <c r="AX914" s="50">
        <f t="shared" si="413"/>
        <v>1127.639938</v>
      </c>
      <c r="AY914" s="43"/>
      <c r="AZ914" s="47"/>
      <c r="BA914" s="48">
        <f t="shared" si="728"/>
        <v>9422.405438</v>
      </c>
      <c r="BB914" s="27"/>
      <c r="BC914" s="27"/>
      <c r="BD914" s="51"/>
      <c r="BE914" s="52"/>
      <c r="BF914" s="27"/>
      <c r="BG914" s="58" t="s">
        <v>2990</v>
      </c>
      <c r="BH914" s="53" t="str">
        <f t="shared" si="732"/>
        <v>#REF!</v>
      </c>
      <c r="BI914" s="27"/>
      <c r="BJ914" s="27"/>
      <c r="BK914" s="27" t="s">
        <v>76</v>
      </c>
      <c r="BL914" s="27"/>
    </row>
    <row r="915" ht="14.25" customHeight="1">
      <c r="A915" s="26" t="s">
        <v>55</v>
      </c>
      <c r="B915" s="26" t="s">
        <v>56</v>
      </c>
      <c r="C915" s="26" t="s">
        <v>57</v>
      </c>
      <c r="D915" s="26" t="s">
        <v>81</v>
      </c>
      <c r="E915" s="27" t="s">
        <v>2991</v>
      </c>
      <c r="F915" s="28" t="s">
        <v>2992</v>
      </c>
      <c r="G915" s="29" t="s">
        <v>2993</v>
      </c>
      <c r="H915" s="30">
        <v>45167.0</v>
      </c>
      <c r="I915" s="30">
        <v>45532.0</v>
      </c>
      <c r="J915" s="31">
        <v>0.0</v>
      </c>
      <c r="K915" s="26" t="s">
        <v>455</v>
      </c>
      <c r="L915" s="32" t="s">
        <v>483</v>
      </c>
      <c r="M915" s="33">
        <v>27912.5</v>
      </c>
      <c r="N915" s="34">
        <v>29839.91</v>
      </c>
      <c r="O915" s="27" t="s">
        <v>76</v>
      </c>
      <c r="P915" s="35" t="s">
        <v>89</v>
      </c>
      <c r="Q915" s="35" t="s">
        <v>108</v>
      </c>
      <c r="R915" s="36" t="e">
        <v>#VALUE!</v>
      </c>
      <c r="S915" s="35" t="s">
        <v>86</v>
      </c>
      <c r="T915" s="35">
        <v>0.0</v>
      </c>
      <c r="U915" s="37" t="s">
        <v>67</v>
      </c>
      <c r="V915" s="38"/>
      <c r="W915" s="38"/>
      <c r="X915" s="27"/>
      <c r="Y915" s="39"/>
      <c r="Z915" s="39"/>
      <c r="AA915" s="39"/>
      <c r="AB915" s="27"/>
      <c r="AC915" s="27">
        <f t="shared" si="619"/>
        <v>0</v>
      </c>
      <c r="AD915" s="41">
        <f t="shared" si="729"/>
        <v>4186.875</v>
      </c>
      <c r="AE915" s="42"/>
      <c r="AF915" s="27" t="s">
        <v>1980</v>
      </c>
      <c r="AG915" s="43">
        <f t="shared" ref="AG915:AG919" si="734">IF(O915="Paid",IF(A915="Alwataniya",(M915*21%)-((M915*21%)*5%),IF((A915="GIG"),(M915*25%)-((M915*25%)*5%),IF((A915="Allianz"),(M915*27%)-((M915*27%)*5%),0))),0)</f>
        <v>7159.55625</v>
      </c>
      <c r="AH915" s="29"/>
      <c r="AI915" s="29"/>
      <c r="AJ915" s="29"/>
      <c r="AK915" s="29"/>
      <c r="AL915" s="27"/>
      <c r="AM915" s="44"/>
      <c r="AN915" s="47"/>
      <c r="AO915" s="46"/>
      <c r="AP915" s="47"/>
      <c r="AQ915" s="43">
        <f t="shared" si="733"/>
        <v>7536.375</v>
      </c>
      <c r="AR915" s="43">
        <f t="shared" si="448"/>
        <v>376.81875</v>
      </c>
      <c r="AS915" s="43">
        <f t="shared" si="449"/>
        <v>1318.865625</v>
      </c>
      <c r="AT915" s="48">
        <f t="shared" si="700"/>
        <v>5840.690625</v>
      </c>
      <c r="AU915" s="49">
        <f t="shared" si="731"/>
        <v>5840.690625</v>
      </c>
      <c r="AV915" s="48"/>
      <c r="AW915" s="34">
        <f t="shared" si="540"/>
        <v>25653.035</v>
      </c>
      <c r="AX915" s="50">
        <f t="shared" si="413"/>
        <v>1653.815625</v>
      </c>
      <c r="AY915" s="43"/>
      <c r="AZ915" s="47"/>
      <c r="BA915" s="48">
        <f t="shared" si="728"/>
        <v>5840.690625</v>
      </c>
      <c r="BB915" s="27"/>
      <c r="BC915" s="27"/>
      <c r="BD915" s="51"/>
      <c r="BE915" s="52"/>
      <c r="BF915" s="27" t="s">
        <v>2991</v>
      </c>
      <c r="BG915" s="53">
        <v>0.0</v>
      </c>
      <c r="BH915" s="53" t="str">
        <f>'[1]2023'!Q1091</f>
        <v>#REF!</v>
      </c>
      <c r="BI915" s="27"/>
      <c r="BJ915" s="27"/>
      <c r="BK915" s="27" t="s">
        <v>76</v>
      </c>
      <c r="BL915" s="27"/>
    </row>
    <row r="916" ht="14.25" customHeight="1">
      <c r="A916" s="26" t="s">
        <v>55</v>
      </c>
      <c r="B916" s="26" t="s">
        <v>56</v>
      </c>
      <c r="C916" s="26" t="s">
        <v>57</v>
      </c>
      <c r="D916" s="26" t="s">
        <v>81</v>
      </c>
      <c r="E916" s="27" t="s">
        <v>2994</v>
      </c>
      <c r="F916" s="28" t="s">
        <v>2995</v>
      </c>
      <c r="G916" s="29">
        <v>45167.0</v>
      </c>
      <c r="H916" s="30">
        <v>45167.0</v>
      </c>
      <c r="I916" s="30">
        <v>45532.0</v>
      </c>
      <c r="J916" s="31" t="s">
        <v>2996</v>
      </c>
      <c r="K916" s="26" t="s">
        <v>455</v>
      </c>
      <c r="L916" s="69">
        <v>45055.0</v>
      </c>
      <c r="M916" s="33">
        <v>24750.0</v>
      </c>
      <c r="N916" s="34">
        <v>26475.0</v>
      </c>
      <c r="O916" s="27" t="s">
        <v>76</v>
      </c>
      <c r="P916" s="35" t="s">
        <v>430</v>
      </c>
      <c r="Q916" s="35" t="s">
        <v>108</v>
      </c>
      <c r="R916" s="36">
        <v>45167.0</v>
      </c>
      <c r="S916" s="35" t="s">
        <v>86</v>
      </c>
      <c r="T916" s="35">
        <v>0.0</v>
      </c>
      <c r="U916" s="37" t="s">
        <v>67</v>
      </c>
      <c r="V916" s="38"/>
      <c r="W916" s="38"/>
      <c r="X916" s="27"/>
      <c r="Y916" s="39"/>
      <c r="Z916" s="39"/>
      <c r="AA916" s="39"/>
      <c r="AB916" s="27"/>
      <c r="AC916" s="27">
        <f t="shared" si="619"/>
        <v>0</v>
      </c>
      <c r="AD916" s="41">
        <f t="shared" si="729"/>
        <v>3712.5</v>
      </c>
      <c r="AE916" s="42"/>
      <c r="AF916" s="27" t="s">
        <v>1312</v>
      </c>
      <c r="AG916" s="43">
        <f t="shared" si="734"/>
        <v>6348.375</v>
      </c>
      <c r="AH916" s="29"/>
      <c r="AI916" s="29"/>
      <c r="AJ916" s="29"/>
      <c r="AK916" s="29"/>
      <c r="AL916" s="27"/>
      <c r="AM916" s="44"/>
      <c r="AN916" s="47"/>
      <c r="AO916" s="46"/>
      <c r="AP916" s="47"/>
      <c r="AQ916" s="43">
        <f t="shared" si="733"/>
        <v>6682.5</v>
      </c>
      <c r="AR916" s="43">
        <f t="shared" si="448"/>
        <v>334.125</v>
      </c>
      <c r="AS916" s="43">
        <f t="shared" si="449"/>
        <v>1169.4375</v>
      </c>
      <c r="AT916" s="48">
        <f t="shared" si="700"/>
        <v>5178.9375</v>
      </c>
      <c r="AU916" s="49">
        <f t="shared" si="731"/>
        <v>5178.9375</v>
      </c>
      <c r="AV916" s="48"/>
      <c r="AW916" s="34">
        <f t="shared" si="540"/>
        <v>22762.5</v>
      </c>
      <c r="AX916" s="50">
        <f t="shared" si="413"/>
        <v>1466.4375</v>
      </c>
      <c r="AY916" s="43"/>
      <c r="AZ916" s="47"/>
      <c r="BA916" s="48">
        <f t="shared" si="728"/>
        <v>5178.9375</v>
      </c>
      <c r="BB916" s="27"/>
      <c r="BC916" s="27"/>
      <c r="BD916" s="51"/>
      <c r="BE916" s="52"/>
      <c r="BF916" s="27" t="s">
        <v>2994</v>
      </c>
      <c r="BG916" s="53">
        <v>0.0</v>
      </c>
      <c r="BH916" s="53" t="str">
        <f>'[1]2023'!Q1097</f>
        <v>#REF!</v>
      </c>
      <c r="BI916" s="27"/>
      <c r="BJ916" s="27"/>
      <c r="BK916" s="27" t="s">
        <v>76</v>
      </c>
      <c r="BL916" s="27"/>
    </row>
    <row r="917" ht="14.25" customHeight="1">
      <c r="A917" s="26" t="s">
        <v>55</v>
      </c>
      <c r="B917" s="26" t="s">
        <v>56</v>
      </c>
      <c r="C917" s="26" t="s">
        <v>57</v>
      </c>
      <c r="D917" s="26" t="s">
        <v>58</v>
      </c>
      <c r="E917" s="27" t="s">
        <v>2997</v>
      </c>
      <c r="F917" s="28" t="s">
        <v>2998</v>
      </c>
      <c r="G917" s="29" t="s">
        <v>2993</v>
      </c>
      <c r="H917" s="30">
        <v>45167.0</v>
      </c>
      <c r="I917" s="30">
        <v>45532.0</v>
      </c>
      <c r="J917" s="31" t="s">
        <v>2999</v>
      </c>
      <c r="K917" s="26" t="s">
        <v>455</v>
      </c>
      <c r="L917" s="32" t="s">
        <v>63</v>
      </c>
      <c r="M917" s="33">
        <v>3108.6</v>
      </c>
      <c r="N917" s="34">
        <v>3292.01</v>
      </c>
      <c r="O917" s="27" t="s">
        <v>76</v>
      </c>
      <c r="P917" s="35" t="s">
        <v>122</v>
      </c>
      <c r="Q917" s="35" t="s">
        <v>90</v>
      </c>
      <c r="R917" s="36" t="e">
        <v>#VALUE!</v>
      </c>
      <c r="S917" s="35" t="s">
        <v>86</v>
      </c>
      <c r="T917" s="35">
        <v>0.0</v>
      </c>
      <c r="U917" s="37" t="s">
        <v>67</v>
      </c>
      <c r="V917" s="38"/>
      <c r="W917" s="38"/>
      <c r="X917" s="27"/>
      <c r="Y917" s="39"/>
      <c r="Z917" s="39"/>
      <c r="AA917" s="39"/>
      <c r="AB917" s="27"/>
      <c r="AC917" s="27">
        <f t="shared" si="619"/>
        <v>0</v>
      </c>
      <c r="AD917" s="41">
        <f t="shared" si="729"/>
        <v>466.29</v>
      </c>
      <c r="AE917" s="42"/>
      <c r="AF917" s="27"/>
      <c r="AG917" s="43">
        <f t="shared" si="734"/>
        <v>797.3559</v>
      </c>
      <c r="AH917" s="29"/>
      <c r="AI917" s="29"/>
      <c r="AJ917" s="29"/>
      <c r="AK917" s="29"/>
      <c r="AL917" s="27"/>
      <c r="AM917" s="44"/>
      <c r="AN917" s="47"/>
      <c r="AO917" s="46"/>
      <c r="AP917" s="47"/>
      <c r="AQ917" s="43">
        <f>IF(O917="Paid",IF(U917="Motor Plus",(M917*27%),IF(U917="Motor One",(M917*22%),(IF(U917="Golden",(M917*25%),(IF(U917="Classic",(M917*15%),(IF(U917="Wethaq",(M917*28%),IF(U917="Alwataniya",(M917*21%))*0)))))))))</f>
        <v>839.322</v>
      </c>
      <c r="AR917" s="43">
        <f t="shared" si="448"/>
        <v>41.9661</v>
      </c>
      <c r="AS917" s="43">
        <f t="shared" si="449"/>
        <v>146.88135</v>
      </c>
      <c r="AT917" s="48">
        <f t="shared" si="700"/>
        <v>650.47455</v>
      </c>
      <c r="AU917" s="49">
        <f t="shared" si="731"/>
        <v>650.47455</v>
      </c>
      <c r="AV917" s="48"/>
      <c r="AW917" s="34">
        <f t="shared" si="540"/>
        <v>2825.72</v>
      </c>
      <c r="AX917" s="50">
        <f t="shared" si="413"/>
        <v>184.18455</v>
      </c>
      <c r="AY917" s="43"/>
      <c r="AZ917" s="47"/>
      <c r="BA917" s="48">
        <f t="shared" si="728"/>
        <v>650.47455</v>
      </c>
      <c r="BB917" s="27"/>
      <c r="BC917" s="27"/>
      <c r="BD917" s="51"/>
      <c r="BE917" s="52"/>
      <c r="BF917" s="27"/>
      <c r="BG917" s="58" t="s">
        <v>3000</v>
      </c>
      <c r="BH917" s="53" t="str">
        <f t="shared" ref="BH917:BH918" si="735">'[1]2023'!Q1218</f>
        <v>#REF!</v>
      </c>
      <c r="BI917" s="27"/>
      <c r="BJ917" s="27"/>
      <c r="BK917" s="27" t="s">
        <v>76</v>
      </c>
      <c r="BL917" s="27"/>
    </row>
    <row r="918" ht="14.25" customHeight="1">
      <c r="A918" s="26" t="s">
        <v>55</v>
      </c>
      <c r="B918" s="26" t="s">
        <v>56</v>
      </c>
      <c r="C918" s="26" t="s">
        <v>57</v>
      </c>
      <c r="D918" s="26" t="s">
        <v>58</v>
      </c>
      <c r="E918" s="27" t="s">
        <v>3001</v>
      </c>
      <c r="F918" s="28" t="s">
        <v>3002</v>
      </c>
      <c r="G918" s="29" t="s">
        <v>2993</v>
      </c>
      <c r="H918" s="30">
        <v>45167.0</v>
      </c>
      <c r="I918" s="30">
        <v>45532.0</v>
      </c>
      <c r="J918" s="31" t="s">
        <v>3003</v>
      </c>
      <c r="K918" s="26" t="s">
        <v>455</v>
      </c>
      <c r="L918" s="32" t="s">
        <v>2867</v>
      </c>
      <c r="M918" s="33">
        <v>2825.4</v>
      </c>
      <c r="N918" s="34">
        <v>2992.1</v>
      </c>
      <c r="O918" s="27" t="s">
        <v>76</v>
      </c>
      <c r="P918" s="35" t="s">
        <v>122</v>
      </c>
      <c r="Q918" s="35" t="s">
        <v>90</v>
      </c>
      <c r="R918" s="36" t="e">
        <v>#VALUE!</v>
      </c>
      <c r="S918" s="35" t="s">
        <v>86</v>
      </c>
      <c r="T918" s="35">
        <v>0.0</v>
      </c>
      <c r="U918" s="37" t="s">
        <v>67</v>
      </c>
      <c r="V918" s="38"/>
      <c r="W918" s="38"/>
      <c r="X918" s="27"/>
      <c r="Y918" s="39"/>
      <c r="Z918" s="39"/>
      <c r="AA918" s="39"/>
      <c r="AB918" s="27"/>
      <c r="AC918" s="27">
        <f t="shared" si="619"/>
        <v>0</v>
      </c>
      <c r="AD918" s="41">
        <f t="shared" si="729"/>
        <v>423.81</v>
      </c>
      <c r="AE918" s="42"/>
      <c r="AF918" s="27"/>
      <c r="AG918" s="43">
        <f t="shared" si="734"/>
        <v>724.7151</v>
      </c>
      <c r="AH918" s="29"/>
      <c r="AI918" s="29"/>
      <c r="AJ918" s="29"/>
      <c r="AK918" s="29"/>
      <c r="AL918" s="27"/>
      <c r="AM918" s="44">
        <f>((M918*25%)-AC918-((M918*25%)*22.5%))*30%</f>
        <v>164.226375</v>
      </c>
      <c r="AN918" s="179">
        <v>45148.0</v>
      </c>
      <c r="AO918" s="46"/>
      <c r="AP918" s="47"/>
      <c r="AQ918" s="43">
        <f>IF(U918="Motor Plus",(M918*27%),IF(U918="Motor One",(M918*22%),(IF(U918="Golden",(M918*25%),(IF(U918="Classic",(M918*15%),(IF(U918="Wethaq",(M918*28%),IF(U918="Alwataniya",(M918*21%))*0))))))))</f>
        <v>762.858</v>
      </c>
      <c r="AR918" s="43">
        <f t="shared" si="448"/>
        <v>38.1429</v>
      </c>
      <c r="AS918" s="43">
        <f t="shared" si="449"/>
        <v>133.50015</v>
      </c>
      <c r="AT918" s="48">
        <f t="shared" si="700"/>
        <v>591.21495</v>
      </c>
      <c r="AU918" s="49">
        <f t="shared" si="731"/>
        <v>591.21495</v>
      </c>
      <c r="AV918" s="48"/>
      <c r="AW918" s="34">
        <f t="shared" si="540"/>
        <v>2568.29</v>
      </c>
      <c r="AX918" s="50">
        <f t="shared" si="413"/>
        <v>3.178575</v>
      </c>
      <c r="AY918" s="43"/>
      <c r="AZ918" s="47"/>
      <c r="BA918" s="48">
        <f t="shared" si="728"/>
        <v>426.988575</v>
      </c>
      <c r="BB918" s="27"/>
      <c r="BC918" s="27"/>
      <c r="BD918" s="51"/>
      <c r="BE918" s="52"/>
      <c r="BF918" s="27"/>
      <c r="BG918" s="58" t="s">
        <v>3004</v>
      </c>
      <c r="BH918" s="53" t="str">
        <f t="shared" si="735"/>
        <v>#REF!</v>
      </c>
      <c r="BI918" s="27"/>
      <c r="BJ918" s="27"/>
      <c r="BK918" s="27" t="s">
        <v>76</v>
      </c>
      <c r="BL918" s="27"/>
    </row>
    <row r="919" ht="14.25" customHeight="1">
      <c r="A919" s="26" t="s">
        <v>55</v>
      </c>
      <c r="B919" s="26" t="s">
        <v>56</v>
      </c>
      <c r="C919" s="26" t="s">
        <v>57</v>
      </c>
      <c r="D919" s="26" t="s">
        <v>81</v>
      </c>
      <c r="E919" s="27" t="s">
        <v>3005</v>
      </c>
      <c r="F919" s="28" t="s">
        <v>3006</v>
      </c>
      <c r="G919" s="29">
        <v>45167.0</v>
      </c>
      <c r="H919" s="30">
        <v>45167.0</v>
      </c>
      <c r="I919" s="30">
        <v>45532.0</v>
      </c>
      <c r="J919" s="31" t="s">
        <v>3007</v>
      </c>
      <c r="K919" s="26" t="s">
        <v>455</v>
      </c>
      <c r="L919" s="32" t="s">
        <v>63</v>
      </c>
      <c r="M919" s="33">
        <v>0.0</v>
      </c>
      <c r="N919" s="34">
        <v>0.0</v>
      </c>
      <c r="O919" s="27" t="s">
        <v>64</v>
      </c>
      <c r="P919" s="35">
        <v>0.0</v>
      </c>
      <c r="Q919" s="35">
        <v>0.0</v>
      </c>
      <c r="R919" s="36">
        <v>45167.0</v>
      </c>
      <c r="S919" s="35" t="s">
        <v>86</v>
      </c>
      <c r="T919" s="35">
        <v>0.0</v>
      </c>
      <c r="U919" s="37" t="s">
        <v>67</v>
      </c>
      <c r="V919" s="38"/>
      <c r="W919" s="78"/>
      <c r="X919" s="27"/>
      <c r="Y919" s="39"/>
      <c r="Z919" s="39"/>
      <c r="AA919" s="39"/>
      <c r="AB919" s="27"/>
      <c r="AC919" s="27">
        <f t="shared" si="619"/>
        <v>0</v>
      </c>
      <c r="AD919" s="41">
        <f t="shared" si="729"/>
        <v>0</v>
      </c>
      <c r="AE919" s="42"/>
      <c r="AF919" s="27"/>
      <c r="AG919" s="43">
        <f t="shared" si="734"/>
        <v>0</v>
      </c>
      <c r="AH919" s="29"/>
      <c r="AI919" s="29"/>
      <c r="AJ919" s="29"/>
      <c r="AK919" s="29"/>
      <c r="AL919" s="27"/>
      <c r="AM919" s="44"/>
      <c r="AN919" s="47"/>
      <c r="AO919" s="46"/>
      <c r="AP919" s="47"/>
      <c r="AQ919" s="43" t="b">
        <f>IF(O919="Paid",IF(U919="Motor Plus",(M919*27%),IF(U919="Motor One",(M919*22%),(IF(U919="Golden",(M919*25%),(IF(U919="Classic",(M919*15%),(IF(U919="Wethaq",(M919*28%),IF(U919="Alwataniya",(M919*21%))*0)))))))))</f>
        <v>0</v>
      </c>
      <c r="AR919" s="43">
        <f t="shared" si="448"/>
        <v>0</v>
      </c>
      <c r="AS919" s="43">
        <f t="shared" si="449"/>
        <v>0</v>
      </c>
      <c r="AT919" s="48">
        <f t="shared" si="700"/>
        <v>0</v>
      </c>
      <c r="AU919" s="49">
        <f t="shared" si="731"/>
        <v>0</v>
      </c>
      <c r="AV919" s="48"/>
      <c r="AW919" s="34">
        <f t="shared" si="540"/>
        <v>0</v>
      </c>
      <c r="AX919" s="50">
        <f t="shared" si="413"/>
        <v>0</v>
      </c>
      <c r="AY919" s="43"/>
      <c r="AZ919" s="47"/>
      <c r="BA919" s="48">
        <f t="shared" si="728"/>
        <v>0</v>
      </c>
      <c r="BB919" s="27"/>
      <c r="BC919" s="27"/>
      <c r="BD919" s="51"/>
      <c r="BE919" s="52"/>
      <c r="BF919" s="27"/>
      <c r="BG919" s="58" t="s">
        <v>3008</v>
      </c>
      <c r="BH919" s="53" t="str">
        <f>'[1]2023'!Q1427</f>
        <v>#REF!</v>
      </c>
      <c r="BI919" s="27"/>
      <c r="BJ919" s="27"/>
      <c r="BK919" s="27" t="s">
        <v>64</v>
      </c>
      <c r="BL919" s="27"/>
    </row>
    <row r="920" ht="14.25" customHeight="1">
      <c r="A920" s="26" t="s">
        <v>1634</v>
      </c>
      <c r="B920" s="26" t="s">
        <v>69</v>
      </c>
      <c r="C920" s="26" t="s">
        <v>57</v>
      </c>
      <c r="D920" s="26" t="s">
        <v>71</v>
      </c>
      <c r="E920" s="27" t="s">
        <v>3009</v>
      </c>
      <c r="F920" s="26" t="s">
        <v>2240</v>
      </c>
      <c r="G920" s="29" t="s">
        <v>2707</v>
      </c>
      <c r="H920" s="30">
        <v>45168.0</v>
      </c>
      <c r="I920" s="30">
        <v>45533.0</v>
      </c>
      <c r="J920" s="31">
        <v>0.0</v>
      </c>
      <c r="K920" s="26" t="s">
        <v>455</v>
      </c>
      <c r="L920" s="32" t="s">
        <v>63</v>
      </c>
      <c r="M920" s="33">
        <v>18669.0</v>
      </c>
      <c r="N920" s="34">
        <v>17787.0</v>
      </c>
      <c r="O920" s="27" t="s">
        <v>76</v>
      </c>
      <c r="P920" s="35" t="s">
        <v>77</v>
      </c>
      <c r="Q920" s="35">
        <v>0.0</v>
      </c>
      <c r="R920" s="36" t="e">
        <v>#VALUE!</v>
      </c>
      <c r="S920" s="35" t="s">
        <v>78</v>
      </c>
      <c r="T920" s="54" t="s">
        <v>79</v>
      </c>
      <c r="U920" s="37" t="s">
        <v>1634</v>
      </c>
      <c r="V920" s="38"/>
      <c r="W920" s="38"/>
      <c r="X920" s="27"/>
      <c r="Y920" s="39"/>
      <c r="Z920" s="39"/>
      <c r="AA920" s="39"/>
      <c r="AB920" s="40"/>
      <c r="AC920" s="27">
        <f t="shared" si="619"/>
        <v>0</v>
      </c>
      <c r="AD920" s="41"/>
      <c r="AE920" s="42"/>
      <c r="AF920" s="27"/>
      <c r="AG920" s="84">
        <f>IF(O920="Paid",IF(A920="Egyptian",(M920*16.5%)-((M920*16.5%)*5%)))</f>
        <v>2926.36575</v>
      </c>
      <c r="AH920" s="29"/>
      <c r="AI920" s="29" t="s">
        <v>2369</v>
      </c>
      <c r="AJ920" s="40">
        <v>0.165</v>
      </c>
      <c r="AK920" s="29" t="s">
        <v>2370</v>
      </c>
      <c r="AL920" s="27"/>
      <c r="AM920" s="44"/>
      <c r="AN920" s="56"/>
      <c r="AO920" s="46">
        <f>((M920*AJ920)-((M920*AJ920)*22.5%))*80%</f>
        <v>1909.8387</v>
      </c>
      <c r="AP920" s="57">
        <v>44995.0</v>
      </c>
      <c r="AQ920" s="43">
        <f>M920*AJ920</f>
        <v>3080.385</v>
      </c>
      <c r="AR920" s="43">
        <f t="shared" si="448"/>
        <v>154.01925</v>
      </c>
      <c r="AS920" s="43">
        <f t="shared" si="449"/>
        <v>539.067375</v>
      </c>
      <c r="AT920" s="48">
        <f t="shared" si="700"/>
        <v>2387.298375</v>
      </c>
      <c r="AU920" s="49" t="str">
        <f>AQ920-AR920-AS920-AC920-#REF!</f>
        <v>#REF!</v>
      </c>
      <c r="AV920" s="48"/>
      <c r="AW920" s="34">
        <f t="shared" si="540"/>
        <v>17787</v>
      </c>
      <c r="AX920" s="50">
        <f t="shared" si="413"/>
        <v>477.459675</v>
      </c>
      <c r="AY920" s="43"/>
      <c r="AZ920" s="47"/>
      <c r="BA920" s="48" t="str">
        <f>IF(S920&lt;&gt;0,AU920-#REF!-AM920,(AG920-AD920-AE920-AS920))</f>
        <v>#REF!</v>
      </c>
      <c r="BB920" s="27"/>
      <c r="BC920" s="27"/>
      <c r="BD920" s="51"/>
      <c r="BE920" s="52"/>
      <c r="BF920" s="27" t="s">
        <v>3009</v>
      </c>
      <c r="BG920" s="58" t="s">
        <v>3010</v>
      </c>
      <c r="BH920" s="53" t="str">
        <f>'[1]2023'!Q962</f>
        <v>#REF!</v>
      </c>
      <c r="BI920" s="27"/>
      <c r="BJ920" s="27"/>
      <c r="BK920" s="27" t="s">
        <v>76</v>
      </c>
      <c r="BL920" s="27"/>
    </row>
    <row r="921" ht="14.25" customHeight="1">
      <c r="A921" s="26" t="s">
        <v>55</v>
      </c>
      <c r="B921" s="26" t="s">
        <v>56</v>
      </c>
      <c r="C921" s="26" t="s">
        <v>57</v>
      </c>
      <c r="D921" s="26" t="s">
        <v>81</v>
      </c>
      <c r="E921" s="27" t="s">
        <v>3011</v>
      </c>
      <c r="F921" s="28" t="s">
        <v>3012</v>
      </c>
      <c r="G921" s="29">
        <v>45168.0</v>
      </c>
      <c r="H921" s="30">
        <v>45168.0</v>
      </c>
      <c r="I921" s="30">
        <v>45533.0</v>
      </c>
      <c r="J921" s="31">
        <v>0.0</v>
      </c>
      <c r="K921" s="26" t="s">
        <v>455</v>
      </c>
      <c r="L921" s="32" t="s">
        <v>926</v>
      </c>
      <c r="M921" s="33">
        <v>29942.5</v>
      </c>
      <c r="N921" s="34">
        <v>31999.83</v>
      </c>
      <c r="O921" s="27" t="s">
        <v>76</v>
      </c>
      <c r="P921" s="35" t="s">
        <v>142</v>
      </c>
      <c r="Q921" s="35" t="s">
        <v>90</v>
      </c>
      <c r="R921" s="36">
        <v>45168.0</v>
      </c>
      <c r="S921" s="35" t="s">
        <v>86</v>
      </c>
      <c r="T921" s="35">
        <v>0.0</v>
      </c>
      <c r="U921" s="37" t="s">
        <v>67</v>
      </c>
      <c r="V921" s="38"/>
      <c r="W921" s="38"/>
      <c r="X921" s="27"/>
      <c r="Y921" s="39"/>
      <c r="Z921" s="79" t="s">
        <v>208</v>
      </c>
      <c r="AA921" s="39"/>
      <c r="AB921" s="27"/>
      <c r="AC921" s="27">
        <f t="shared" si="619"/>
        <v>0</v>
      </c>
      <c r="AD921" s="41">
        <f t="shared" ref="AD921:AD922" si="736">IF(AND(S921="0",O921="Paid"),(M921*15%)-AC921,0)</f>
        <v>4491.375</v>
      </c>
      <c r="AE921" s="42"/>
      <c r="AF921" s="29">
        <v>44967.0</v>
      </c>
      <c r="AG921" s="43">
        <f t="shared" ref="AG921:AG925" si="737">IF(O921="Paid",IF(A921="Alwataniya",(M921*21%)-((M921*21%)*5%),IF((A921="GIG"),(M921*25%)-((M921*25%)*5%),IF((A921="Allianz"),(M921*27%)-((M921*27%)*5%),0))),0)</f>
        <v>7680.25125</v>
      </c>
      <c r="AH921" s="29"/>
      <c r="AI921" s="29"/>
      <c r="AJ921" s="29"/>
      <c r="AK921" s="29"/>
      <c r="AL921" s="27"/>
      <c r="AM921" s="44"/>
      <c r="AN921" s="47"/>
      <c r="AO921" s="46"/>
      <c r="AP921" s="47"/>
      <c r="AQ921" s="43">
        <f t="shared" ref="AQ921:AQ924" si="738">IF(U921="Motor Plus",(M921*27%),IF(U921="Motor One",(M921*22%),(IF(U921="Golden",(M921*25%),(IF(U921="Classic",(M921*15%),(IF(U921="Wethaq",(M921*28%),IF(U921="Alwataniya",(M921*21%))*0))))))))</f>
        <v>8084.475</v>
      </c>
      <c r="AR921" s="43">
        <f t="shared" si="448"/>
        <v>404.22375</v>
      </c>
      <c r="AS921" s="43">
        <f t="shared" si="449"/>
        <v>1414.783125</v>
      </c>
      <c r="AT921" s="48">
        <f t="shared" si="700"/>
        <v>6265.468125</v>
      </c>
      <c r="AU921" s="49">
        <f t="shared" ref="AU921:AU932" si="739">AQ921-AR921-AS921-AC921-AO921</f>
        <v>6265.468125</v>
      </c>
      <c r="AV921" s="48"/>
      <c r="AW921" s="34">
        <f t="shared" si="540"/>
        <v>27508.455</v>
      </c>
      <c r="AX921" s="50">
        <f t="shared" si="413"/>
        <v>1774.093125</v>
      </c>
      <c r="AY921" s="43"/>
      <c r="AZ921" s="47"/>
      <c r="BA921" s="48">
        <f t="shared" ref="BA921:BA953" si="740">IF(S921&lt;&gt;0,AU921-AO921-AM921,(AG921-AD921-AE921-AS921))</f>
        <v>6265.468125</v>
      </c>
      <c r="BB921" s="27"/>
      <c r="BC921" s="27"/>
      <c r="BD921" s="51"/>
      <c r="BE921" s="52"/>
      <c r="BF921" s="27" t="s">
        <v>3011</v>
      </c>
      <c r="BG921" s="53">
        <v>0.0</v>
      </c>
      <c r="BH921" s="53" t="str">
        <f>'[1]2023'!Q1094</f>
        <v>#REF!</v>
      </c>
      <c r="BI921" s="27"/>
      <c r="BJ921" s="27"/>
      <c r="BK921" s="27" t="s">
        <v>76</v>
      </c>
      <c r="BL921" s="27"/>
    </row>
    <row r="922" ht="14.25" customHeight="1">
      <c r="A922" s="26" t="s">
        <v>55</v>
      </c>
      <c r="B922" s="26" t="s">
        <v>56</v>
      </c>
      <c r="C922" s="26" t="s">
        <v>57</v>
      </c>
      <c r="D922" s="26" t="s">
        <v>81</v>
      </c>
      <c r="E922" s="27" t="s">
        <v>3013</v>
      </c>
      <c r="F922" s="28" t="s">
        <v>3014</v>
      </c>
      <c r="G922" s="29" t="s">
        <v>3015</v>
      </c>
      <c r="H922" s="30">
        <v>45168.0</v>
      </c>
      <c r="I922" s="30">
        <v>45533.0</v>
      </c>
      <c r="J922" s="31">
        <v>0.0</v>
      </c>
      <c r="K922" s="26" t="s">
        <v>455</v>
      </c>
      <c r="L922" s="32" t="s">
        <v>2870</v>
      </c>
      <c r="M922" s="33">
        <v>6281.5</v>
      </c>
      <c r="N922" s="34">
        <v>6824.51</v>
      </c>
      <c r="O922" s="27" t="s">
        <v>76</v>
      </c>
      <c r="P922" s="35" t="s">
        <v>122</v>
      </c>
      <c r="Q922" s="35">
        <v>0.0</v>
      </c>
      <c r="R922" s="36" t="e">
        <v>#VALUE!</v>
      </c>
      <c r="S922" s="35" t="s">
        <v>86</v>
      </c>
      <c r="T922" s="35">
        <v>0.0</v>
      </c>
      <c r="U922" s="37" t="s">
        <v>812</v>
      </c>
      <c r="V922" s="38"/>
      <c r="W922" s="38"/>
      <c r="X922" s="27"/>
      <c r="Y922" s="39"/>
      <c r="Z922" s="39"/>
      <c r="AA922" s="39"/>
      <c r="AB922" s="27"/>
      <c r="AC922" s="27">
        <f t="shared" si="619"/>
        <v>0</v>
      </c>
      <c r="AD922" s="41">
        <f t="shared" si="736"/>
        <v>942.225</v>
      </c>
      <c r="AE922" s="42"/>
      <c r="AF922" s="27"/>
      <c r="AG922" s="43">
        <f t="shared" si="737"/>
        <v>1611.20475</v>
      </c>
      <c r="AH922" s="29"/>
      <c r="AI922" s="29"/>
      <c r="AJ922" s="29"/>
      <c r="AK922" s="29"/>
      <c r="AL922" s="27"/>
      <c r="AM922" s="44"/>
      <c r="AN922" s="47"/>
      <c r="AO922" s="46"/>
      <c r="AP922" s="47"/>
      <c r="AQ922" s="43">
        <f t="shared" si="738"/>
        <v>0</v>
      </c>
      <c r="AR922" s="43">
        <f t="shared" si="448"/>
        <v>0</v>
      </c>
      <c r="AS922" s="43">
        <f t="shared" si="449"/>
        <v>0</v>
      </c>
      <c r="AT922" s="48">
        <f t="shared" si="700"/>
        <v>0</v>
      </c>
      <c r="AU922" s="49">
        <f t="shared" si="739"/>
        <v>0</v>
      </c>
      <c r="AV922" s="48"/>
      <c r="AW922" s="34">
        <f t="shared" si="540"/>
        <v>5882.285</v>
      </c>
      <c r="AX922" s="50">
        <f t="shared" si="413"/>
        <v>668.97975</v>
      </c>
      <c r="AY922" s="43"/>
      <c r="AZ922" s="47"/>
      <c r="BA922" s="48">
        <f t="shared" si="740"/>
        <v>0</v>
      </c>
      <c r="BB922" s="27"/>
      <c r="BC922" s="27"/>
      <c r="BD922" s="51"/>
      <c r="BE922" s="52"/>
      <c r="BF922" s="27" t="s">
        <v>3013</v>
      </c>
      <c r="BG922" s="53">
        <v>0.0</v>
      </c>
      <c r="BH922" s="53" t="str">
        <f>'[1]2023'!Q1181</f>
        <v>#REF!</v>
      </c>
      <c r="BI922" s="27"/>
      <c r="BJ922" s="27"/>
      <c r="BK922" s="27" t="s">
        <v>76</v>
      </c>
      <c r="BL922" s="27"/>
    </row>
    <row r="923" ht="14.25" customHeight="1">
      <c r="A923" s="26" t="s">
        <v>55</v>
      </c>
      <c r="B923" s="26" t="s">
        <v>56</v>
      </c>
      <c r="C923" s="26" t="s">
        <v>57</v>
      </c>
      <c r="D923" s="26" t="s">
        <v>58</v>
      </c>
      <c r="E923" s="27" t="s">
        <v>3016</v>
      </c>
      <c r="F923" s="28" t="s">
        <v>3017</v>
      </c>
      <c r="G923" s="29" t="s">
        <v>3015</v>
      </c>
      <c r="H923" s="30">
        <v>45168.0</v>
      </c>
      <c r="I923" s="30">
        <v>45533.0</v>
      </c>
      <c r="J923" s="31" t="s">
        <v>1163</v>
      </c>
      <c r="K923" s="26" t="s">
        <v>455</v>
      </c>
      <c r="L923" s="32" t="s">
        <v>63</v>
      </c>
      <c r="M923" s="33">
        <v>3696.23</v>
      </c>
      <c r="N923" s="34">
        <v>3914.31</v>
      </c>
      <c r="O923" s="27" t="s">
        <v>76</v>
      </c>
      <c r="P923" s="35" t="s">
        <v>89</v>
      </c>
      <c r="Q923" s="35" t="s">
        <v>65</v>
      </c>
      <c r="R923" s="36" t="e">
        <v>#VALUE!</v>
      </c>
      <c r="S923" s="35" t="s">
        <v>66</v>
      </c>
      <c r="T923" s="35">
        <v>0.0</v>
      </c>
      <c r="U923" s="37" t="s">
        <v>67</v>
      </c>
      <c r="V923" s="38"/>
      <c r="W923" s="38"/>
      <c r="X923" s="27"/>
      <c r="Y923" s="39"/>
      <c r="Z923" s="39"/>
      <c r="AA923" s="39"/>
      <c r="AB923" s="27"/>
      <c r="AC923" s="27">
        <f t="shared" si="619"/>
        <v>0</v>
      </c>
      <c r="AD923" s="41"/>
      <c r="AE923" s="42"/>
      <c r="AF923" s="27"/>
      <c r="AG923" s="43">
        <f t="shared" si="737"/>
        <v>948.082995</v>
      </c>
      <c r="AH923" s="29"/>
      <c r="AI923" s="29"/>
      <c r="AJ923" s="29"/>
      <c r="AK923" s="29"/>
      <c r="AL923" s="27"/>
      <c r="AM923" s="44">
        <f>((M923*27%)-AC923-((M923*27%)*22.5%))*30%</f>
        <v>232.0308383</v>
      </c>
      <c r="AN923" s="47"/>
      <c r="AO923" s="46"/>
      <c r="AP923" s="47"/>
      <c r="AQ923" s="43">
        <f t="shared" si="738"/>
        <v>997.9821</v>
      </c>
      <c r="AR923" s="43">
        <f t="shared" si="448"/>
        <v>49.899105</v>
      </c>
      <c r="AS923" s="43">
        <f t="shared" si="449"/>
        <v>174.6468675</v>
      </c>
      <c r="AT923" s="48">
        <f t="shared" si="700"/>
        <v>773.4361275</v>
      </c>
      <c r="AU923" s="49">
        <f t="shared" si="739"/>
        <v>773.4361275</v>
      </c>
      <c r="AV923" s="48"/>
      <c r="AW923" s="34">
        <f t="shared" si="540"/>
        <v>3914.31</v>
      </c>
      <c r="AX923" s="50">
        <f t="shared" si="413"/>
        <v>541.4052893</v>
      </c>
      <c r="AY923" s="43"/>
      <c r="AZ923" s="47"/>
      <c r="BA923" s="48">
        <f t="shared" si="740"/>
        <v>541.4052893</v>
      </c>
      <c r="BB923" s="27"/>
      <c r="BC923" s="27"/>
      <c r="BD923" s="51"/>
      <c r="BE923" s="52"/>
      <c r="BF923" s="27"/>
      <c r="BG923" s="58" t="s">
        <v>3018</v>
      </c>
      <c r="BH923" s="53" t="str">
        <f>'[1]2023'!Q1227</f>
        <v>#REF!</v>
      </c>
      <c r="BI923" s="27"/>
      <c r="BJ923" s="27"/>
      <c r="BK923" s="27" t="s">
        <v>76</v>
      </c>
      <c r="BL923" s="27"/>
    </row>
    <row r="924" ht="14.25" customHeight="1">
      <c r="A924" s="26" t="s">
        <v>55</v>
      </c>
      <c r="B924" s="26" t="s">
        <v>56</v>
      </c>
      <c r="C924" s="26" t="s">
        <v>57</v>
      </c>
      <c r="D924" s="26" t="s">
        <v>58</v>
      </c>
      <c r="E924" s="27" t="s">
        <v>199</v>
      </c>
      <c r="F924" s="28" t="s">
        <v>3019</v>
      </c>
      <c r="G924" s="29">
        <v>45168.0</v>
      </c>
      <c r="H924" s="30">
        <v>45168.0</v>
      </c>
      <c r="I924" s="30">
        <v>45533.0</v>
      </c>
      <c r="J924" s="31">
        <v>0.0</v>
      </c>
      <c r="K924" s="26" t="s">
        <v>455</v>
      </c>
      <c r="L924" s="69">
        <v>45239.0</v>
      </c>
      <c r="M924" s="33">
        <v>51443.17</v>
      </c>
      <c r="N924" s="34">
        <v>54478.32</v>
      </c>
      <c r="O924" s="27" t="s">
        <v>76</v>
      </c>
      <c r="P924" s="35" t="s">
        <v>89</v>
      </c>
      <c r="Q924" s="35">
        <v>0.0</v>
      </c>
      <c r="R924" s="36" t="e">
        <v>#VALUE!</v>
      </c>
      <c r="S924" s="35" t="s">
        <v>86</v>
      </c>
      <c r="T924" s="35">
        <v>0.0</v>
      </c>
      <c r="U924" s="37">
        <v>0.0</v>
      </c>
      <c r="V924" s="38"/>
      <c r="W924" s="38"/>
      <c r="X924" s="27"/>
      <c r="Y924" s="39"/>
      <c r="Z924" s="39"/>
      <c r="AA924" s="39"/>
      <c r="AB924" s="27"/>
      <c r="AC924" s="27">
        <f t="shared" si="619"/>
        <v>0</v>
      </c>
      <c r="AD924" s="41">
        <f t="shared" ref="AD924:AD927" si="741">IF(AND(S924="0",O924="Paid"),(M924*15%)-AC924,0)</f>
        <v>7716.4755</v>
      </c>
      <c r="AE924" s="42"/>
      <c r="AF924" s="27"/>
      <c r="AG924" s="43">
        <f t="shared" si="737"/>
        <v>13195.17311</v>
      </c>
      <c r="AH924" s="29"/>
      <c r="AI924" s="29"/>
      <c r="AJ924" s="29"/>
      <c r="AK924" s="29"/>
      <c r="AL924" s="27"/>
      <c r="AM924" s="44"/>
      <c r="AN924" s="47"/>
      <c r="AO924" s="46"/>
      <c r="AP924" s="47"/>
      <c r="AQ924" s="43">
        <f t="shared" si="738"/>
        <v>0</v>
      </c>
      <c r="AR924" s="43">
        <f t="shared" si="448"/>
        <v>0</v>
      </c>
      <c r="AS924" s="43">
        <f t="shared" si="449"/>
        <v>0</v>
      </c>
      <c r="AT924" s="48">
        <f t="shared" si="700"/>
        <v>0</v>
      </c>
      <c r="AU924" s="49">
        <f t="shared" si="739"/>
        <v>0</v>
      </c>
      <c r="AV924" s="48"/>
      <c r="AW924" s="34">
        <f t="shared" si="540"/>
        <v>46761.8445</v>
      </c>
      <c r="AX924" s="50">
        <f t="shared" si="413"/>
        <v>5478.697605</v>
      </c>
      <c r="AY924" s="43"/>
      <c r="AZ924" s="47"/>
      <c r="BA924" s="48">
        <f t="shared" si="740"/>
        <v>0</v>
      </c>
      <c r="BB924" s="27"/>
      <c r="BC924" s="27"/>
      <c r="BD924" s="51"/>
      <c r="BE924" s="52"/>
      <c r="BF924" s="27"/>
      <c r="BG924" s="53">
        <v>0.0</v>
      </c>
      <c r="BH924" s="53" t="str">
        <f>'[1]2023'!Q1233</f>
        <v>#REF!</v>
      </c>
      <c r="BI924" s="27"/>
      <c r="BJ924" s="27"/>
      <c r="BK924" s="27" t="s">
        <v>76</v>
      </c>
      <c r="BL924" s="27"/>
    </row>
    <row r="925" ht="14.25" customHeight="1">
      <c r="A925" s="26" t="s">
        <v>55</v>
      </c>
      <c r="B925" s="26" t="s">
        <v>56</v>
      </c>
      <c r="C925" s="26" t="s">
        <v>57</v>
      </c>
      <c r="D925" s="26" t="s">
        <v>58</v>
      </c>
      <c r="E925" s="27" t="s">
        <v>3020</v>
      </c>
      <c r="F925" s="28" t="s">
        <v>3021</v>
      </c>
      <c r="G925" s="29">
        <v>45168.0</v>
      </c>
      <c r="H925" s="30">
        <v>45168.0</v>
      </c>
      <c r="I925" s="30">
        <v>45533.0</v>
      </c>
      <c r="J925" s="31">
        <v>0.0</v>
      </c>
      <c r="K925" s="26" t="s">
        <v>455</v>
      </c>
      <c r="L925" s="89">
        <v>45188.0</v>
      </c>
      <c r="M925" s="33">
        <v>4296.53</v>
      </c>
      <c r="N925" s="34">
        <v>4551.0</v>
      </c>
      <c r="O925" s="27" t="s">
        <v>76</v>
      </c>
      <c r="P925" s="35" t="s">
        <v>430</v>
      </c>
      <c r="Q925" s="35" t="s">
        <v>90</v>
      </c>
      <c r="R925" s="36">
        <v>45168.0</v>
      </c>
      <c r="S925" s="35" t="s">
        <v>66</v>
      </c>
      <c r="T925" s="35">
        <v>0.0</v>
      </c>
      <c r="U925" s="37">
        <v>0.0</v>
      </c>
      <c r="V925" s="38"/>
      <c r="W925" s="38"/>
      <c r="X925" s="27"/>
      <c r="Y925" s="39"/>
      <c r="Z925" s="39"/>
      <c r="AA925" s="39"/>
      <c r="AB925" s="27"/>
      <c r="AC925" s="27">
        <f t="shared" si="619"/>
        <v>0</v>
      </c>
      <c r="AD925" s="41">
        <f t="shared" si="741"/>
        <v>0</v>
      </c>
      <c r="AE925" s="42"/>
      <c r="AF925" s="27"/>
      <c r="AG925" s="43">
        <f t="shared" si="737"/>
        <v>1102.059945</v>
      </c>
      <c r="AH925" s="29"/>
      <c r="AI925" s="29"/>
      <c r="AJ925" s="29"/>
      <c r="AK925" s="29"/>
      <c r="AL925" s="27"/>
      <c r="AM925" s="44">
        <f>((M925*25%)-AC925-((M925*25%)*22.5%))*30%</f>
        <v>249.7358063</v>
      </c>
      <c r="AN925" s="179">
        <v>45148.0</v>
      </c>
      <c r="AO925" s="46"/>
      <c r="AP925" s="47"/>
      <c r="AQ925" s="43">
        <f t="shared" ref="AQ925:AQ926" si="742">IF(O925="Paid",IF(U925="Motor Plus",(M925*27%),IF(U925="Motor One",(M925*22%),(IF(U925="Golden",(M925*25%),(IF(U925="Classic",(M925*15%),(IF(U925="Wethaq",(M925*28%),IF(U925="Alwataniya",(M925*21%))*0)))))))))</f>
        <v>0</v>
      </c>
      <c r="AR925" s="43">
        <f t="shared" si="448"/>
        <v>0</v>
      </c>
      <c r="AS925" s="43">
        <f t="shared" si="449"/>
        <v>0</v>
      </c>
      <c r="AT925" s="48">
        <f t="shared" si="700"/>
        <v>0</v>
      </c>
      <c r="AU925" s="49">
        <f t="shared" si="739"/>
        <v>0</v>
      </c>
      <c r="AV925" s="48"/>
      <c r="AW925" s="34">
        <f t="shared" si="540"/>
        <v>4551</v>
      </c>
      <c r="AX925" s="50">
        <f t="shared" si="413"/>
        <v>852.3241388</v>
      </c>
      <c r="AY925" s="43"/>
      <c r="AZ925" s="47"/>
      <c r="BA925" s="48">
        <f t="shared" si="740"/>
        <v>-249.7358063</v>
      </c>
      <c r="BB925" s="27"/>
      <c r="BC925" s="27"/>
      <c r="BD925" s="51"/>
      <c r="BE925" s="52"/>
      <c r="BF925" s="27"/>
      <c r="BG925" s="53">
        <v>0.0</v>
      </c>
      <c r="BH925" s="53" t="str">
        <f>'[1]2023'!Q1238</f>
        <v>#REF!</v>
      </c>
      <c r="BI925" s="27"/>
      <c r="BJ925" s="27"/>
      <c r="BK925" s="27" t="s">
        <v>76</v>
      </c>
      <c r="BL925" s="27"/>
    </row>
    <row r="926" ht="14.25" customHeight="1">
      <c r="A926" s="26" t="s">
        <v>111</v>
      </c>
      <c r="B926" s="26" t="s">
        <v>56</v>
      </c>
      <c r="C926" s="26" t="s">
        <v>57</v>
      </c>
      <c r="D926" s="26" t="s">
        <v>71</v>
      </c>
      <c r="E926" s="27" t="s">
        <v>3022</v>
      </c>
      <c r="F926" s="28" t="s">
        <v>3023</v>
      </c>
      <c r="G926" s="29" t="s">
        <v>3015</v>
      </c>
      <c r="H926" s="30">
        <v>45168.0</v>
      </c>
      <c r="I926" s="30">
        <v>45533.0</v>
      </c>
      <c r="J926" s="31" t="s">
        <v>3024</v>
      </c>
      <c r="K926" s="26" t="s">
        <v>475</v>
      </c>
      <c r="L926" s="32" t="s">
        <v>63</v>
      </c>
      <c r="M926" s="33">
        <v>41300.94</v>
      </c>
      <c r="N926" s="34">
        <v>44200.0</v>
      </c>
      <c r="O926" s="27" t="s">
        <v>64</v>
      </c>
      <c r="P926" s="35">
        <v>0.0</v>
      </c>
      <c r="Q926" s="35">
        <v>0.0</v>
      </c>
      <c r="R926" s="36" t="e">
        <v>#VALUE!</v>
      </c>
      <c r="S926" s="35" t="s">
        <v>78</v>
      </c>
      <c r="T926" s="35">
        <v>0.0</v>
      </c>
      <c r="U926" s="37" t="s">
        <v>115</v>
      </c>
      <c r="V926" s="38">
        <v>1700000.0</v>
      </c>
      <c r="W926" s="38"/>
      <c r="X926" s="27"/>
      <c r="Y926" s="39"/>
      <c r="Z926" s="79" t="s">
        <v>3025</v>
      </c>
      <c r="AA926" s="39"/>
      <c r="AB926" s="27"/>
      <c r="AC926" s="27">
        <f t="shared" si="619"/>
        <v>0</v>
      </c>
      <c r="AD926" s="41">
        <f t="shared" si="741"/>
        <v>0</v>
      </c>
      <c r="AE926" s="42"/>
      <c r="AF926" s="27"/>
      <c r="AG926" s="43">
        <f t="shared" ref="AG926:AG927" si="743">IF(O926="Paid",IF(A926="Alwataniya",(M926*21%)-((M926*21%)*5%),IF((A926="GIG"),(M926*25%)-((M926*25%)*5%),IF((A926="Allianz"),(M926*27%)-((M926*27%)*20%),0))),0)</f>
        <v>0</v>
      </c>
      <c r="AH926" s="29"/>
      <c r="AI926" s="29"/>
      <c r="AJ926" s="29"/>
      <c r="AK926" s="29"/>
      <c r="AL926" s="27"/>
      <c r="AM926" s="44"/>
      <c r="AN926" s="47"/>
      <c r="AO926" s="46"/>
      <c r="AP926" s="47"/>
      <c r="AQ926" s="43" t="b">
        <f t="shared" si="742"/>
        <v>0</v>
      </c>
      <c r="AR926" s="43">
        <f t="shared" si="448"/>
        <v>0</v>
      </c>
      <c r="AS926" s="43">
        <f t="shared" si="449"/>
        <v>0</v>
      </c>
      <c r="AT926" s="48">
        <f t="shared" si="700"/>
        <v>0</v>
      </c>
      <c r="AU926" s="49">
        <f t="shared" si="739"/>
        <v>0</v>
      </c>
      <c r="AV926" s="48"/>
      <c r="AW926" s="34">
        <f t="shared" si="540"/>
        <v>44200</v>
      </c>
      <c r="AX926" s="50">
        <f t="shared" si="413"/>
        <v>0</v>
      </c>
      <c r="AY926" s="43"/>
      <c r="AZ926" s="47"/>
      <c r="BA926" s="48">
        <f t="shared" si="740"/>
        <v>0</v>
      </c>
      <c r="BB926" s="27"/>
      <c r="BC926" s="27"/>
      <c r="BD926" s="51"/>
      <c r="BE926" s="52"/>
      <c r="BF926" s="27"/>
      <c r="BG926" s="58" t="s">
        <v>3026</v>
      </c>
      <c r="BH926" s="53" t="str">
        <f t="shared" ref="BH926:BH927" si="744">'[1]2023'!Q1247</f>
        <v>#REF!</v>
      </c>
      <c r="BI926" s="27"/>
      <c r="BJ926" s="27"/>
      <c r="BK926" s="27" t="s">
        <v>64</v>
      </c>
      <c r="BL926" s="27"/>
    </row>
    <row r="927" ht="14.25" customHeight="1">
      <c r="A927" s="26" t="s">
        <v>111</v>
      </c>
      <c r="B927" s="26" t="s">
        <v>56</v>
      </c>
      <c r="C927" s="26" t="s">
        <v>57</v>
      </c>
      <c r="D927" s="26" t="s">
        <v>58</v>
      </c>
      <c r="E927" s="27" t="s">
        <v>3027</v>
      </c>
      <c r="F927" s="28" t="s">
        <v>3028</v>
      </c>
      <c r="G927" s="29" t="s">
        <v>3015</v>
      </c>
      <c r="H927" s="30">
        <v>45168.0</v>
      </c>
      <c r="I927" s="30">
        <v>45533.0</v>
      </c>
      <c r="J927" s="31" t="s">
        <v>3029</v>
      </c>
      <c r="K927" s="26" t="s">
        <v>455</v>
      </c>
      <c r="L927" s="69">
        <v>45055.0</v>
      </c>
      <c r="M927" s="33">
        <v>3880.83</v>
      </c>
      <c r="N927" s="34">
        <v>4185.0</v>
      </c>
      <c r="O927" s="27" t="s">
        <v>76</v>
      </c>
      <c r="P927" s="35" t="s">
        <v>430</v>
      </c>
      <c r="Q927" s="35" t="s">
        <v>114</v>
      </c>
      <c r="R927" s="36" t="e">
        <v>#VALUE!</v>
      </c>
      <c r="S927" s="35" t="s">
        <v>66</v>
      </c>
      <c r="T927" s="35">
        <v>0.0</v>
      </c>
      <c r="U927" s="37" t="s">
        <v>115</v>
      </c>
      <c r="V927" s="38"/>
      <c r="W927" s="38"/>
      <c r="X927" s="27"/>
      <c r="Y927" s="39"/>
      <c r="Z927" s="39"/>
      <c r="AA927" s="39"/>
      <c r="AB927" s="27"/>
      <c r="AC927" s="27">
        <f t="shared" si="619"/>
        <v>0</v>
      </c>
      <c r="AD927" s="41">
        <f t="shared" si="741"/>
        <v>0</v>
      </c>
      <c r="AE927" s="42"/>
      <c r="AF927" s="27"/>
      <c r="AG927" s="43">
        <f t="shared" si="743"/>
        <v>921.697125</v>
      </c>
      <c r="AH927" s="29">
        <v>45086.0</v>
      </c>
      <c r="AI927" s="29" t="s">
        <v>2764</v>
      </c>
      <c r="AJ927" s="29"/>
      <c r="AK927" s="29" t="s">
        <v>2764</v>
      </c>
      <c r="AL927" s="27"/>
      <c r="AM927" s="44">
        <f>((M927*25%)-AC927-((M927*25%)*22.5%))*30%</f>
        <v>225.5732438</v>
      </c>
      <c r="AN927" s="47"/>
      <c r="AO927" s="46"/>
      <c r="AP927" s="47"/>
      <c r="AQ927" s="43">
        <f t="shared" ref="AQ927:AQ928" si="745">IF(U927="Motor Plus",(M927*27%),IF(U927="Motor One",(M927*22%),(IF(U927="Golden",(M927*25%),(IF(U927="Classic",(M927*15%),(IF(U927="Wethaq",(M927*28%),IF(U927="Alwataniya",(M927*21%))*0))))))))</f>
        <v>970.2075</v>
      </c>
      <c r="AR927" s="43">
        <f t="shared" si="448"/>
        <v>48.510375</v>
      </c>
      <c r="AS927" s="43">
        <f t="shared" si="449"/>
        <v>169.7863125</v>
      </c>
      <c r="AT927" s="48">
        <f t="shared" si="700"/>
        <v>751.9108125</v>
      </c>
      <c r="AU927" s="49">
        <f t="shared" si="739"/>
        <v>751.9108125</v>
      </c>
      <c r="AV927" s="48"/>
      <c r="AW927" s="34">
        <f t="shared" si="540"/>
        <v>4185</v>
      </c>
      <c r="AX927" s="50">
        <f t="shared" si="413"/>
        <v>526.3375688</v>
      </c>
      <c r="AY927" s="43"/>
      <c r="AZ927" s="47"/>
      <c r="BA927" s="48">
        <f t="shared" si="740"/>
        <v>526.3375688</v>
      </c>
      <c r="BB927" s="27"/>
      <c r="BC927" s="27"/>
      <c r="BD927" s="51"/>
      <c r="BE927" s="52"/>
      <c r="BF927" s="27"/>
      <c r="BG927" s="58" t="s">
        <v>3030</v>
      </c>
      <c r="BH927" s="53" t="str">
        <f t="shared" si="744"/>
        <v>#REF!</v>
      </c>
      <c r="BI927" s="27"/>
      <c r="BJ927" s="27"/>
      <c r="BK927" s="27" t="s">
        <v>76</v>
      </c>
      <c r="BL927" s="27"/>
    </row>
    <row r="928" ht="14.25" customHeight="1">
      <c r="A928" s="26" t="s">
        <v>55</v>
      </c>
      <c r="B928" s="26" t="s">
        <v>56</v>
      </c>
      <c r="C928" s="26" t="s">
        <v>57</v>
      </c>
      <c r="D928" s="26" t="s">
        <v>81</v>
      </c>
      <c r="E928" s="27" t="s">
        <v>3031</v>
      </c>
      <c r="F928" s="28" t="s">
        <v>3032</v>
      </c>
      <c r="G928" s="29" t="s">
        <v>2867</v>
      </c>
      <c r="H928" s="30">
        <v>45169.0</v>
      </c>
      <c r="I928" s="30">
        <v>45534.0</v>
      </c>
      <c r="J928" s="31">
        <v>0.0</v>
      </c>
      <c r="K928" s="26" t="s">
        <v>455</v>
      </c>
      <c r="L928" s="32" t="s">
        <v>1980</v>
      </c>
      <c r="M928" s="33">
        <v>25811.5</v>
      </c>
      <c r="N928" s="34">
        <v>27604.43</v>
      </c>
      <c r="O928" s="27" t="s">
        <v>76</v>
      </c>
      <c r="P928" s="35" t="s">
        <v>89</v>
      </c>
      <c r="Q928" s="35" t="s">
        <v>65</v>
      </c>
      <c r="R928" s="36" t="e">
        <v>#VALUE!</v>
      </c>
      <c r="S928" s="35" t="s">
        <v>86</v>
      </c>
      <c r="T928" s="35">
        <v>0.0</v>
      </c>
      <c r="U928" s="37" t="s">
        <v>67</v>
      </c>
      <c r="V928" s="38"/>
      <c r="W928" s="38"/>
      <c r="X928" s="27"/>
      <c r="Y928" s="39"/>
      <c r="Z928" s="39"/>
      <c r="AA928" s="39"/>
      <c r="AB928" s="27"/>
      <c r="AC928" s="27">
        <f t="shared" si="619"/>
        <v>0</v>
      </c>
      <c r="AD928" s="41"/>
      <c r="AE928" s="42"/>
      <c r="AF928" s="27"/>
      <c r="AG928" s="43">
        <f t="shared" ref="AG928:AG929" si="746">IF(O928="Paid",IF(A928="Alwataniya",(M928*21%)-((M928*21%)*5%),IF((A928="GIG"),(M928*25%)-((M928*25%)*5%),IF((A928="Allianz"),(M928*27%)-((M928*27%)*5%),0))),0)</f>
        <v>6620.64975</v>
      </c>
      <c r="AH928" s="29"/>
      <c r="AI928" s="29"/>
      <c r="AJ928" s="29"/>
      <c r="AK928" s="29"/>
      <c r="AL928" s="27"/>
      <c r="AM928" s="44"/>
      <c r="AN928" s="47"/>
      <c r="AO928" s="46"/>
      <c r="AP928" s="47"/>
      <c r="AQ928" s="43">
        <f t="shared" si="745"/>
        <v>6969.105</v>
      </c>
      <c r="AR928" s="43">
        <f t="shared" si="448"/>
        <v>348.45525</v>
      </c>
      <c r="AS928" s="43">
        <f t="shared" si="449"/>
        <v>1219.593375</v>
      </c>
      <c r="AT928" s="48">
        <f t="shared" si="700"/>
        <v>5401.056375</v>
      </c>
      <c r="AU928" s="49">
        <f t="shared" si="739"/>
        <v>5401.056375</v>
      </c>
      <c r="AV928" s="48"/>
      <c r="AW928" s="34">
        <f t="shared" si="540"/>
        <v>27604.43</v>
      </c>
      <c r="AX928" s="50">
        <f t="shared" si="413"/>
        <v>5401.056375</v>
      </c>
      <c r="AY928" s="43"/>
      <c r="AZ928" s="47"/>
      <c r="BA928" s="48">
        <f t="shared" si="740"/>
        <v>5401.056375</v>
      </c>
      <c r="BB928" s="27"/>
      <c r="BC928" s="27"/>
      <c r="BD928" s="51"/>
      <c r="BE928" s="52"/>
      <c r="BF928" s="27" t="s">
        <v>3031</v>
      </c>
      <c r="BG928" s="53">
        <v>0.0</v>
      </c>
      <c r="BH928" s="53" t="str">
        <f>'[1]2023'!Q1098</f>
        <v>#REF!</v>
      </c>
      <c r="BI928" s="27"/>
      <c r="BJ928" s="27"/>
      <c r="BK928" s="27" t="s">
        <v>76</v>
      </c>
      <c r="BL928" s="27"/>
    </row>
    <row r="929" ht="14.25" customHeight="1">
      <c r="A929" s="26" t="s">
        <v>55</v>
      </c>
      <c r="B929" s="26" t="s">
        <v>56</v>
      </c>
      <c r="C929" s="26" t="s">
        <v>57</v>
      </c>
      <c r="D929" s="26" t="s">
        <v>58</v>
      </c>
      <c r="E929" s="27" t="s">
        <v>3033</v>
      </c>
      <c r="F929" s="28" t="s">
        <v>3034</v>
      </c>
      <c r="G929" s="29">
        <v>45169.0</v>
      </c>
      <c r="H929" s="30">
        <v>45169.0</v>
      </c>
      <c r="I929" s="30">
        <v>45534.0</v>
      </c>
      <c r="J929" s="31">
        <v>0.0</v>
      </c>
      <c r="K929" s="26" t="s">
        <v>455</v>
      </c>
      <c r="L929" s="32" t="s">
        <v>63</v>
      </c>
      <c r="M929" s="33">
        <v>0.0</v>
      </c>
      <c r="N929" s="34">
        <v>2993.0</v>
      </c>
      <c r="O929" s="27" t="s">
        <v>64</v>
      </c>
      <c r="P929" s="35">
        <v>0.0</v>
      </c>
      <c r="Q929" s="35">
        <v>0.0</v>
      </c>
      <c r="R929" s="36">
        <v>45169.0</v>
      </c>
      <c r="S929" s="35" t="s">
        <v>86</v>
      </c>
      <c r="T929" s="35">
        <v>0.0</v>
      </c>
      <c r="U929" s="37">
        <v>0.0</v>
      </c>
      <c r="V929" s="38"/>
      <c r="W929" s="38"/>
      <c r="X929" s="27"/>
      <c r="Y929" s="39"/>
      <c r="Z929" s="39"/>
      <c r="AA929" s="39"/>
      <c r="AB929" s="27"/>
      <c r="AC929" s="27">
        <f t="shared" si="619"/>
        <v>0</v>
      </c>
      <c r="AD929" s="41">
        <f t="shared" ref="AD929:AD936" si="747">IF(AND(S929="0",O929="Paid"),(M929*15%)-AC929,0)</f>
        <v>0</v>
      </c>
      <c r="AE929" s="42"/>
      <c r="AF929" s="27"/>
      <c r="AG929" s="43">
        <f t="shared" si="746"/>
        <v>0</v>
      </c>
      <c r="AH929" s="29"/>
      <c r="AI929" s="29"/>
      <c r="AJ929" s="29"/>
      <c r="AK929" s="29"/>
      <c r="AL929" s="27"/>
      <c r="AM929" s="44"/>
      <c r="AN929" s="47"/>
      <c r="AO929" s="46"/>
      <c r="AP929" s="47"/>
      <c r="AQ929" s="43" t="b">
        <f>IF(O929="Paid",IF(U929="Motor Plus",(M929*27%),IF(U929="Motor One",(M929*22%),(IF(U929="Golden",(M929*25%),(IF(U929="Classic",(M929*15%),(IF(U929="Wethaq",(M929*28%),IF(U929="Alwataniya",(M929*21%))*0)))))))))</f>
        <v>0</v>
      </c>
      <c r="AR929" s="43">
        <f t="shared" si="448"/>
        <v>0</v>
      </c>
      <c r="AS929" s="43">
        <f t="shared" si="449"/>
        <v>0</v>
      </c>
      <c r="AT929" s="48">
        <f t="shared" si="700"/>
        <v>0</v>
      </c>
      <c r="AU929" s="49">
        <f t="shared" si="739"/>
        <v>0</v>
      </c>
      <c r="AV929" s="48"/>
      <c r="AW929" s="34">
        <f t="shared" si="540"/>
        <v>2993</v>
      </c>
      <c r="AX929" s="50">
        <f t="shared" si="413"/>
        <v>0</v>
      </c>
      <c r="AY929" s="43"/>
      <c r="AZ929" s="47"/>
      <c r="BA929" s="48">
        <f t="shared" si="740"/>
        <v>0</v>
      </c>
      <c r="BB929" s="27"/>
      <c r="BC929" s="27"/>
      <c r="BD929" s="51"/>
      <c r="BE929" s="52"/>
      <c r="BF929" s="27"/>
      <c r="BG929" s="53">
        <v>0.0</v>
      </c>
      <c r="BH929" s="53" t="str">
        <f>'[1]2023'!Q1237</f>
        <v>#REF!</v>
      </c>
      <c r="BI929" s="27"/>
      <c r="BJ929" s="27"/>
      <c r="BK929" s="27" t="s">
        <v>64</v>
      </c>
      <c r="BL929" s="27"/>
    </row>
    <row r="930" ht="14.25" customHeight="1">
      <c r="A930" s="26" t="s">
        <v>111</v>
      </c>
      <c r="B930" s="26" t="s">
        <v>56</v>
      </c>
      <c r="C930" s="26" t="s">
        <v>57</v>
      </c>
      <c r="D930" s="26" t="s">
        <v>58</v>
      </c>
      <c r="E930" s="27" t="s">
        <v>3035</v>
      </c>
      <c r="F930" s="28" t="s">
        <v>3036</v>
      </c>
      <c r="G930" s="29" t="s">
        <v>2867</v>
      </c>
      <c r="H930" s="30">
        <v>45169.0</v>
      </c>
      <c r="I930" s="30">
        <v>45534.0</v>
      </c>
      <c r="J930" s="31" t="s">
        <v>2125</v>
      </c>
      <c r="K930" s="26" t="s">
        <v>455</v>
      </c>
      <c r="L930" s="69">
        <v>45116.0</v>
      </c>
      <c r="M930" s="33">
        <v>3896.8</v>
      </c>
      <c r="N930" s="34">
        <v>4202.0</v>
      </c>
      <c r="O930" s="27" t="s">
        <v>76</v>
      </c>
      <c r="P930" s="35" t="s">
        <v>89</v>
      </c>
      <c r="Q930" s="35" t="s">
        <v>114</v>
      </c>
      <c r="R930" s="36" t="e">
        <v>#VALUE!</v>
      </c>
      <c r="S930" s="35" t="s">
        <v>66</v>
      </c>
      <c r="T930" s="35">
        <v>0.0</v>
      </c>
      <c r="U930" s="37" t="s">
        <v>115</v>
      </c>
      <c r="V930" s="38"/>
      <c r="W930" s="38"/>
      <c r="X930" s="27"/>
      <c r="Y930" s="39"/>
      <c r="Z930" s="39"/>
      <c r="AA930" s="39"/>
      <c r="AB930" s="27"/>
      <c r="AC930" s="27">
        <f t="shared" si="619"/>
        <v>0</v>
      </c>
      <c r="AD930" s="41">
        <f t="shared" si="747"/>
        <v>0</v>
      </c>
      <c r="AE930" s="42"/>
      <c r="AF930" s="27"/>
      <c r="AG930" s="43">
        <f t="shared" ref="AG930:AG931" si="748">IF(O930="Paid",IF(A930="Alwataniya",(M930*21%)-((M930*21%)*5%),IF((A930="GIG"),(M930*25%)-((M930*25%)*5%),IF((A930="Allianz"),(M930*27%)-((M930*27%)*20%),0))),0)</f>
        <v>925.49</v>
      </c>
      <c r="AH930" s="29">
        <v>45269.0</v>
      </c>
      <c r="AI930" s="29">
        <v>45269.0</v>
      </c>
      <c r="AJ930" s="29"/>
      <c r="AK930" s="29">
        <v>45269.0</v>
      </c>
      <c r="AL930" s="27"/>
      <c r="AM930" s="44">
        <f>((M930*25%)-AC930-((M930*25%)*22.5%))*30%</f>
        <v>226.5015</v>
      </c>
      <c r="AN930" s="179">
        <v>45148.0</v>
      </c>
      <c r="AO930" s="46"/>
      <c r="AP930" s="47"/>
      <c r="AQ930" s="43">
        <f t="shared" ref="AQ930:AQ932" si="749">IF(U930="Motor Plus",(M930*27%),IF(U930="Motor One",(M930*22%),(IF(U930="Golden",(M930*25%),(IF(U930="Classic",(M930*15%),(IF(U930="Wethaq",(M930*28%),IF(U930="Alwataniya",(M930*21%))*0))))))))</f>
        <v>974.2</v>
      </c>
      <c r="AR930" s="43">
        <f t="shared" si="448"/>
        <v>48.71</v>
      </c>
      <c r="AS930" s="43">
        <f t="shared" si="449"/>
        <v>170.485</v>
      </c>
      <c r="AT930" s="48">
        <f t="shared" si="700"/>
        <v>755.005</v>
      </c>
      <c r="AU930" s="49">
        <f t="shared" si="739"/>
        <v>755.005</v>
      </c>
      <c r="AV930" s="48"/>
      <c r="AW930" s="34">
        <f t="shared" si="540"/>
        <v>4202</v>
      </c>
      <c r="AX930" s="50">
        <f t="shared" si="413"/>
        <v>528.5035</v>
      </c>
      <c r="AY930" s="43"/>
      <c r="AZ930" s="47"/>
      <c r="BA930" s="48">
        <f t="shared" si="740"/>
        <v>528.5035</v>
      </c>
      <c r="BB930" s="27"/>
      <c r="BC930" s="27"/>
      <c r="BD930" s="51"/>
      <c r="BE930" s="52"/>
      <c r="BF930" s="27"/>
      <c r="BG930" s="53">
        <v>0.0</v>
      </c>
      <c r="BH930" s="53" t="str">
        <f t="shared" ref="BH930:BH931" si="750">'[1]2023'!Q1251</f>
        <v>#REF!</v>
      </c>
      <c r="BI930" s="27"/>
      <c r="BJ930" s="27"/>
      <c r="BK930" s="27" t="s">
        <v>76</v>
      </c>
      <c r="BL930" s="27"/>
    </row>
    <row r="931" ht="14.25" customHeight="1">
      <c r="A931" s="26" t="s">
        <v>111</v>
      </c>
      <c r="B931" s="26" t="s">
        <v>56</v>
      </c>
      <c r="C931" s="26" t="s">
        <v>57</v>
      </c>
      <c r="D931" s="26" t="s">
        <v>71</v>
      </c>
      <c r="E931" s="27" t="s">
        <v>3037</v>
      </c>
      <c r="F931" s="28" t="s">
        <v>3038</v>
      </c>
      <c r="G931" s="29" t="s">
        <v>2867</v>
      </c>
      <c r="H931" s="30">
        <v>45169.0</v>
      </c>
      <c r="I931" s="30">
        <v>45534.0</v>
      </c>
      <c r="J931" s="31" t="s">
        <v>3039</v>
      </c>
      <c r="K931" s="26" t="s">
        <v>455</v>
      </c>
      <c r="L931" s="69">
        <v>45025.0</v>
      </c>
      <c r="M931" s="33">
        <v>34947.56</v>
      </c>
      <c r="N931" s="34">
        <v>37440.0</v>
      </c>
      <c r="O931" s="27" t="s">
        <v>76</v>
      </c>
      <c r="P931" s="35" t="s">
        <v>142</v>
      </c>
      <c r="Q931" s="35" t="s">
        <v>108</v>
      </c>
      <c r="R931" s="36" t="e">
        <v>#VALUE!</v>
      </c>
      <c r="S931" s="35" t="s">
        <v>86</v>
      </c>
      <c r="T931" s="35">
        <v>0.0</v>
      </c>
      <c r="U931" s="37" t="s">
        <v>115</v>
      </c>
      <c r="V931" s="38">
        <v>1440000.0</v>
      </c>
      <c r="W931" s="38"/>
      <c r="X931" s="27"/>
      <c r="Y931" s="39"/>
      <c r="Z931" s="79" t="s">
        <v>3040</v>
      </c>
      <c r="AA931" s="39"/>
      <c r="AB931" s="27"/>
      <c r="AC931" s="27">
        <f t="shared" si="619"/>
        <v>0</v>
      </c>
      <c r="AD931" s="41">
        <f t="shared" si="747"/>
        <v>5242.134</v>
      </c>
      <c r="AE931" s="42">
        <v>750.0</v>
      </c>
      <c r="AF931" s="29">
        <v>45086.0</v>
      </c>
      <c r="AG931" s="43">
        <f t="shared" si="748"/>
        <v>8300.0455</v>
      </c>
      <c r="AH931" s="29">
        <v>45116.0</v>
      </c>
      <c r="AI931" s="29" t="s">
        <v>2764</v>
      </c>
      <c r="AJ931" s="29"/>
      <c r="AK931" s="29" t="s">
        <v>2764</v>
      </c>
      <c r="AL931" s="27"/>
      <c r="AM931" s="44"/>
      <c r="AN931" s="47"/>
      <c r="AO931" s="46"/>
      <c r="AP931" s="47"/>
      <c r="AQ931" s="43">
        <f t="shared" si="749"/>
        <v>8736.89</v>
      </c>
      <c r="AR931" s="43">
        <f t="shared" si="448"/>
        <v>436.8445</v>
      </c>
      <c r="AS931" s="43">
        <f t="shared" si="449"/>
        <v>1528.95575</v>
      </c>
      <c r="AT931" s="48">
        <f t="shared" si="700"/>
        <v>6771.08975</v>
      </c>
      <c r="AU931" s="49">
        <f t="shared" si="739"/>
        <v>6771.08975</v>
      </c>
      <c r="AV931" s="48"/>
      <c r="AW931" s="34">
        <f t="shared" si="540"/>
        <v>31447.866</v>
      </c>
      <c r="AX931" s="50">
        <f t="shared" si="413"/>
        <v>778.95575</v>
      </c>
      <c r="AY931" s="43"/>
      <c r="AZ931" s="47"/>
      <c r="BA931" s="48">
        <f t="shared" si="740"/>
        <v>6771.08975</v>
      </c>
      <c r="BB931" s="27"/>
      <c r="BC931" s="27"/>
      <c r="BD931" s="51"/>
      <c r="BE931" s="52"/>
      <c r="BF931" s="27"/>
      <c r="BG931" s="53">
        <v>0.0</v>
      </c>
      <c r="BH931" s="53" t="str">
        <f t="shared" si="750"/>
        <v>#REF!</v>
      </c>
      <c r="BI931" s="27"/>
      <c r="BJ931" s="27"/>
      <c r="BK931" s="27" t="s">
        <v>76</v>
      </c>
      <c r="BL931" s="27"/>
    </row>
    <row r="932" ht="14.25" customHeight="1">
      <c r="A932" s="26" t="s">
        <v>111</v>
      </c>
      <c r="B932" s="26" t="s">
        <v>56</v>
      </c>
      <c r="C932" s="26" t="s">
        <v>57</v>
      </c>
      <c r="D932" s="26" t="s">
        <v>58</v>
      </c>
      <c r="E932" s="27" t="s">
        <v>3041</v>
      </c>
      <c r="F932" s="28" t="s">
        <v>3042</v>
      </c>
      <c r="G932" s="29" t="s">
        <v>2867</v>
      </c>
      <c r="H932" s="30">
        <v>45169.0</v>
      </c>
      <c r="I932" s="30">
        <v>45534.0</v>
      </c>
      <c r="J932" s="31" t="s">
        <v>3039</v>
      </c>
      <c r="K932" s="26" t="s">
        <v>455</v>
      </c>
      <c r="L932" s="69">
        <v>45025.0</v>
      </c>
      <c r="M932" s="33">
        <v>0.0</v>
      </c>
      <c r="N932" s="116">
        <v>50.0</v>
      </c>
      <c r="O932" s="27" t="s">
        <v>76</v>
      </c>
      <c r="P932" s="35" t="s">
        <v>142</v>
      </c>
      <c r="Q932" s="35" t="s">
        <v>108</v>
      </c>
      <c r="R932" s="36" t="e">
        <v>#VALUE!</v>
      </c>
      <c r="S932" s="35" t="s">
        <v>86</v>
      </c>
      <c r="T932" s="35">
        <v>0.0</v>
      </c>
      <c r="U932" s="37" t="s">
        <v>115</v>
      </c>
      <c r="V932" s="38"/>
      <c r="W932" s="38"/>
      <c r="X932" s="27"/>
      <c r="Y932" s="39"/>
      <c r="Z932" s="39"/>
      <c r="AA932" s="39"/>
      <c r="AB932" s="27"/>
      <c r="AC932" s="27">
        <f t="shared" si="619"/>
        <v>0</v>
      </c>
      <c r="AD932" s="41">
        <f t="shared" si="747"/>
        <v>0</v>
      </c>
      <c r="AE932" s="42"/>
      <c r="AF932" s="29">
        <v>45086.0</v>
      </c>
      <c r="AG932" s="117" t="s">
        <v>63</v>
      </c>
      <c r="AH932" s="117" t="s">
        <v>63</v>
      </c>
      <c r="AI932" s="117" t="s">
        <v>63</v>
      </c>
      <c r="AJ932" s="29"/>
      <c r="AK932" s="29" t="s">
        <v>63</v>
      </c>
      <c r="AL932" s="27"/>
      <c r="AM932" s="44"/>
      <c r="AN932" s="47"/>
      <c r="AO932" s="46"/>
      <c r="AP932" s="47"/>
      <c r="AQ932" s="43">
        <f t="shared" si="749"/>
        <v>0</v>
      </c>
      <c r="AR932" s="43">
        <f t="shared" si="448"/>
        <v>0</v>
      </c>
      <c r="AS932" s="43">
        <f t="shared" si="449"/>
        <v>0</v>
      </c>
      <c r="AT932" s="48">
        <f t="shared" si="700"/>
        <v>0</v>
      </c>
      <c r="AU932" s="49">
        <f t="shared" si="739"/>
        <v>0</v>
      </c>
      <c r="AV932" s="48"/>
      <c r="AW932" s="34">
        <f t="shared" si="540"/>
        <v>50</v>
      </c>
      <c r="AX932" s="50"/>
      <c r="AY932" s="43"/>
      <c r="AZ932" s="47"/>
      <c r="BA932" s="48">
        <f t="shared" si="740"/>
        <v>0</v>
      </c>
      <c r="BB932" s="27"/>
      <c r="BC932" s="27"/>
      <c r="BD932" s="51"/>
      <c r="BE932" s="52"/>
      <c r="BF932" s="27"/>
      <c r="BG932" s="53">
        <v>0.0</v>
      </c>
      <c r="BH932" s="53" t="str">
        <f t="shared" ref="BH932:BH933" si="751">'[1]2023'!Q1256</f>
        <v>#REF!</v>
      </c>
      <c r="BI932" s="27"/>
      <c r="BJ932" s="27"/>
      <c r="BK932" s="27" t="s">
        <v>76</v>
      </c>
      <c r="BL932" s="27"/>
    </row>
    <row r="933" ht="14.25" customHeight="1">
      <c r="A933" s="26" t="s">
        <v>68</v>
      </c>
      <c r="B933" s="26" t="s">
        <v>56</v>
      </c>
      <c r="C933" s="26" t="s">
        <v>57</v>
      </c>
      <c r="D933" s="26" t="s">
        <v>71</v>
      </c>
      <c r="E933" s="27" t="s">
        <v>3043</v>
      </c>
      <c r="F933" s="28" t="s">
        <v>3044</v>
      </c>
      <c r="G933" s="29" t="s">
        <v>2867</v>
      </c>
      <c r="H933" s="30">
        <v>45169.0</v>
      </c>
      <c r="I933" s="30">
        <v>45534.0</v>
      </c>
      <c r="J933" s="31" t="s">
        <v>2395</v>
      </c>
      <c r="K933" s="26" t="s">
        <v>455</v>
      </c>
      <c r="L933" s="69">
        <v>45025.0</v>
      </c>
      <c r="M933" s="33">
        <v>25247.59</v>
      </c>
      <c r="N933" s="34">
        <v>27000.0</v>
      </c>
      <c r="O933" s="27" t="s">
        <v>76</v>
      </c>
      <c r="P933" s="35" t="s">
        <v>89</v>
      </c>
      <c r="Q933" s="35">
        <v>0.0</v>
      </c>
      <c r="R933" s="36" t="e">
        <v>#VALUE!</v>
      </c>
      <c r="S933" s="35" t="s">
        <v>848</v>
      </c>
      <c r="T933" s="35">
        <v>0.0</v>
      </c>
      <c r="U933" s="37" t="s">
        <v>68</v>
      </c>
      <c r="V933" s="38">
        <v>1350000.0</v>
      </c>
      <c r="W933" s="38"/>
      <c r="X933" s="27"/>
      <c r="Y933" s="39"/>
      <c r="Z933" s="79" t="s">
        <v>3045</v>
      </c>
      <c r="AA933" s="39"/>
      <c r="AB933" s="55">
        <v>0.05</v>
      </c>
      <c r="AC933" s="34">
        <f t="shared" si="619"/>
        <v>1262.3795</v>
      </c>
      <c r="AD933" s="41">
        <f t="shared" si="747"/>
        <v>0</v>
      </c>
      <c r="AE933" s="42"/>
      <c r="AF933" s="27"/>
      <c r="AG933" s="43">
        <f>M933*28%-((M933*28%)*5%)</f>
        <v>6715.85894</v>
      </c>
      <c r="AH933" s="29">
        <v>45269.0</v>
      </c>
      <c r="AI933" s="29" t="s">
        <v>1324</v>
      </c>
      <c r="AJ933" s="55">
        <v>0.28</v>
      </c>
      <c r="AK933" s="29" t="s">
        <v>1325</v>
      </c>
      <c r="AL933" s="27"/>
      <c r="AM933" s="186">
        <f>IF((BD933&lt;=2),AU933*10%,(IF((BD933=3),AU933*20%,IF((BD933=4),AU933*20%,IF((BD933&gt;=5),AU933*30%,(IF((BD933="lead"),AU933*30%,0)))))))</f>
        <v>421.634753</v>
      </c>
      <c r="AN933" s="176">
        <v>44995.0</v>
      </c>
      <c r="AO933" s="46"/>
      <c r="AP933" s="47"/>
      <c r="AQ933" s="84">
        <f>((M933*28%))</f>
        <v>7069.3252</v>
      </c>
      <c r="AR933" s="43">
        <f t="shared" si="448"/>
        <v>353.46626</v>
      </c>
      <c r="AS933" s="43">
        <f t="shared" si="449"/>
        <v>1237.13191</v>
      </c>
      <c r="AT933" s="48">
        <f>AQ933-AR933-AS933-AC933</f>
        <v>4216.34753</v>
      </c>
      <c r="AU933" s="49">
        <f>AQ933-AR933-AS933-AO933-AC933</f>
        <v>4216.34753</v>
      </c>
      <c r="AV933" s="106">
        <f>AU933*10%</f>
        <v>421.634753</v>
      </c>
      <c r="AW933" s="34">
        <f t="shared" si="540"/>
        <v>25737.6205</v>
      </c>
      <c r="AX933" s="50">
        <f t="shared" ref="AX933:AX934" si="752">IF(O933="Paid",AG933-AS933-AM933-AO933-AD933-AE933-AV933-AL933,0)</f>
        <v>4635.457524</v>
      </c>
      <c r="AY933" s="43"/>
      <c r="AZ933" s="47"/>
      <c r="BA933" s="48">
        <f t="shared" si="740"/>
        <v>3794.712777</v>
      </c>
      <c r="BB933" s="27"/>
      <c r="BC933" s="27"/>
      <c r="BD933" s="51">
        <v>1.0</v>
      </c>
      <c r="BE933" s="52"/>
      <c r="BF933" s="27"/>
      <c r="BG933" s="58" t="s">
        <v>2885</v>
      </c>
      <c r="BH933" s="53" t="str">
        <f t="shared" si="751"/>
        <v>#REF!</v>
      </c>
      <c r="BI933" s="27"/>
      <c r="BJ933" s="27"/>
      <c r="BK933" s="27" t="s">
        <v>76</v>
      </c>
      <c r="BL933" s="64" t="s">
        <v>2886</v>
      </c>
    </row>
    <row r="934" ht="14.25" customHeight="1">
      <c r="A934" s="26" t="s">
        <v>68</v>
      </c>
      <c r="B934" s="26" t="s">
        <v>56</v>
      </c>
      <c r="C934" s="26" t="s">
        <v>57</v>
      </c>
      <c r="D934" s="26" t="s">
        <v>71</v>
      </c>
      <c r="E934" s="27" t="s">
        <v>3046</v>
      </c>
      <c r="F934" s="28" t="s">
        <v>3047</v>
      </c>
      <c r="G934" s="29">
        <v>45169.0</v>
      </c>
      <c r="H934" s="30">
        <v>45169.0</v>
      </c>
      <c r="I934" s="30">
        <v>45534.0</v>
      </c>
      <c r="J934" s="31">
        <v>0.0</v>
      </c>
      <c r="K934" s="26" t="s">
        <v>455</v>
      </c>
      <c r="L934" s="89">
        <v>45230.0</v>
      </c>
      <c r="M934" s="33">
        <v>18601.37</v>
      </c>
      <c r="N934" s="34">
        <v>20000.0</v>
      </c>
      <c r="O934" s="27" t="s">
        <v>76</v>
      </c>
      <c r="P934" s="35" t="s">
        <v>77</v>
      </c>
      <c r="Q934" s="35">
        <v>0.0</v>
      </c>
      <c r="R934" s="36">
        <v>45188.0</v>
      </c>
      <c r="S934" s="35" t="s">
        <v>78</v>
      </c>
      <c r="T934" s="54" t="s">
        <v>79</v>
      </c>
      <c r="U934" s="37" t="s">
        <v>68</v>
      </c>
      <c r="V934" s="38">
        <v>1000000.0</v>
      </c>
      <c r="W934" s="78">
        <v>208268.0</v>
      </c>
      <c r="X934" s="27"/>
      <c r="Y934" s="79" t="s">
        <v>3048</v>
      </c>
      <c r="Z934" s="39"/>
      <c r="AA934" s="39"/>
      <c r="AB934" s="27"/>
      <c r="AC934" s="27">
        <f t="shared" si="619"/>
        <v>0</v>
      </c>
      <c r="AD934" s="41">
        <f t="shared" si="747"/>
        <v>0</v>
      </c>
      <c r="AE934" s="42"/>
      <c r="AF934" s="27"/>
      <c r="AG934" s="43">
        <f>M934*15%-((M934*15%)*5%)</f>
        <v>2650.695225</v>
      </c>
      <c r="AH934" s="29"/>
      <c r="AI934" s="29" t="s">
        <v>3049</v>
      </c>
      <c r="AJ934" s="55">
        <v>0.15</v>
      </c>
      <c r="AK934" s="29" t="s">
        <v>3050</v>
      </c>
      <c r="AL934" s="27"/>
      <c r="AM934" s="27"/>
      <c r="AN934" s="47"/>
      <c r="AO934" s="149">
        <f>((N934*AJ934)-((N934*AJ934)*22.5%))*80%</f>
        <v>1860</v>
      </c>
      <c r="AP934" s="57">
        <v>44995.0</v>
      </c>
      <c r="AQ934" s="43">
        <f>IF(O934="Paid",IF(U934="Motor Plus",(M934*27%),IF(U934="Motor One",(M934*22%),(IF(U934="Golden",(M934*25%),(IF(U934="Classic",(M934*15%),(IF(U934="Wethaq",(M934*28%),IF(U934="Alwataniya",(M934*21%))*0)))))))))</f>
        <v>5208.3836</v>
      </c>
      <c r="AR934" s="43">
        <f t="shared" si="448"/>
        <v>260.41918</v>
      </c>
      <c r="AS934" s="43">
        <f t="shared" si="449"/>
        <v>911.46713</v>
      </c>
      <c r="AT934" s="48">
        <f t="shared" ref="AT934:AT1470" si="753">AQ934-AR934-AS934</f>
        <v>4036.49729</v>
      </c>
      <c r="AU934" s="49">
        <f t="shared" ref="AU934:AU936" si="754">AQ934-AR934-AS934-AC934-AO934</f>
        <v>2176.49729</v>
      </c>
      <c r="AV934" s="48"/>
      <c r="AW934" s="34">
        <f t="shared" si="540"/>
        <v>20000</v>
      </c>
      <c r="AX934" s="50">
        <f t="shared" si="752"/>
        <v>-120.771905</v>
      </c>
      <c r="AY934" s="43"/>
      <c r="AZ934" s="47"/>
      <c r="BA934" s="48">
        <f t="shared" si="740"/>
        <v>316.49729</v>
      </c>
      <c r="BB934" s="27"/>
      <c r="BC934" s="27"/>
      <c r="BD934" s="51"/>
      <c r="BE934" s="52"/>
      <c r="BF934" s="27"/>
      <c r="BG934" s="53">
        <v>0.0</v>
      </c>
      <c r="BH934" s="53" t="str">
        <f>'[1]2023'!Q1477</f>
        <v>#REF!</v>
      </c>
      <c r="BI934" s="27"/>
      <c r="BJ934" s="27"/>
      <c r="BK934" s="27" t="s">
        <v>76</v>
      </c>
      <c r="BL934" s="27"/>
    </row>
    <row r="935" ht="14.25" customHeight="1">
      <c r="A935" s="26" t="s">
        <v>111</v>
      </c>
      <c r="B935" s="26" t="s">
        <v>56</v>
      </c>
      <c r="C935" s="26" t="s">
        <v>57</v>
      </c>
      <c r="D935" s="26" t="s">
        <v>58</v>
      </c>
      <c r="E935" s="191" t="s">
        <v>3051</v>
      </c>
      <c r="F935" s="28" t="s">
        <v>3052</v>
      </c>
      <c r="G935" s="29">
        <v>45169.38888888889</v>
      </c>
      <c r="H935" s="30">
        <v>45169.38888888889</v>
      </c>
      <c r="I935" s="30">
        <v>45534.38888888889</v>
      </c>
      <c r="J935" s="31">
        <v>0.0</v>
      </c>
      <c r="K935" s="26" t="s">
        <v>455</v>
      </c>
      <c r="L935" s="32" t="s">
        <v>63</v>
      </c>
      <c r="M935" s="33">
        <v>0.0</v>
      </c>
      <c r="N935" s="116">
        <v>50.0</v>
      </c>
      <c r="O935" s="27" t="s">
        <v>76</v>
      </c>
      <c r="P935" s="35">
        <v>0.0</v>
      </c>
      <c r="Q935" s="35">
        <v>0.0</v>
      </c>
      <c r="R935" s="36">
        <v>90701.38819444444</v>
      </c>
      <c r="S935" s="35" t="s">
        <v>86</v>
      </c>
      <c r="T935" s="35">
        <v>0.0</v>
      </c>
      <c r="U935" s="37">
        <v>0.0</v>
      </c>
      <c r="V935" s="38"/>
      <c r="W935" s="78"/>
      <c r="X935" s="27"/>
      <c r="Y935" s="39"/>
      <c r="Z935" s="39"/>
      <c r="AA935" s="39"/>
      <c r="AB935" s="27"/>
      <c r="AC935" s="27">
        <f t="shared" si="619"/>
        <v>0</v>
      </c>
      <c r="AD935" s="41">
        <f t="shared" si="747"/>
        <v>0</v>
      </c>
      <c r="AE935" s="42"/>
      <c r="AF935" s="27"/>
      <c r="AG935" s="117" t="s">
        <v>63</v>
      </c>
      <c r="AH935" s="117" t="s">
        <v>63</v>
      </c>
      <c r="AI935" s="117" t="s">
        <v>63</v>
      </c>
      <c r="AJ935" s="29"/>
      <c r="AK935" s="29" t="s">
        <v>63</v>
      </c>
      <c r="AL935" s="27"/>
      <c r="AM935" s="44"/>
      <c r="AN935" s="47"/>
      <c r="AO935" s="46"/>
      <c r="AP935" s="47"/>
      <c r="AQ935" s="43">
        <f t="shared" ref="AQ935:AQ940" si="755">IF(U935="Motor Plus",(M935*27%),IF(U935="Motor One",(M935*22%),(IF(U935="Golden",(M935*25%),(IF(U935="Classic",(M935*15%),(IF(U935="Wethaq",(M935*28%),IF(U935="Alwataniya",(M935*21%))*0))))))))</f>
        <v>0</v>
      </c>
      <c r="AR935" s="43">
        <f t="shared" si="448"/>
        <v>0</v>
      </c>
      <c r="AS935" s="43">
        <f t="shared" si="449"/>
        <v>0</v>
      </c>
      <c r="AT935" s="48">
        <f t="shared" si="753"/>
        <v>0</v>
      </c>
      <c r="AU935" s="49">
        <f t="shared" si="754"/>
        <v>0</v>
      </c>
      <c r="AV935" s="48"/>
      <c r="AW935" s="34">
        <f t="shared" si="540"/>
        <v>50</v>
      </c>
      <c r="AX935" s="50"/>
      <c r="AY935" s="43"/>
      <c r="AZ935" s="47"/>
      <c r="BA935" s="48">
        <f t="shared" si="740"/>
        <v>0</v>
      </c>
      <c r="BB935" s="27"/>
      <c r="BC935" s="27"/>
      <c r="BD935" s="51"/>
      <c r="BE935" s="52"/>
      <c r="BF935" s="27"/>
      <c r="BG935" s="53">
        <v>0.0</v>
      </c>
      <c r="BH935" s="53" t="str">
        <f>'[1]2023'!Q1355</f>
        <v>#REF!</v>
      </c>
      <c r="BI935" s="27"/>
      <c r="BJ935" s="27"/>
      <c r="BK935" s="27" t="s">
        <v>76</v>
      </c>
      <c r="BL935" s="27"/>
    </row>
    <row r="936" ht="14.25" customHeight="1">
      <c r="A936" s="26" t="s">
        <v>55</v>
      </c>
      <c r="B936" s="26" t="s">
        <v>56</v>
      </c>
      <c r="C936" s="26" t="s">
        <v>57</v>
      </c>
      <c r="D936" s="26" t="s">
        <v>81</v>
      </c>
      <c r="E936" s="27" t="s">
        <v>3053</v>
      </c>
      <c r="F936" s="28" t="s">
        <v>3054</v>
      </c>
      <c r="G936" s="29">
        <v>45170.0</v>
      </c>
      <c r="H936" s="30">
        <v>45170.0</v>
      </c>
      <c r="I936" s="30">
        <v>45535.0</v>
      </c>
      <c r="J936" s="31" t="s">
        <v>3055</v>
      </c>
      <c r="K936" s="26" t="s">
        <v>475</v>
      </c>
      <c r="L936" s="32" t="s">
        <v>926</v>
      </c>
      <c r="M936" s="33">
        <v>30975.0</v>
      </c>
      <c r="N936" s="34">
        <v>33098.41</v>
      </c>
      <c r="O936" s="27" t="s">
        <v>76</v>
      </c>
      <c r="P936" s="35" t="s">
        <v>142</v>
      </c>
      <c r="Q936" s="35" t="s">
        <v>90</v>
      </c>
      <c r="R936" s="36">
        <v>45170.0</v>
      </c>
      <c r="S936" s="35" t="s">
        <v>86</v>
      </c>
      <c r="T936" s="35">
        <v>0.0</v>
      </c>
      <c r="U936" s="37" t="s">
        <v>67</v>
      </c>
      <c r="V936" s="38"/>
      <c r="W936" s="38"/>
      <c r="X936" s="27"/>
      <c r="Y936" s="39"/>
      <c r="Z936" s="79" t="s">
        <v>208</v>
      </c>
      <c r="AA936" s="39"/>
      <c r="AB936" s="27"/>
      <c r="AC936" s="27">
        <f t="shared" si="619"/>
        <v>0</v>
      </c>
      <c r="AD936" s="41">
        <f t="shared" si="747"/>
        <v>4646.25</v>
      </c>
      <c r="AE936" s="42"/>
      <c r="AF936" s="29">
        <v>44967.0</v>
      </c>
      <c r="AG936" s="43">
        <f t="shared" ref="AG936:AG947" si="756">IF(O936="Paid",IF(A936="Alwataniya",(M936*21%)-((M936*21%)*5%),IF((A936="GIG"),(M936*25%)-((M936*25%)*5%),IF((A936="Allianz"),(M936*27%)-((M936*27%)*5%),0))),0)</f>
        <v>7945.0875</v>
      </c>
      <c r="AH936" s="29"/>
      <c r="AI936" s="29"/>
      <c r="AJ936" s="29"/>
      <c r="AK936" s="29"/>
      <c r="AL936" s="27"/>
      <c r="AM936" s="44"/>
      <c r="AN936" s="47"/>
      <c r="AO936" s="46"/>
      <c r="AP936" s="47"/>
      <c r="AQ936" s="43">
        <f t="shared" si="755"/>
        <v>8363.25</v>
      </c>
      <c r="AR936" s="43">
        <f t="shared" si="448"/>
        <v>418.1625</v>
      </c>
      <c r="AS936" s="43">
        <f t="shared" si="449"/>
        <v>1463.56875</v>
      </c>
      <c r="AT936" s="48">
        <f t="shared" si="753"/>
        <v>6481.51875</v>
      </c>
      <c r="AU936" s="49">
        <f t="shared" si="754"/>
        <v>6481.51875</v>
      </c>
      <c r="AV936" s="48"/>
      <c r="AW936" s="34">
        <f t="shared" si="540"/>
        <v>28452.16</v>
      </c>
      <c r="AX936" s="50">
        <f t="shared" ref="AX936:AX995" si="757">IF(O936="Paid",AG936-AS936-AM936-AO936-AD936-AE936-AV936-AL936,0)</f>
        <v>1835.26875</v>
      </c>
      <c r="AY936" s="43"/>
      <c r="AZ936" s="47"/>
      <c r="BA936" s="48">
        <f t="shared" si="740"/>
        <v>6481.51875</v>
      </c>
      <c r="BB936" s="27"/>
      <c r="BC936" s="27"/>
      <c r="BD936" s="51"/>
      <c r="BE936" s="52"/>
      <c r="BF936" s="27"/>
      <c r="BG936" s="53">
        <v>0.0</v>
      </c>
      <c r="BH936" s="53" t="str">
        <f>'[1]2023'!Q1280</f>
        <v>#REF!</v>
      </c>
      <c r="BI936" s="27"/>
      <c r="BJ936" s="27"/>
      <c r="BK936" s="27" t="s">
        <v>76</v>
      </c>
      <c r="BL936" s="64" t="s">
        <v>3056</v>
      </c>
    </row>
    <row r="937" ht="14.25" customHeight="1">
      <c r="A937" s="26" t="s">
        <v>55</v>
      </c>
      <c r="B937" s="26" t="s">
        <v>56</v>
      </c>
      <c r="C937" s="26" t="s">
        <v>57</v>
      </c>
      <c r="D937" s="26" t="s">
        <v>81</v>
      </c>
      <c r="E937" s="27" t="s">
        <v>3057</v>
      </c>
      <c r="F937" s="26" t="s">
        <v>3058</v>
      </c>
      <c r="G937" s="29">
        <v>45171.0</v>
      </c>
      <c r="H937" s="30">
        <v>45171.0</v>
      </c>
      <c r="I937" s="30">
        <v>45536.0</v>
      </c>
      <c r="J937" s="31">
        <v>0.0</v>
      </c>
      <c r="K937" s="26" t="s">
        <v>62</v>
      </c>
      <c r="L937" s="32" t="s">
        <v>75</v>
      </c>
      <c r="M937" s="33">
        <v>11680.0</v>
      </c>
      <c r="N937" s="34">
        <v>12510.12</v>
      </c>
      <c r="O937" s="27" t="s">
        <v>76</v>
      </c>
      <c r="P937" s="35" t="s">
        <v>89</v>
      </c>
      <c r="Q937" s="35" t="s">
        <v>108</v>
      </c>
      <c r="R937" s="36">
        <v>45171.0</v>
      </c>
      <c r="S937" s="35" t="s">
        <v>86</v>
      </c>
      <c r="T937" s="35">
        <v>0.0</v>
      </c>
      <c r="U937" s="37" t="s">
        <v>67</v>
      </c>
      <c r="V937" s="38"/>
      <c r="W937" s="38"/>
      <c r="X937" s="27"/>
      <c r="Y937" s="39"/>
      <c r="Z937" s="39"/>
      <c r="AA937" s="39"/>
      <c r="AB937" s="27"/>
      <c r="AC937" s="27">
        <f t="shared" si="619"/>
        <v>0</v>
      </c>
      <c r="AD937" s="41">
        <f>IF(AND(S937="0",O937="Paid"),M937*15%,0)</f>
        <v>1752</v>
      </c>
      <c r="AE937" s="42"/>
      <c r="AF937" s="29">
        <v>44931.0</v>
      </c>
      <c r="AG937" s="43">
        <f t="shared" si="756"/>
        <v>2995.92</v>
      </c>
      <c r="AH937" s="29"/>
      <c r="AI937" s="29"/>
      <c r="AJ937" s="29"/>
      <c r="AK937" s="29"/>
      <c r="AL937" s="27"/>
      <c r="AM937" s="44"/>
      <c r="AN937" s="47"/>
      <c r="AO937" s="37"/>
      <c r="AP937" s="47"/>
      <c r="AQ937" s="43">
        <f t="shared" si="755"/>
        <v>3153.6</v>
      </c>
      <c r="AR937" s="43">
        <f t="shared" si="448"/>
        <v>157.68</v>
      </c>
      <c r="AS937" s="43">
        <f t="shared" si="449"/>
        <v>551.88</v>
      </c>
      <c r="AT937" s="48">
        <f t="shared" si="753"/>
        <v>2444.04</v>
      </c>
      <c r="AU937" s="49">
        <f t="shared" ref="AU937:AU938" si="758">AQ937-AR937-AS937-AC937</f>
        <v>2444.04</v>
      </c>
      <c r="AV937" s="48"/>
      <c r="AW937" s="34">
        <f t="shared" si="540"/>
        <v>10758.12</v>
      </c>
      <c r="AX937" s="50">
        <f t="shared" si="757"/>
        <v>692.04</v>
      </c>
      <c r="AY937" s="43"/>
      <c r="AZ937" s="27"/>
      <c r="BA937" s="48">
        <f t="shared" si="740"/>
        <v>2444.04</v>
      </c>
      <c r="BB937" s="27"/>
      <c r="BC937" s="27"/>
      <c r="BD937" s="51"/>
      <c r="BE937" s="52"/>
      <c r="BF937" s="27" t="s">
        <v>3057</v>
      </c>
      <c r="BG937" s="53">
        <v>0.0</v>
      </c>
      <c r="BH937" s="53" t="str">
        <f>'[1]2023'!Q100</f>
        <v>#REF!</v>
      </c>
      <c r="BI937" s="27"/>
      <c r="BJ937" s="27"/>
      <c r="BK937" s="27" t="s">
        <v>76</v>
      </c>
      <c r="BL937" s="27"/>
    </row>
    <row r="938" ht="14.25" customHeight="1">
      <c r="A938" s="26" t="s">
        <v>55</v>
      </c>
      <c r="B938" s="26" t="s">
        <v>56</v>
      </c>
      <c r="C938" s="26" t="s">
        <v>57</v>
      </c>
      <c r="D938" s="26" t="s">
        <v>71</v>
      </c>
      <c r="E938" s="27" t="s">
        <v>3059</v>
      </c>
      <c r="F938" s="28" t="s">
        <v>3060</v>
      </c>
      <c r="G938" s="29">
        <v>45171.0</v>
      </c>
      <c r="H938" s="30">
        <v>45171.0</v>
      </c>
      <c r="I938" s="30">
        <v>45536.0</v>
      </c>
      <c r="J938" s="31" t="s">
        <v>3061</v>
      </c>
      <c r="K938" s="26" t="s">
        <v>62</v>
      </c>
      <c r="L938" s="32" t="s">
        <v>3062</v>
      </c>
      <c r="M938" s="33">
        <v>11210.0</v>
      </c>
      <c r="N938" s="34">
        <v>12012.39</v>
      </c>
      <c r="O938" s="27" t="s">
        <v>76</v>
      </c>
      <c r="P938" s="35" t="s">
        <v>89</v>
      </c>
      <c r="Q938" s="35" t="s">
        <v>65</v>
      </c>
      <c r="R938" s="36">
        <v>45171.0</v>
      </c>
      <c r="S938" s="35" t="s">
        <v>66</v>
      </c>
      <c r="T938" s="35">
        <v>0.0</v>
      </c>
      <c r="U938" s="37" t="s">
        <v>67</v>
      </c>
      <c r="V938" s="101">
        <v>400000.0</v>
      </c>
      <c r="W938" s="38" t="s">
        <v>3063</v>
      </c>
      <c r="X938" s="27">
        <v>2016.0</v>
      </c>
      <c r="Y938" s="39"/>
      <c r="Z938" s="79" t="s">
        <v>232</v>
      </c>
      <c r="AA938" s="39"/>
      <c r="AB938" s="55">
        <v>0.05</v>
      </c>
      <c r="AC938" s="27">
        <f t="shared" si="619"/>
        <v>560.5</v>
      </c>
      <c r="AD938" s="41"/>
      <c r="AE938" s="42"/>
      <c r="AF938" s="27"/>
      <c r="AG938" s="43">
        <f t="shared" si="756"/>
        <v>2875.365</v>
      </c>
      <c r="AH938" s="29"/>
      <c r="AI938" s="29"/>
      <c r="AJ938" s="29"/>
      <c r="AK938" s="29"/>
      <c r="AL938" s="27"/>
      <c r="AM938" s="27">
        <f>IF((BD938&lt;=2),AU938*10%,(IF((BD938&lt;=3),AU938*20%,IF((BD938&lt;=4),AU938*20%,IF((BD938&gt;=5),AU938*30%,0)))))</f>
        <v>178.51925</v>
      </c>
      <c r="AN938" s="63" t="s">
        <v>75</v>
      </c>
      <c r="AO938" s="80"/>
      <c r="AP938" s="47"/>
      <c r="AQ938" s="43">
        <f t="shared" si="755"/>
        <v>3026.7</v>
      </c>
      <c r="AR938" s="43">
        <f t="shared" si="448"/>
        <v>151.335</v>
      </c>
      <c r="AS938" s="43">
        <f t="shared" si="449"/>
        <v>529.6725</v>
      </c>
      <c r="AT938" s="48">
        <f t="shared" si="753"/>
        <v>2345.6925</v>
      </c>
      <c r="AU938" s="49">
        <f t="shared" si="758"/>
        <v>1785.1925</v>
      </c>
      <c r="AV938" s="48"/>
      <c r="AW938" s="34">
        <f t="shared" si="540"/>
        <v>11451.89</v>
      </c>
      <c r="AX938" s="50">
        <f t="shared" si="757"/>
        <v>2167.17325</v>
      </c>
      <c r="AY938" s="43"/>
      <c r="AZ938" s="27"/>
      <c r="BA938" s="48">
        <f t="shared" si="740"/>
        <v>1606.67325</v>
      </c>
      <c r="BB938" s="27"/>
      <c r="BC938" s="27"/>
      <c r="BD938" s="51"/>
      <c r="BE938" s="52"/>
      <c r="BF938" s="27" t="s">
        <v>3059</v>
      </c>
      <c r="BG938" s="58" t="s">
        <v>3064</v>
      </c>
      <c r="BH938" s="53" t="str">
        <f>'[1]2023'!Q150</f>
        <v>#REF!</v>
      </c>
      <c r="BI938" s="27"/>
      <c r="BJ938" s="27"/>
      <c r="BK938" s="27" t="s">
        <v>76</v>
      </c>
      <c r="BL938" s="27"/>
    </row>
    <row r="939" ht="14.25" customHeight="1">
      <c r="A939" s="26" t="s">
        <v>55</v>
      </c>
      <c r="B939" s="26" t="s">
        <v>56</v>
      </c>
      <c r="C939" s="26" t="s">
        <v>57</v>
      </c>
      <c r="D939" s="26" t="s">
        <v>81</v>
      </c>
      <c r="E939" s="27" t="s">
        <v>3065</v>
      </c>
      <c r="F939" s="28" t="s">
        <v>3066</v>
      </c>
      <c r="G939" s="29">
        <v>45171.0</v>
      </c>
      <c r="H939" s="30">
        <v>45171.0</v>
      </c>
      <c r="I939" s="30">
        <v>45536.0</v>
      </c>
      <c r="J939" s="31" t="s">
        <v>3067</v>
      </c>
      <c r="K939" s="26" t="s">
        <v>475</v>
      </c>
      <c r="L939" s="32" t="s">
        <v>1053</v>
      </c>
      <c r="M939" s="33">
        <v>49087.5</v>
      </c>
      <c r="N939" s="34">
        <v>52370.11</v>
      </c>
      <c r="O939" s="27" t="s">
        <v>76</v>
      </c>
      <c r="P939" s="35" t="s">
        <v>89</v>
      </c>
      <c r="Q939" s="35" t="s">
        <v>65</v>
      </c>
      <c r="R939" s="36">
        <v>45171.0</v>
      </c>
      <c r="S939" s="35" t="s">
        <v>78</v>
      </c>
      <c r="T939" s="54" t="s">
        <v>3068</v>
      </c>
      <c r="U939" s="37" t="s">
        <v>67</v>
      </c>
      <c r="V939" s="38">
        <v>2550000.0</v>
      </c>
      <c r="W939" s="78">
        <v>4005710.0</v>
      </c>
      <c r="X939" s="27">
        <v>2018.0</v>
      </c>
      <c r="Y939" s="79" t="s">
        <v>3069</v>
      </c>
      <c r="Z939" s="79" t="s">
        <v>1223</v>
      </c>
      <c r="AA939" s="39">
        <v>5710.0</v>
      </c>
      <c r="AB939" s="27"/>
      <c r="AC939" s="27">
        <f t="shared" si="619"/>
        <v>0</v>
      </c>
      <c r="AD939" s="41"/>
      <c r="AE939" s="42"/>
      <c r="AF939" s="27"/>
      <c r="AG939" s="43">
        <f t="shared" si="756"/>
        <v>12590.94375</v>
      </c>
      <c r="AH939" s="29"/>
      <c r="AI939" s="29"/>
      <c r="AJ939" s="29"/>
      <c r="AK939" s="29"/>
      <c r="AL939" s="27"/>
      <c r="AM939" s="27"/>
      <c r="AN939" s="47"/>
      <c r="AO939" s="46">
        <f>M939*15%</f>
        <v>7363.125</v>
      </c>
      <c r="AP939" s="57">
        <v>44995.0</v>
      </c>
      <c r="AQ939" s="43">
        <f t="shared" si="755"/>
        <v>13253.625</v>
      </c>
      <c r="AR939" s="43">
        <f t="shared" si="448"/>
        <v>662.68125</v>
      </c>
      <c r="AS939" s="43">
        <f t="shared" si="449"/>
        <v>2319.384375</v>
      </c>
      <c r="AT939" s="48">
        <f t="shared" si="753"/>
        <v>10271.55938</v>
      </c>
      <c r="AU939" s="49">
        <f>AQ939-AR939-AS939-AC939-AO939</f>
        <v>2908.434375</v>
      </c>
      <c r="AV939" s="48"/>
      <c r="AW939" s="34">
        <f t="shared" si="540"/>
        <v>52370.11</v>
      </c>
      <c r="AX939" s="50">
        <f t="shared" si="757"/>
        <v>2908.434375</v>
      </c>
      <c r="AY939" s="43"/>
      <c r="AZ939" s="47"/>
      <c r="BA939" s="48">
        <f t="shared" si="740"/>
        <v>-4454.690625</v>
      </c>
      <c r="BB939" s="27"/>
      <c r="BC939" s="27"/>
      <c r="BD939" s="51"/>
      <c r="BE939" s="52"/>
      <c r="BF939" s="27"/>
      <c r="BG939" s="53">
        <v>0.0</v>
      </c>
      <c r="BH939" s="53" t="str">
        <f>'[1]2023'!Q1350</f>
        <v>#REF!</v>
      </c>
      <c r="BI939" s="27"/>
      <c r="BJ939" s="27"/>
      <c r="BK939" s="27" t="s">
        <v>76</v>
      </c>
      <c r="BL939" s="27"/>
    </row>
    <row r="940" ht="14.25" customHeight="1">
      <c r="A940" s="26" t="s">
        <v>55</v>
      </c>
      <c r="B940" s="26" t="s">
        <v>56</v>
      </c>
      <c r="C940" s="26" t="s">
        <v>57</v>
      </c>
      <c r="D940" s="26" t="s">
        <v>81</v>
      </c>
      <c r="E940" s="27" t="s">
        <v>3070</v>
      </c>
      <c r="F940" s="26" t="s">
        <v>3071</v>
      </c>
      <c r="G940" s="29">
        <v>45172.0</v>
      </c>
      <c r="H940" s="30">
        <v>45172.0</v>
      </c>
      <c r="I940" s="30">
        <v>45537.0</v>
      </c>
      <c r="J940" s="31">
        <v>0.0</v>
      </c>
      <c r="K940" s="26" t="s">
        <v>352</v>
      </c>
      <c r="L940" s="32" t="s">
        <v>75</v>
      </c>
      <c r="M940" s="33">
        <v>22125.0</v>
      </c>
      <c r="N940" s="34">
        <v>23574.38</v>
      </c>
      <c r="O940" s="27" t="s">
        <v>76</v>
      </c>
      <c r="P940" s="35" t="s">
        <v>122</v>
      </c>
      <c r="Q940" s="35">
        <v>0.0</v>
      </c>
      <c r="R940" s="36">
        <v>45172.0</v>
      </c>
      <c r="S940" s="35" t="s">
        <v>86</v>
      </c>
      <c r="T940" s="35">
        <v>0.0</v>
      </c>
      <c r="U940" s="37" t="s">
        <v>67</v>
      </c>
      <c r="V940" s="38"/>
      <c r="W940" s="38"/>
      <c r="X940" s="27"/>
      <c r="Y940" s="39"/>
      <c r="Z940" s="39"/>
      <c r="AA940" s="39"/>
      <c r="AB940" s="27"/>
      <c r="AC940" s="27">
        <f t="shared" si="619"/>
        <v>0</v>
      </c>
      <c r="AD940" s="41">
        <f>IF(AND(S940="0",O940="Paid"),M940*15%,0)</f>
        <v>3318.75</v>
      </c>
      <c r="AE940" s="42"/>
      <c r="AF940" s="27"/>
      <c r="AG940" s="43">
        <f t="shared" si="756"/>
        <v>5675.0625</v>
      </c>
      <c r="AH940" s="29"/>
      <c r="AI940" s="29"/>
      <c r="AJ940" s="29"/>
      <c r="AK940" s="29"/>
      <c r="AL940" s="27"/>
      <c r="AM940" s="44"/>
      <c r="AN940" s="68"/>
      <c r="AO940" s="46"/>
      <c r="AP940" s="47"/>
      <c r="AQ940" s="43">
        <f t="shared" si="755"/>
        <v>5973.75</v>
      </c>
      <c r="AR940" s="43">
        <f t="shared" si="448"/>
        <v>298.6875</v>
      </c>
      <c r="AS940" s="43">
        <f t="shared" si="449"/>
        <v>1045.40625</v>
      </c>
      <c r="AT940" s="48">
        <f t="shared" si="753"/>
        <v>4629.65625</v>
      </c>
      <c r="AU940" s="49">
        <f t="shared" ref="AU940:AU942" si="759">AQ940-AR940-AS940-AC940</f>
        <v>4629.65625</v>
      </c>
      <c r="AV940" s="48"/>
      <c r="AW940" s="34">
        <f t="shared" si="540"/>
        <v>20255.63</v>
      </c>
      <c r="AX940" s="50">
        <f t="shared" si="757"/>
        <v>1310.90625</v>
      </c>
      <c r="AY940" s="43"/>
      <c r="AZ940" s="27"/>
      <c r="BA940" s="48">
        <f t="shared" si="740"/>
        <v>4629.65625</v>
      </c>
      <c r="BB940" s="27"/>
      <c r="BC940" s="27"/>
      <c r="BD940" s="51"/>
      <c r="BE940" s="52"/>
      <c r="BF940" s="27" t="s">
        <v>3070</v>
      </c>
      <c r="BG940" s="53">
        <v>44929.0</v>
      </c>
      <c r="BH940" s="53" t="str">
        <f>'[1]2023'!Q249</f>
        <v>#REF!</v>
      </c>
      <c r="BI940" s="27"/>
      <c r="BJ940" s="27"/>
      <c r="BK940" s="27" t="s">
        <v>76</v>
      </c>
      <c r="BL940" s="27"/>
    </row>
    <row r="941" ht="14.25" customHeight="1">
      <c r="A941" s="26" t="s">
        <v>55</v>
      </c>
      <c r="B941" s="26" t="s">
        <v>56</v>
      </c>
      <c r="C941" s="26" t="s">
        <v>57</v>
      </c>
      <c r="D941" s="26" t="s">
        <v>81</v>
      </c>
      <c r="E941" s="27" t="s">
        <v>3072</v>
      </c>
      <c r="F941" s="26" t="s">
        <v>3073</v>
      </c>
      <c r="G941" s="29">
        <v>45172.0</v>
      </c>
      <c r="H941" s="30">
        <v>45172.0</v>
      </c>
      <c r="I941" s="30">
        <v>45537.0</v>
      </c>
      <c r="J941" s="31">
        <v>0.0</v>
      </c>
      <c r="K941" s="26" t="s">
        <v>352</v>
      </c>
      <c r="L941" s="32" t="s">
        <v>63</v>
      </c>
      <c r="M941" s="33">
        <v>0.0</v>
      </c>
      <c r="N941" s="34">
        <v>0.0</v>
      </c>
      <c r="O941" s="27" t="s">
        <v>64</v>
      </c>
      <c r="P941" s="35">
        <v>0.0</v>
      </c>
      <c r="Q941" s="35" t="s">
        <v>90</v>
      </c>
      <c r="R941" s="36">
        <v>45172.0</v>
      </c>
      <c r="S941" s="35" t="s">
        <v>86</v>
      </c>
      <c r="T941" s="35">
        <v>0.0</v>
      </c>
      <c r="U941" s="37" t="s">
        <v>67</v>
      </c>
      <c r="V941" s="38"/>
      <c r="W941" s="38"/>
      <c r="X941" s="27"/>
      <c r="Y941" s="39"/>
      <c r="Z941" s="39"/>
      <c r="AA941" s="39"/>
      <c r="AB941" s="40"/>
      <c r="AC941" s="27">
        <f t="shared" si="619"/>
        <v>0</v>
      </c>
      <c r="AD941" s="41">
        <f t="shared" ref="AD941:AD943" si="760">IF(AND(S941="0",O941="Paid"),(M941*15%)-AC941,0)</f>
        <v>0</v>
      </c>
      <c r="AE941" s="42"/>
      <c r="AF941" s="27"/>
      <c r="AG941" s="43">
        <f t="shared" si="756"/>
        <v>0</v>
      </c>
      <c r="AH941" s="29"/>
      <c r="AI941" s="29"/>
      <c r="AJ941" s="29"/>
      <c r="AK941" s="29"/>
      <c r="AL941" s="27"/>
      <c r="AM941" s="44"/>
      <c r="AN941" s="47"/>
      <c r="AO941" s="46"/>
      <c r="AP941" s="47"/>
      <c r="AQ941" s="43" t="b">
        <f t="shared" ref="AQ941:AQ942" si="761">IF(O941="Paid",IF(U941="Motor Plus",(M941*27%),IF(U941="Motor One",(M941*22%),(IF(U941="Golden",(M941*25%),(IF(U941="Classic",(M941*15%),(IF(U941="Wethaq",(M941*28%),IF(U941="Alwataniya",(M941*21%))*0)))))))))</f>
        <v>0</v>
      </c>
      <c r="AR941" s="43">
        <f t="shared" si="448"/>
        <v>0</v>
      </c>
      <c r="AS941" s="43">
        <f t="shared" si="449"/>
        <v>0</v>
      </c>
      <c r="AT941" s="48">
        <f t="shared" si="753"/>
        <v>0</v>
      </c>
      <c r="AU941" s="49">
        <f t="shared" si="759"/>
        <v>0</v>
      </c>
      <c r="AV941" s="48"/>
      <c r="AW941" s="34">
        <f t="shared" si="540"/>
        <v>0</v>
      </c>
      <c r="AX941" s="50">
        <f t="shared" si="757"/>
        <v>0</v>
      </c>
      <c r="AY941" s="43"/>
      <c r="AZ941" s="27"/>
      <c r="BA941" s="48">
        <f t="shared" si="740"/>
        <v>0</v>
      </c>
      <c r="BB941" s="27"/>
      <c r="BC941" s="27"/>
      <c r="BD941" s="51"/>
      <c r="BE941" s="52"/>
      <c r="BF941" s="27" t="s">
        <v>3072</v>
      </c>
      <c r="BG941" s="53">
        <v>0.0</v>
      </c>
      <c r="BH941" s="53" t="str">
        <f>'[1]2023'!Q302</f>
        <v>#REF!</v>
      </c>
      <c r="BI941" s="27"/>
      <c r="BJ941" s="27"/>
      <c r="BK941" s="27" t="s">
        <v>64</v>
      </c>
      <c r="BL941" s="27"/>
    </row>
    <row r="942" ht="14.25" customHeight="1">
      <c r="A942" s="26" t="s">
        <v>55</v>
      </c>
      <c r="B942" s="26" t="s">
        <v>56</v>
      </c>
      <c r="C942" s="26" t="s">
        <v>57</v>
      </c>
      <c r="D942" s="26" t="s">
        <v>81</v>
      </c>
      <c r="E942" s="27" t="s">
        <v>3074</v>
      </c>
      <c r="F942" s="26" t="s">
        <v>3075</v>
      </c>
      <c r="G942" s="29">
        <v>45172.0</v>
      </c>
      <c r="H942" s="30">
        <v>45172.0</v>
      </c>
      <c r="I942" s="30">
        <v>45537.0</v>
      </c>
      <c r="J942" s="31">
        <v>0.0</v>
      </c>
      <c r="K942" s="26" t="s">
        <v>352</v>
      </c>
      <c r="L942" s="32" t="s">
        <v>63</v>
      </c>
      <c r="M942" s="33">
        <v>0.0</v>
      </c>
      <c r="N942" s="34">
        <v>0.0</v>
      </c>
      <c r="O942" s="27" t="s">
        <v>64</v>
      </c>
      <c r="P942" s="35">
        <v>0.0</v>
      </c>
      <c r="Q942" s="35" t="s">
        <v>90</v>
      </c>
      <c r="R942" s="36">
        <v>45172.0</v>
      </c>
      <c r="S942" s="35" t="s">
        <v>86</v>
      </c>
      <c r="T942" s="35">
        <v>0.0</v>
      </c>
      <c r="U942" s="37" t="s">
        <v>67</v>
      </c>
      <c r="V942" s="38"/>
      <c r="W942" s="38"/>
      <c r="X942" s="27"/>
      <c r="Y942" s="39"/>
      <c r="Z942" s="39"/>
      <c r="AA942" s="39"/>
      <c r="AB942" s="40"/>
      <c r="AC942" s="27">
        <f t="shared" si="619"/>
        <v>0</v>
      </c>
      <c r="AD942" s="41">
        <f t="shared" si="760"/>
        <v>0</v>
      </c>
      <c r="AE942" s="42"/>
      <c r="AF942" s="27"/>
      <c r="AG942" s="43">
        <f t="shared" si="756"/>
        <v>0</v>
      </c>
      <c r="AH942" s="29"/>
      <c r="AI942" s="29"/>
      <c r="AJ942" s="29"/>
      <c r="AK942" s="29"/>
      <c r="AL942" s="27"/>
      <c r="AM942" s="44"/>
      <c r="AN942" s="47"/>
      <c r="AO942" s="46"/>
      <c r="AP942" s="47"/>
      <c r="AQ942" s="43" t="b">
        <f t="shared" si="761"/>
        <v>0</v>
      </c>
      <c r="AR942" s="43">
        <f t="shared" si="448"/>
        <v>0</v>
      </c>
      <c r="AS942" s="43">
        <f t="shared" si="449"/>
        <v>0</v>
      </c>
      <c r="AT942" s="48">
        <f t="shared" si="753"/>
        <v>0</v>
      </c>
      <c r="AU942" s="49">
        <f t="shared" si="759"/>
        <v>0</v>
      </c>
      <c r="AV942" s="48"/>
      <c r="AW942" s="34">
        <f t="shared" si="540"/>
        <v>0</v>
      </c>
      <c r="AX942" s="50">
        <f t="shared" si="757"/>
        <v>0</v>
      </c>
      <c r="AY942" s="43"/>
      <c r="AZ942" s="27"/>
      <c r="BA942" s="48">
        <f t="shared" si="740"/>
        <v>0</v>
      </c>
      <c r="BB942" s="27"/>
      <c r="BC942" s="27"/>
      <c r="BD942" s="51"/>
      <c r="BE942" s="52"/>
      <c r="BF942" s="27" t="s">
        <v>3074</v>
      </c>
      <c r="BG942" s="53">
        <v>0.0</v>
      </c>
      <c r="BH942" s="53" t="str">
        <f>'[1]2023'!Q351</f>
        <v>#REF!</v>
      </c>
      <c r="BI942" s="27"/>
      <c r="BJ942" s="27"/>
      <c r="BK942" s="27" t="s">
        <v>64</v>
      </c>
      <c r="BL942" s="27"/>
    </row>
    <row r="943" ht="14.25" customHeight="1">
      <c r="A943" s="26" t="s">
        <v>55</v>
      </c>
      <c r="B943" s="26" t="s">
        <v>56</v>
      </c>
      <c r="C943" s="26" t="s">
        <v>57</v>
      </c>
      <c r="D943" s="26" t="s">
        <v>58</v>
      </c>
      <c r="E943" s="27" t="s">
        <v>3076</v>
      </c>
      <c r="F943" s="28" t="s">
        <v>3077</v>
      </c>
      <c r="G943" s="29">
        <v>45172.0</v>
      </c>
      <c r="H943" s="30">
        <v>45172.0</v>
      </c>
      <c r="I943" s="30">
        <v>45537.0</v>
      </c>
      <c r="J943" s="31" t="s">
        <v>3078</v>
      </c>
      <c r="K943" s="26" t="s">
        <v>455</v>
      </c>
      <c r="L943" s="32" t="s">
        <v>3079</v>
      </c>
      <c r="M943" s="33">
        <v>2775.54</v>
      </c>
      <c r="N943" s="34">
        <v>2939.3</v>
      </c>
      <c r="O943" s="27" t="s">
        <v>76</v>
      </c>
      <c r="P943" s="35" t="s">
        <v>430</v>
      </c>
      <c r="Q943" s="35" t="s">
        <v>90</v>
      </c>
      <c r="R943" s="36">
        <v>45172.0</v>
      </c>
      <c r="S943" s="35" t="s">
        <v>86</v>
      </c>
      <c r="T943" s="35">
        <v>0.0</v>
      </c>
      <c r="U943" s="37" t="s">
        <v>58</v>
      </c>
      <c r="V943" s="38"/>
      <c r="W943" s="38"/>
      <c r="X943" s="27"/>
      <c r="Y943" s="39"/>
      <c r="Z943" s="39"/>
      <c r="AA943" s="39"/>
      <c r="AB943" s="27"/>
      <c r="AC943" s="27">
        <f t="shared" si="619"/>
        <v>0</v>
      </c>
      <c r="AD943" s="41">
        <f t="shared" si="760"/>
        <v>416.331</v>
      </c>
      <c r="AE943" s="42"/>
      <c r="AF943" s="27"/>
      <c r="AG943" s="43">
        <f t="shared" si="756"/>
        <v>711.92601</v>
      </c>
      <c r="AH943" s="29"/>
      <c r="AI943" s="29"/>
      <c r="AJ943" s="29"/>
      <c r="AK943" s="29"/>
      <c r="AL943" s="27"/>
      <c r="AM943" s="44">
        <f>((M943*25%)-AC943-((M943*25%)*22.5%))*30%</f>
        <v>161.3282625</v>
      </c>
      <c r="AN943" s="179">
        <v>45148.0</v>
      </c>
      <c r="AO943" s="46"/>
      <c r="AP943" s="47"/>
      <c r="AQ943" s="43">
        <f t="shared" ref="AQ943:AQ945" si="762">IF(U943="Motor Plus",(M943*27%),IF(U943="Motor One",(M943*22%),(IF(U943="Golden",(M943*25%),(IF(U943="Classic",(M943*15%),(IF(U943="Wethaq",(M943*28%),IF(U943="Alwataniya",(M943*21%))*0))))))))</f>
        <v>0</v>
      </c>
      <c r="AR943" s="43">
        <f t="shared" si="448"/>
        <v>0</v>
      </c>
      <c r="AS943" s="43">
        <f t="shared" si="449"/>
        <v>0</v>
      </c>
      <c r="AT943" s="48">
        <f t="shared" si="753"/>
        <v>0</v>
      </c>
      <c r="AU943" s="49">
        <f>AQ943-AR943-AS943-AC943-AO943</f>
        <v>0</v>
      </c>
      <c r="AV943" s="48"/>
      <c r="AW943" s="34">
        <f t="shared" si="540"/>
        <v>2522.969</v>
      </c>
      <c r="AX943" s="50">
        <f t="shared" si="757"/>
        <v>134.2667475</v>
      </c>
      <c r="AY943" s="43"/>
      <c r="AZ943" s="47"/>
      <c r="BA943" s="48">
        <f t="shared" si="740"/>
        <v>-161.3282625</v>
      </c>
      <c r="BB943" s="27"/>
      <c r="BC943" s="27"/>
      <c r="BD943" s="51"/>
      <c r="BE943" s="52"/>
      <c r="BF943" s="27"/>
      <c r="BG943" s="53">
        <v>0.0</v>
      </c>
      <c r="BH943" s="53" t="str">
        <f>'[1]2023'!Q1249</f>
        <v>#REF!</v>
      </c>
      <c r="BI943" s="27"/>
      <c r="BJ943" s="27"/>
      <c r="BK943" s="27" t="s">
        <v>76</v>
      </c>
      <c r="BL943" s="27"/>
    </row>
    <row r="944" ht="14.25" customHeight="1">
      <c r="A944" s="26" t="s">
        <v>55</v>
      </c>
      <c r="B944" s="26" t="s">
        <v>56</v>
      </c>
      <c r="C944" s="26" t="s">
        <v>57</v>
      </c>
      <c r="D944" s="26" t="s">
        <v>81</v>
      </c>
      <c r="E944" s="27" t="s">
        <v>3080</v>
      </c>
      <c r="F944" s="26" t="s">
        <v>3081</v>
      </c>
      <c r="G944" s="29">
        <v>45173.0</v>
      </c>
      <c r="H944" s="30">
        <v>45173.0</v>
      </c>
      <c r="I944" s="30">
        <v>45538.0</v>
      </c>
      <c r="J944" s="31">
        <v>0.0</v>
      </c>
      <c r="K944" s="26" t="s">
        <v>420</v>
      </c>
      <c r="L944" s="32" t="s">
        <v>75</v>
      </c>
      <c r="M944" s="33">
        <v>28624.52</v>
      </c>
      <c r="N944" s="34">
        <v>30454.37</v>
      </c>
      <c r="O944" s="27" t="s">
        <v>76</v>
      </c>
      <c r="P944" s="35" t="s">
        <v>89</v>
      </c>
      <c r="Q944" s="35" t="s">
        <v>85</v>
      </c>
      <c r="R944" s="36">
        <v>45173.0</v>
      </c>
      <c r="S944" s="35" t="s">
        <v>86</v>
      </c>
      <c r="T944" s="35">
        <v>0.0</v>
      </c>
      <c r="U944" s="37" t="s">
        <v>67</v>
      </c>
      <c r="V944" s="38"/>
      <c r="W944" s="38"/>
      <c r="X944" s="27"/>
      <c r="Y944" s="39"/>
      <c r="Z944" s="39"/>
      <c r="AA944" s="39"/>
      <c r="AB944" s="40"/>
      <c r="AC944" s="27">
        <f t="shared" si="619"/>
        <v>0</v>
      </c>
      <c r="AD944" s="41">
        <f>IF(AND(S944="0",O944="Paid"),M944*15%,0)</f>
        <v>4293.678</v>
      </c>
      <c r="AE944" s="42"/>
      <c r="AF944" s="92">
        <v>45112.0</v>
      </c>
      <c r="AG944" s="43">
        <f t="shared" si="756"/>
        <v>7342.18938</v>
      </c>
      <c r="AH944" s="29"/>
      <c r="AI944" s="29"/>
      <c r="AJ944" s="29"/>
      <c r="AK944" s="29"/>
      <c r="AL944" s="27"/>
      <c r="AM944" s="27"/>
      <c r="AN944" s="47"/>
      <c r="AO944" s="46"/>
      <c r="AP944" s="47"/>
      <c r="AQ944" s="43">
        <f t="shared" si="762"/>
        <v>7728.6204</v>
      </c>
      <c r="AR944" s="43">
        <f t="shared" si="448"/>
        <v>386.43102</v>
      </c>
      <c r="AS944" s="43">
        <f t="shared" si="449"/>
        <v>1352.50857</v>
      </c>
      <c r="AT944" s="48">
        <f t="shared" si="753"/>
        <v>5989.68081</v>
      </c>
      <c r="AU944" s="49">
        <f t="shared" ref="AU944:AU946" si="763">AQ944-AR944-AS944-AC944</f>
        <v>5989.68081</v>
      </c>
      <c r="AV944" s="48"/>
      <c r="AW944" s="34">
        <f t="shared" si="540"/>
        <v>26160.692</v>
      </c>
      <c r="AX944" s="50">
        <f t="shared" si="757"/>
        <v>1696.00281</v>
      </c>
      <c r="AY944" s="43"/>
      <c r="AZ944" s="27"/>
      <c r="BA944" s="48">
        <f t="shared" si="740"/>
        <v>5989.68081</v>
      </c>
      <c r="BB944" s="27"/>
      <c r="BC944" s="27"/>
      <c r="BD944" s="51"/>
      <c r="BE944" s="52"/>
      <c r="BF944" s="27" t="s">
        <v>3080</v>
      </c>
      <c r="BG944" s="58" t="s">
        <v>562</v>
      </c>
      <c r="BH944" s="53" t="str">
        <f>'[1]2023'!Q430</f>
        <v>#REF!</v>
      </c>
      <c r="BI944" s="27"/>
      <c r="BJ944" s="27"/>
      <c r="BK944" s="27" t="s">
        <v>76</v>
      </c>
      <c r="BL944" s="27"/>
    </row>
    <row r="945" ht="14.25" customHeight="1">
      <c r="A945" s="26" t="s">
        <v>55</v>
      </c>
      <c r="B945" s="26" t="s">
        <v>56</v>
      </c>
      <c r="C945" s="26" t="s">
        <v>57</v>
      </c>
      <c r="D945" s="26" t="s">
        <v>71</v>
      </c>
      <c r="E945" s="27" t="s">
        <v>3082</v>
      </c>
      <c r="F945" s="28" t="s">
        <v>3083</v>
      </c>
      <c r="G945" s="29">
        <v>45173.0</v>
      </c>
      <c r="H945" s="30">
        <v>45173.0</v>
      </c>
      <c r="I945" s="30">
        <v>45538.0</v>
      </c>
      <c r="J945" s="31" t="s">
        <v>3084</v>
      </c>
      <c r="K945" s="26" t="s">
        <v>420</v>
      </c>
      <c r="L945" s="69">
        <v>45174.0</v>
      </c>
      <c r="M945" s="33">
        <v>48520.66</v>
      </c>
      <c r="N945" s="34">
        <v>51523.38</v>
      </c>
      <c r="O945" s="27" t="s">
        <v>76</v>
      </c>
      <c r="P945" s="35" t="s">
        <v>95</v>
      </c>
      <c r="Q945" s="35" t="s">
        <v>65</v>
      </c>
      <c r="R945" s="36">
        <v>45173.0</v>
      </c>
      <c r="S945" s="35" t="s">
        <v>78</v>
      </c>
      <c r="T945" s="35">
        <v>0.0</v>
      </c>
      <c r="U945" s="37" t="s">
        <v>67</v>
      </c>
      <c r="V945" s="101">
        <v>2155000.0</v>
      </c>
      <c r="W945" s="78" t="s">
        <v>3085</v>
      </c>
      <c r="X945" s="27">
        <v>2018.0</v>
      </c>
      <c r="Y945" s="39"/>
      <c r="Z945" s="79" t="s">
        <v>997</v>
      </c>
      <c r="AA945" s="39"/>
      <c r="AB945" s="40"/>
      <c r="AC945" s="27">
        <f t="shared" si="619"/>
        <v>0</v>
      </c>
      <c r="AD945" s="41"/>
      <c r="AE945" s="42"/>
      <c r="AF945" s="27"/>
      <c r="AG945" s="43">
        <f t="shared" si="756"/>
        <v>12445.54929</v>
      </c>
      <c r="AH945" s="29"/>
      <c r="AI945" s="29"/>
      <c r="AJ945" s="29"/>
      <c r="AK945" s="29"/>
      <c r="AL945" s="27"/>
      <c r="AM945" s="44"/>
      <c r="AN945" s="45"/>
      <c r="AO945" s="46"/>
      <c r="AP945" s="47"/>
      <c r="AQ945" s="43">
        <f t="shared" si="762"/>
        <v>13100.5782</v>
      </c>
      <c r="AR945" s="43">
        <f t="shared" si="448"/>
        <v>655.02891</v>
      </c>
      <c r="AS945" s="43">
        <f t="shared" si="449"/>
        <v>2292.601185</v>
      </c>
      <c r="AT945" s="48">
        <f t="shared" si="753"/>
        <v>10152.94811</v>
      </c>
      <c r="AU945" s="49">
        <f t="shared" si="763"/>
        <v>10152.94811</v>
      </c>
      <c r="AV945" s="48"/>
      <c r="AW945" s="34">
        <f t="shared" si="540"/>
        <v>51523.38</v>
      </c>
      <c r="AX945" s="50">
        <f t="shared" si="757"/>
        <v>10152.94811</v>
      </c>
      <c r="AY945" s="43"/>
      <c r="AZ945" s="43"/>
      <c r="BA945" s="48">
        <f t="shared" si="740"/>
        <v>10152.94811</v>
      </c>
      <c r="BB945" s="27"/>
      <c r="BC945" s="27"/>
      <c r="BD945" s="51"/>
      <c r="BE945" s="52"/>
      <c r="BF945" s="27" t="s">
        <v>3082</v>
      </c>
      <c r="BG945" s="53">
        <v>0.0</v>
      </c>
      <c r="BH945" s="53" t="str">
        <f>'[1]2023'!Q491</f>
        <v>#REF!</v>
      </c>
      <c r="BI945" s="27"/>
      <c r="BJ945" s="27"/>
      <c r="BK945" s="27" t="s">
        <v>76</v>
      </c>
      <c r="BL945" s="27"/>
    </row>
    <row r="946" ht="14.25" customHeight="1">
      <c r="A946" s="26" t="s">
        <v>55</v>
      </c>
      <c r="B946" s="26" t="s">
        <v>56</v>
      </c>
      <c r="C946" s="26" t="s">
        <v>57</v>
      </c>
      <c r="D946" s="26" t="s">
        <v>81</v>
      </c>
      <c r="E946" s="27" t="s">
        <v>3086</v>
      </c>
      <c r="F946" s="28" t="s">
        <v>3087</v>
      </c>
      <c r="G946" s="29">
        <v>45173.0</v>
      </c>
      <c r="H946" s="30">
        <v>45173.0</v>
      </c>
      <c r="I946" s="30">
        <v>45538.0</v>
      </c>
      <c r="J946" s="31">
        <v>0.0</v>
      </c>
      <c r="K946" s="26" t="s">
        <v>420</v>
      </c>
      <c r="L946" s="32" t="s">
        <v>63</v>
      </c>
      <c r="M946" s="33">
        <v>0.0</v>
      </c>
      <c r="N946" s="34">
        <v>0.0</v>
      </c>
      <c r="O946" s="27" t="s">
        <v>64</v>
      </c>
      <c r="P946" s="35">
        <v>0.0</v>
      </c>
      <c r="Q946" s="35" t="s">
        <v>90</v>
      </c>
      <c r="R946" s="36">
        <v>45173.0</v>
      </c>
      <c r="S946" s="35" t="s">
        <v>86</v>
      </c>
      <c r="T946" s="35">
        <v>0.0</v>
      </c>
      <c r="U946" s="37" t="s">
        <v>67</v>
      </c>
      <c r="V946" s="38"/>
      <c r="W946" s="38"/>
      <c r="X946" s="27"/>
      <c r="Y946" s="39"/>
      <c r="Z946" s="79" t="s">
        <v>208</v>
      </c>
      <c r="AA946" s="39"/>
      <c r="AB946" s="40"/>
      <c r="AC946" s="27">
        <f t="shared" si="619"/>
        <v>0</v>
      </c>
      <c r="AD946" s="41">
        <f t="shared" ref="AD946:AD948" si="764">IF(AND(S946="0",O946="Paid"),(M946*15%)-AC946,0)</f>
        <v>0</v>
      </c>
      <c r="AE946" s="42"/>
      <c r="AF946" s="27"/>
      <c r="AG946" s="43">
        <f t="shared" si="756"/>
        <v>0</v>
      </c>
      <c r="AH946" s="29"/>
      <c r="AI946" s="29"/>
      <c r="AJ946" s="29"/>
      <c r="AK946" s="29"/>
      <c r="AL946" s="27"/>
      <c r="AM946" s="44"/>
      <c r="AN946" s="93"/>
      <c r="AO946" s="46"/>
      <c r="AP946" s="47"/>
      <c r="AQ946" s="43" t="b">
        <f>IF(O946="Paid",IF(U946="Motor Plus",(M946*27%),IF(U946="Motor One",(M946*22%),(IF(U946="Golden",(M946*25%),(IF(U946="Classic",(M946*15%),(IF(U946="Wethaq",(M946*28%),IF(U946="Alwataniya",(M946*21%))*0)))))))))</f>
        <v>0</v>
      </c>
      <c r="AR946" s="43">
        <f t="shared" si="448"/>
        <v>0</v>
      </c>
      <c r="AS946" s="43">
        <f t="shared" si="449"/>
        <v>0</v>
      </c>
      <c r="AT946" s="48">
        <f t="shared" si="753"/>
        <v>0</v>
      </c>
      <c r="AU946" s="49">
        <f t="shared" si="763"/>
        <v>0</v>
      </c>
      <c r="AV946" s="48"/>
      <c r="AW946" s="34">
        <f t="shared" si="540"/>
        <v>0</v>
      </c>
      <c r="AX946" s="50">
        <f t="shared" si="757"/>
        <v>0</v>
      </c>
      <c r="AY946" s="43"/>
      <c r="AZ946" s="43"/>
      <c r="BA946" s="48">
        <f t="shared" si="740"/>
        <v>0</v>
      </c>
      <c r="BB946" s="27"/>
      <c r="BC946" s="27"/>
      <c r="BD946" s="51"/>
      <c r="BE946" s="52"/>
      <c r="BF946" s="27" t="s">
        <v>3086</v>
      </c>
      <c r="BG946" s="53">
        <v>0.0</v>
      </c>
      <c r="BH946" s="53" t="str">
        <f>'[1]2023'!Q493</f>
        <v>#REF!</v>
      </c>
      <c r="BI946" s="27"/>
      <c r="BJ946" s="27"/>
      <c r="BK946" s="27" t="s">
        <v>64</v>
      </c>
      <c r="BL946" s="27"/>
    </row>
    <row r="947" ht="14.25" customHeight="1">
      <c r="A947" s="26" t="s">
        <v>55</v>
      </c>
      <c r="B947" s="26" t="s">
        <v>56</v>
      </c>
      <c r="C947" s="26" t="s">
        <v>57</v>
      </c>
      <c r="D947" s="26" t="s">
        <v>81</v>
      </c>
      <c r="E947" s="27" t="s">
        <v>3088</v>
      </c>
      <c r="F947" s="28" t="s">
        <v>3089</v>
      </c>
      <c r="G947" s="29">
        <v>45173.0</v>
      </c>
      <c r="H947" s="30">
        <v>45173.0</v>
      </c>
      <c r="I947" s="30">
        <v>45538.0</v>
      </c>
      <c r="J947" s="31" t="s">
        <v>3090</v>
      </c>
      <c r="K947" s="26" t="s">
        <v>475</v>
      </c>
      <c r="L947" s="69">
        <v>45239.0</v>
      </c>
      <c r="M947" s="33">
        <v>28262.5</v>
      </c>
      <c r="N947" s="34">
        <v>30212.31</v>
      </c>
      <c r="O947" s="27" t="s">
        <v>76</v>
      </c>
      <c r="P947" s="35" t="s">
        <v>89</v>
      </c>
      <c r="Q947" s="35" t="s">
        <v>90</v>
      </c>
      <c r="R947" s="36">
        <v>45173.0</v>
      </c>
      <c r="S947" s="35" t="s">
        <v>86</v>
      </c>
      <c r="T947" s="35">
        <v>0.0</v>
      </c>
      <c r="U947" s="37" t="s">
        <v>67</v>
      </c>
      <c r="V947" s="38"/>
      <c r="W947" s="38"/>
      <c r="X947" s="27"/>
      <c r="Y947" s="39"/>
      <c r="Z947" s="79" t="s">
        <v>764</v>
      </c>
      <c r="AA947" s="39"/>
      <c r="AB947" s="27"/>
      <c r="AC947" s="27">
        <f t="shared" si="619"/>
        <v>0</v>
      </c>
      <c r="AD947" s="41">
        <f t="shared" si="764"/>
        <v>4239.375</v>
      </c>
      <c r="AE947" s="42"/>
      <c r="AF947" s="27"/>
      <c r="AG947" s="43">
        <f t="shared" si="756"/>
        <v>7249.33125</v>
      </c>
      <c r="AH947" s="29"/>
      <c r="AI947" s="29"/>
      <c r="AJ947" s="29"/>
      <c r="AK947" s="29"/>
      <c r="AL947" s="27"/>
      <c r="AM947" s="44"/>
      <c r="AN947" s="47"/>
      <c r="AO947" s="46"/>
      <c r="AP947" s="47"/>
      <c r="AQ947" s="43">
        <f>IF(U947="Motor Plus",(M947*27%),IF(U947="Motor One",(M947*22%),(IF(U947="Golden",(M947*25%),(IF(U947="Classic",(M947*15%),(IF(U947="Wethaq",(M947*28%),IF(U947="Alwataniya",(M947*21%))*0))))))))</f>
        <v>7630.875</v>
      </c>
      <c r="AR947" s="43">
        <f t="shared" si="448"/>
        <v>381.54375</v>
      </c>
      <c r="AS947" s="43">
        <f t="shared" si="449"/>
        <v>1335.403125</v>
      </c>
      <c r="AT947" s="48">
        <f t="shared" si="753"/>
        <v>5913.928125</v>
      </c>
      <c r="AU947" s="49">
        <f t="shared" ref="AU947:AU948" si="765">AQ947-AR947-AS947-AC947-AO947</f>
        <v>5913.928125</v>
      </c>
      <c r="AV947" s="48"/>
      <c r="AW947" s="34">
        <f t="shared" si="540"/>
        <v>25972.935</v>
      </c>
      <c r="AX947" s="50">
        <f t="shared" si="757"/>
        <v>1674.553125</v>
      </c>
      <c r="AY947" s="43"/>
      <c r="AZ947" s="47"/>
      <c r="BA947" s="48">
        <f t="shared" si="740"/>
        <v>5913.928125</v>
      </c>
      <c r="BB947" s="27"/>
      <c r="BC947" s="27"/>
      <c r="BD947" s="51"/>
      <c r="BE947" s="52"/>
      <c r="BF947" s="27"/>
      <c r="BG947" s="53">
        <v>0.0</v>
      </c>
      <c r="BH947" s="53" t="str">
        <f>'[1]2023'!Q1281</f>
        <v>#REF!</v>
      </c>
      <c r="BI947" s="27"/>
      <c r="BJ947" s="27"/>
      <c r="BK947" s="27" t="s">
        <v>76</v>
      </c>
      <c r="BL947" s="27"/>
    </row>
    <row r="948" ht="14.25" customHeight="1">
      <c r="A948" s="26" t="s">
        <v>1634</v>
      </c>
      <c r="B948" s="26" t="s">
        <v>69</v>
      </c>
      <c r="C948" s="26" t="s">
        <v>70</v>
      </c>
      <c r="D948" s="26" t="s">
        <v>71</v>
      </c>
      <c r="E948" s="99" t="s">
        <v>3091</v>
      </c>
      <c r="F948" s="26" t="s">
        <v>3092</v>
      </c>
      <c r="G948" s="29">
        <v>45173.0</v>
      </c>
      <c r="H948" s="30">
        <v>45173.0</v>
      </c>
      <c r="I948" s="30">
        <v>45538.0</v>
      </c>
      <c r="J948" s="31">
        <v>0.0</v>
      </c>
      <c r="K948" s="26" t="s">
        <v>475</v>
      </c>
      <c r="L948" s="89">
        <v>45225.0</v>
      </c>
      <c r="M948" s="33">
        <v>40450.0</v>
      </c>
      <c r="N948" s="34">
        <v>43180.0</v>
      </c>
      <c r="O948" s="27" t="s">
        <v>76</v>
      </c>
      <c r="P948" s="35" t="s">
        <v>77</v>
      </c>
      <c r="Q948" s="35">
        <v>0.0</v>
      </c>
      <c r="R948" s="36">
        <v>45173.0</v>
      </c>
      <c r="S948" s="35" t="s">
        <v>78</v>
      </c>
      <c r="T948" s="54" t="s">
        <v>79</v>
      </c>
      <c r="U948" s="37" t="s">
        <v>69</v>
      </c>
      <c r="V948" s="38"/>
      <c r="W948" s="38"/>
      <c r="X948" s="27"/>
      <c r="Y948" s="39"/>
      <c r="Z948" s="39"/>
      <c r="AA948" s="39"/>
      <c r="AB948" s="27"/>
      <c r="AC948" s="27">
        <f t="shared" si="619"/>
        <v>0</v>
      </c>
      <c r="AD948" s="41">
        <f t="shared" si="764"/>
        <v>0</v>
      </c>
      <c r="AE948" s="42"/>
      <c r="AF948" s="189">
        <v>40000.0</v>
      </c>
      <c r="AG948" s="190">
        <f>(AF948*16.75%)-((AF948*16.75%)*5%)</f>
        <v>6365</v>
      </c>
      <c r="AH948" s="29"/>
      <c r="AI948" s="29"/>
      <c r="AJ948" s="40">
        <v>0.1675</v>
      </c>
      <c r="AK948" s="29">
        <v>45323.0</v>
      </c>
      <c r="AL948" s="27">
        <f>AF948*AJ948</f>
        <v>6700</v>
      </c>
      <c r="AM948" s="44"/>
      <c r="AN948" s="47"/>
      <c r="AO948" s="149">
        <f>((AF948*AJ948)-((AF948*AJ948)*22.5%))*80%</f>
        <v>4154</v>
      </c>
      <c r="AP948" s="71">
        <v>45294.0</v>
      </c>
      <c r="AQ948" s="43">
        <f>IF(O948="Paid",IF(U948="Motor Plus",(M948*27%),IF(U948="Motor One",(M948*22%),(IF(U948="Golden",(M948*25%),(IF(U948="Classic",(M948*15%),(IF(U948="Wethaq",(M948*28%),IF(U948="Alwataniya",(M948*21%))*0)))))))))</f>
        <v>0</v>
      </c>
      <c r="AR948" s="43">
        <f t="shared" si="448"/>
        <v>0</v>
      </c>
      <c r="AS948" s="43">
        <f t="shared" si="449"/>
        <v>0</v>
      </c>
      <c r="AT948" s="48">
        <f t="shared" si="753"/>
        <v>0</v>
      </c>
      <c r="AU948" s="49">
        <f t="shared" si="765"/>
        <v>-4154</v>
      </c>
      <c r="AV948" s="48"/>
      <c r="AW948" s="34">
        <f t="shared" si="540"/>
        <v>43180</v>
      </c>
      <c r="AX948" s="50">
        <f t="shared" si="757"/>
        <v>-4489</v>
      </c>
      <c r="AY948" s="43"/>
      <c r="AZ948" s="47"/>
      <c r="BA948" s="48">
        <f t="shared" si="740"/>
        <v>-8308</v>
      </c>
      <c r="BB948" s="27"/>
      <c r="BC948" s="27"/>
      <c r="BD948" s="51"/>
      <c r="BE948" s="52"/>
      <c r="BF948" s="27"/>
      <c r="BG948" s="58" t="s">
        <v>2973</v>
      </c>
      <c r="BH948" s="53" t="str">
        <f>'[1]2023'!Q1304</f>
        <v>#REF!</v>
      </c>
      <c r="BI948" s="27"/>
      <c r="BJ948" s="27"/>
      <c r="BK948" s="27" t="s">
        <v>76</v>
      </c>
      <c r="BL948" s="27"/>
    </row>
    <row r="949" ht="14.25" customHeight="1">
      <c r="A949" s="26" t="s">
        <v>55</v>
      </c>
      <c r="B949" s="26" t="s">
        <v>56</v>
      </c>
      <c r="C949" s="26" t="s">
        <v>57</v>
      </c>
      <c r="D949" s="26" t="s">
        <v>81</v>
      </c>
      <c r="E949" s="27" t="s">
        <v>3093</v>
      </c>
      <c r="F949" s="28" t="s">
        <v>3094</v>
      </c>
      <c r="G949" s="29">
        <v>45174.0</v>
      </c>
      <c r="H949" s="30">
        <v>45174.0</v>
      </c>
      <c r="I949" s="30">
        <v>45539.0</v>
      </c>
      <c r="J949" s="31">
        <v>0.0</v>
      </c>
      <c r="K949" s="26" t="s">
        <v>427</v>
      </c>
      <c r="L949" s="32" t="s">
        <v>75</v>
      </c>
      <c r="M949" s="33">
        <v>20377.5</v>
      </c>
      <c r="N949" s="34">
        <v>21720.79</v>
      </c>
      <c r="O949" s="27" t="s">
        <v>76</v>
      </c>
      <c r="P949" s="35" t="s">
        <v>122</v>
      </c>
      <c r="Q949" s="35" t="s">
        <v>85</v>
      </c>
      <c r="R949" s="36">
        <v>45174.0</v>
      </c>
      <c r="S949" s="35" t="s">
        <v>86</v>
      </c>
      <c r="T949" s="35">
        <v>0.0</v>
      </c>
      <c r="U949" s="37" t="s">
        <v>67</v>
      </c>
      <c r="V949" s="38"/>
      <c r="W949" s="38"/>
      <c r="X949" s="27"/>
      <c r="Y949" s="39"/>
      <c r="Z949" s="39"/>
      <c r="AA949" s="39"/>
      <c r="AB949" s="40"/>
      <c r="AC949" s="27">
        <f t="shared" si="619"/>
        <v>0</v>
      </c>
      <c r="AD949" s="41">
        <f t="shared" ref="AD949:AD950" si="766">IF(AND(S949="0",O949="Paid"),M949*15%,0)</f>
        <v>3056.625</v>
      </c>
      <c r="AE949" s="42"/>
      <c r="AF949" s="94">
        <v>45052.0</v>
      </c>
      <c r="AG949" s="43">
        <f t="shared" ref="AG949:AG950" si="767">IF(O949="Paid",IF(A949="Alwataniya",(M949*21%)-((M949*21%)*5%),IF((A949="GIG"),(M949*25%)-((M949*25%)*5%),IF((A949="Allianz"),(M949*27%)-((M949*27%)*5%),0))),0)</f>
        <v>5226.82875</v>
      </c>
      <c r="AH949" s="29"/>
      <c r="AI949" s="29"/>
      <c r="AJ949" s="29"/>
      <c r="AK949" s="29"/>
      <c r="AL949" s="27"/>
      <c r="AM949" s="44"/>
      <c r="AN949" s="93"/>
      <c r="AO949" s="46"/>
      <c r="AP949" s="47"/>
      <c r="AQ949" s="43">
        <f t="shared" ref="AQ949:AQ950" si="768">IF(U949="Motor Plus",(M949*27%),IF(U949="Motor One",(M949*22%),(IF(U949="Golden",(M949*25%),(IF(U949="Classic",(M949*15%),(IF(U949="Wethaq",(M949*28%),IF(U949="Alwataniya",(M949*21%))*0))))))))</f>
        <v>5501.925</v>
      </c>
      <c r="AR949" s="43">
        <f t="shared" si="448"/>
        <v>275.09625</v>
      </c>
      <c r="AS949" s="43">
        <f t="shared" si="449"/>
        <v>962.836875</v>
      </c>
      <c r="AT949" s="48">
        <f t="shared" si="753"/>
        <v>4263.991875</v>
      </c>
      <c r="AU949" s="49">
        <f t="shared" ref="AU949:AU952" si="769">AQ949-AR949-AS949-AC949</f>
        <v>4263.991875</v>
      </c>
      <c r="AV949" s="48"/>
      <c r="AW949" s="34">
        <f t="shared" si="540"/>
        <v>18664.165</v>
      </c>
      <c r="AX949" s="50">
        <f t="shared" si="757"/>
        <v>1207.366875</v>
      </c>
      <c r="AY949" s="43"/>
      <c r="AZ949" s="43"/>
      <c r="BA949" s="48">
        <f t="shared" si="740"/>
        <v>4263.991875</v>
      </c>
      <c r="BB949" s="27"/>
      <c r="BC949" s="27"/>
      <c r="BD949" s="51"/>
      <c r="BE949" s="52"/>
      <c r="BF949" s="27" t="s">
        <v>3093</v>
      </c>
      <c r="BG949" s="53">
        <v>0.0</v>
      </c>
      <c r="BH949" s="53" t="str">
        <f>'[1]2023'!Q545</f>
        <v>#REF!</v>
      </c>
      <c r="BI949" s="27"/>
      <c r="BJ949" s="27"/>
      <c r="BK949" s="27" t="s">
        <v>76</v>
      </c>
      <c r="BL949" s="27"/>
    </row>
    <row r="950" ht="14.25" customHeight="1">
      <c r="A950" s="26" t="s">
        <v>55</v>
      </c>
      <c r="B950" s="26" t="s">
        <v>56</v>
      </c>
      <c r="C950" s="26" t="s">
        <v>57</v>
      </c>
      <c r="D950" s="26" t="s">
        <v>81</v>
      </c>
      <c r="E950" s="27" t="s">
        <v>3095</v>
      </c>
      <c r="F950" s="28" t="s">
        <v>3096</v>
      </c>
      <c r="G950" s="29">
        <v>45174.0</v>
      </c>
      <c r="H950" s="30">
        <v>45174.0</v>
      </c>
      <c r="I950" s="30">
        <v>45539.0</v>
      </c>
      <c r="J950" s="31">
        <v>0.0</v>
      </c>
      <c r="K950" s="26" t="s">
        <v>427</v>
      </c>
      <c r="L950" s="32" t="s">
        <v>75</v>
      </c>
      <c r="M950" s="33">
        <v>24024.0</v>
      </c>
      <c r="N950" s="34">
        <v>25584.41</v>
      </c>
      <c r="O950" s="27" t="s">
        <v>76</v>
      </c>
      <c r="P950" s="35" t="s">
        <v>430</v>
      </c>
      <c r="Q950" s="35" t="s">
        <v>90</v>
      </c>
      <c r="R950" s="36">
        <v>45174.0</v>
      </c>
      <c r="S950" s="35" t="s">
        <v>86</v>
      </c>
      <c r="T950" s="35">
        <v>0.0</v>
      </c>
      <c r="U950" s="37" t="s">
        <v>67</v>
      </c>
      <c r="V950" s="38"/>
      <c r="W950" s="38"/>
      <c r="X950" s="27"/>
      <c r="Y950" s="39"/>
      <c r="Z950" s="79" t="s">
        <v>764</v>
      </c>
      <c r="AA950" s="39"/>
      <c r="AB950" s="40"/>
      <c r="AC950" s="27">
        <f t="shared" si="619"/>
        <v>0</v>
      </c>
      <c r="AD950" s="41">
        <f t="shared" si="766"/>
        <v>3603.6</v>
      </c>
      <c r="AE950" s="42"/>
      <c r="AF950" s="27"/>
      <c r="AG950" s="43">
        <f t="shared" si="767"/>
        <v>6162.156</v>
      </c>
      <c r="AH950" s="29"/>
      <c r="AI950" s="29"/>
      <c r="AJ950" s="29"/>
      <c r="AK950" s="29"/>
      <c r="AL950" s="27"/>
      <c r="AM950" s="27"/>
      <c r="AN950" s="93"/>
      <c r="AO950" s="46"/>
      <c r="AP950" s="47"/>
      <c r="AQ950" s="43">
        <f t="shared" si="768"/>
        <v>6486.48</v>
      </c>
      <c r="AR950" s="43">
        <f t="shared" si="448"/>
        <v>324.324</v>
      </c>
      <c r="AS950" s="43">
        <f t="shared" si="449"/>
        <v>1135.134</v>
      </c>
      <c r="AT950" s="48">
        <f t="shared" si="753"/>
        <v>5027.022</v>
      </c>
      <c r="AU950" s="49">
        <f t="shared" si="769"/>
        <v>5027.022</v>
      </c>
      <c r="AV950" s="48"/>
      <c r="AW950" s="34">
        <f t="shared" si="540"/>
        <v>21980.81</v>
      </c>
      <c r="AX950" s="50">
        <f t="shared" si="757"/>
        <v>1423.422</v>
      </c>
      <c r="AY950" s="43"/>
      <c r="AZ950" s="43"/>
      <c r="BA950" s="48">
        <f t="shared" si="740"/>
        <v>5027.022</v>
      </c>
      <c r="BB950" s="27"/>
      <c r="BC950" s="27"/>
      <c r="BD950" s="51"/>
      <c r="BE950" s="52"/>
      <c r="BF950" s="27" t="s">
        <v>3095</v>
      </c>
      <c r="BG950" s="53">
        <v>0.0</v>
      </c>
      <c r="BH950" s="53" t="str">
        <f>'[1]2023'!Q566</f>
        <v>#REF!</v>
      </c>
      <c r="BI950" s="27"/>
      <c r="BJ950" s="27"/>
      <c r="BK950" s="27" t="s">
        <v>76</v>
      </c>
      <c r="BL950" s="27"/>
    </row>
    <row r="951" ht="14.25" customHeight="1">
      <c r="A951" s="26" t="s">
        <v>111</v>
      </c>
      <c r="B951" s="26" t="s">
        <v>56</v>
      </c>
      <c r="C951" s="26" t="s">
        <v>57</v>
      </c>
      <c r="D951" s="26" t="s">
        <v>71</v>
      </c>
      <c r="E951" s="27" t="s">
        <v>3097</v>
      </c>
      <c r="F951" s="28" t="s">
        <v>3098</v>
      </c>
      <c r="G951" s="29">
        <v>45174.0</v>
      </c>
      <c r="H951" s="30">
        <v>45174.0</v>
      </c>
      <c r="I951" s="30">
        <v>45539.0</v>
      </c>
      <c r="J951" s="31" t="s">
        <v>3099</v>
      </c>
      <c r="K951" s="26" t="s">
        <v>427</v>
      </c>
      <c r="L951" s="32" t="s">
        <v>63</v>
      </c>
      <c r="M951" s="33">
        <v>21118.22</v>
      </c>
      <c r="N951" s="34">
        <v>22620.0</v>
      </c>
      <c r="O951" s="27" t="s">
        <v>64</v>
      </c>
      <c r="P951" s="35">
        <v>0.0</v>
      </c>
      <c r="Q951" s="35" t="s">
        <v>114</v>
      </c>
      <c r="R951" s="36">
        <v>45183.0</v>
      </c>
      <c r="S951" s="35" t="s">
        <v>683</v>
      </c>
      <c r="T951" s="35">
        <v>0.0</v>
      </c>
      <c r="U951" s="37" t="s">
        <v>115</v>
      </c>
      <c r="V951" s="38">
        <v>870000.0</v>
      </c>
      <c r="W951" s="38"/>
      <c r="X951" s="27"/>
      <c r="Y951" s="39"/>
      <c r="Z951" s="39"/>
      <c r="AA951" s="39"/>
      <c r="AB951" s="40"/>
      <c r="AC951" s="27">
        <f t="shared" si="619"/>
        <v>0</v>
      </c>
      <c r="AD951" s="41">
        <f>IF(AND(S951="0",O951="Paid"),(M951*15%)-AC951,0)</f>
        <v>0</v>
      </c>
      <c r="AE951" s="42"/>
      <c r="AF951" s="27"/>
      <c r="AG951" s="43">
        <f>IF(O951="Paid",IF(A951="Alwataniya",(M951*21%)-((M951*21%)*5%),IF((A951="GIG"),(M951*25%)-((M951*25%)*5%),IF((A951="Allianz"),(M951*27%)-((M951*27%)*20%),0))),0)</f>
        <v>0</v>
      </c>
      <c r="AH951" s="29"/>
      <c r="AI951" s="29"/>
      <c r="AJ951" s="29"/>
      <c r="AK951" s="29"/>
      <c r="AL951" s="27"/>
      <c r="AM951" s="44"/>
      <c r="AN951" s="115"/>
      <c r="AO951" s="46"/>
      <c r="AP951" s="47"/>
      <c r="AQ951" s="43" t="b">
        <f>IF(O951="Paid",IF(U951="Motor Plus",(M951*27%),IF(U951="Motor One",(M951*22%),(IF(U951="Golden",(M951*25%),(IF(U951="Classic",(M951*15%),(IF(U951="Wethaq",(M951*28%),IF(U951="Alwataniya",(M951*21%))*0)))))))))</f>
        <v>0</v>
      </c>
      <c r="AR951" s="43">
        <f t="shared" si="448"/>
        <v>0</v>
      </c>
      <c r="AS951" s="43">
        <f t="shared" si="449"/>
        <v>0</v>
      </c>
      <c r="AT951" s="48">
        <f t="shared" si="753"/>
        <v>0</v>
      </c>
      <c r="AU951" s="49">
        <f t="shared" si="769"/>
        <v>0</v>
      </c>
      <c r="AV951" s="48"/>
      <c r="AW951" s="34">
        <f t="shared" si="540"/>
        <v>22620</v>
      </c>
      <c r="AX951" s="50">
        <f t="shared" si="757"/>
        <v>0</v>
      </c>
      <c r="AY951" s="43"/>
      <c r="AZ951" s="43"/>
      <c r="BA951" s="48">
        <f t="shared" si="740"/>
        <v>0</v>
      </c>
      <c r="BB951" s="27"/>
      <c r="BC951" s="27"/>
      <c r="BD951" s="51"/>
      <c r="BE951" s="52"/>
      <c r="BF951" s="27" t="s">
        <v>3097</v>
      </c>
      <c r="BG951" s="58" t="s">
        <v>3100</v>
      </c>
      <c r="BH951" s="53" t="str">
        <f>'[1]2023'!Q602</f>
        <v>#REF!</v>
      </c>
      <c r="BI951" s="27"/>
      <c r="BJ951" s="27"/>
      <c r="BK951" s="27" t="s">
        <v>64</v>
      </c>
      <c r="BL951" s="27"/>
    </row>
    <row r="952" ht="14.25" customHeight="1">
      <c r="A952" s="26" t="s">
        <v>55</v>
      </c>
      <c r="B952" s="26" t="s">
        <v>56</v>
      </c>
      <c r="C952" s="26" t="s">
        <v>57</v>
      </c>
      <c r="D952" s="26" t="s">
        <v>81</v>
      </c>
      <c r="E952" s="27" t="s">
        <v>3101</v>
      </c>
      <c r="F952" s="28" t="s">
        <v>3102</v>
      </c>
      <c r="G952" s="29">
        <v>45174.0</v>
      </c>
      <c r="H952" s="30">
        <v>45174.0</v>
      </c>
      <c r="I952" s="30">
        <v>45539.0</v>
      </c>
      <c r="J952" s="31">
        <v>0.0</v>
      </c>
      <c r="K952" s="26" t="s">
        <v>427</v>
      </c>
      <c r="L952" s="73" t="s">
        <v>75</v>
      </c>
      <c r="M952" s="33">
        <v>26876.82</v>
      </c>
      <c r="N952" s="34">
        <v>25246.29</v>
      </c>
      <c r="O952" s="27" t="s">
        <v>76</v>
      </c>
      <c r="P952" s="35" t="s">
        <v>430</v>
      </c>
      <c r="Q952" s="35" t="s">
        <v>90</v>
      </c>
      <c r="R952" s="36">
        <v>45174.0</v>
      </c>
      <c r="S952" s="35" t="s">
        <v>86</v>
      </c>
      <c r="T952" s="35">
        <v>0.0</v>
      </c>
      <c r="U952" s="37" t="s">
        <v>67</v>
      </c>
      <c r="V952" s="38"/>
      <c r="W952" s="38"/>
      <c r="X952" s="27"/>
      <c r="Y952" s="39"/>
      <c r="Z952" s="39"/>
      <c r="AA952" s="39"/>
      <c r="AB952" s="40"/>
      <c r="AC952" s="27">
        <f t="shared" si="619"/>
        <v>0</v>
      </c>
      <c r="AD952" s="41">
        <f>IF(AND(S952="0",O952="Paid"),M952*15%,0)</f>
        <v>4031.523</v>
      </c>
      <c r="AE952" s="42"/>
      <c r="AF952" s="27"/>
      <c r="AG952" s="43">
        <f>IF(O952="Paid",IF(A952="Alwataniya",(M952*21%)-((M952*21%)*5%),IF((A952="GIG"),(M952*25%)-((M952*25%)*5%),IF((A952="Allianz"),(M952*27%)-((M952*27%)*5%),0))),0)</f>
        <v>6893.90433</v>
      </c>
      <c r="AH952" s="29"/>
      <c r="AI952" s="29"/>
      <c r="AJ952" s="29"/>
      <c r="AK952" s="29"/>
      <c r="AL952" s="27"/>
      <c r="AM952" s="27"/>
      <c r="AN952" s="93"/>
      <c r="AO952" s="46"/>
      <c r="AP952" s="47"/>
      <c r="AQ952" s="43">
        <f t="shared" ref="AQ952:AQ969" si="770">IF(U952="Motor Plus",(M952*27%),IF(U952="Motor One",(M952*22%),(IF(U952="Golden",(M952*25%),(IF(U952="Classic",(M952*15%),(IF(U952="Wethaq",(M952*28%),IF(U952="Alwataniya",(M952*21%))*0))))))))</f>
        <v>7256.7414</v>
      </c>
      <c r="AR952" s="43">
        <f t="shared" si="448"/>
        <v>362.83707</v>
      </c>
      <c r="AS952" s="43">
        <f t="shared" si="449"/>
        <v>1269.929745</v>
      </c>
      <c r="AT952" s="48">
        <f t="shared" si="753"/>
        <v>5623.974585</v>
      </c>
      <c r="AU952" s="49">
        <f t="shared" si="769"/>
        <v>5623.974585</v>
      </c>
      <c r="AV952" s="48"/>
      <c r="AW952" s="34">
        <f t="shared" si="540"/>
        <v>21214.767</v>
      </c>
      <c r="AX952" s="50">
        <f t="shared" si="757"/>
        <v>1592.451585</v>
      </c>
      <c r="AY952" s="43"/>
      <c r="AZ952" s="43"/>
      <c r="BA952" s="48">
        <f t="shared" si="740"/>
        <v>5623.974585</v>
      </c>
      <c r="BB952" s="27"/>
      <c r="BC952" s="27"/>
      <c r="BD952" s="51"/>
      <c r="BE952" s="52"/>
      <c r="BF952" s="27" t="s">
        <v>3101</v>
      </c>
      <c r="BG952" s="53">
        <v>0.0</v>
      </c>
      <c r="BH952" s="53" t="str">
        <f>'[1]2023'!Q617</f>
        <v>#REF!</v>
      </c>
      <c r="BI952" s="27"/>
      <c r="BJ952" s="27"/>
      <c r="BK952" s="27" t="s">
        <v>76</v>
      </c>
      <c r="BL952" s="27"/>
    </row>
    <row r="953" ht="14.25" customHeight="1">
      <c r="A953" s="26" t="s">
        <v>111</v>
      </c>
      <c r="B953" s="26" t="s">
        <v>56</v>
      </c>
      <c r="C953" s="26" t="s">
        <v>57</v>
      </c>
      <c r="D953" s="26" t="s">
        <v>71</v>
      </c>
      <c r="E953" s="27" t="s">
        <v>3103</v>
      </c>
      <c r="F953" s="28" t="s">
        <v>3104</v>
      </c>
      <c r="G953" s="29">
        <v>45174.0</v>
      </c>
      <c r="H953" s="30">
        <v>45174.0</v>
      </c>
      <c r="I953" s="30">
        <v>45539.0</v>
      </c>
      <c r="J953" s="31" t="s">
        <v>3105</v>
      </c>
      <c r="K953" s="26" t="s">
        <v>475</v>
      </c>
      <c r="L953" s="32" t="s">
        <v>2836</v>
      </c>
      <c r="M953" s="33">
        <v>53518.98</v>
      </c>
      <c r="N953" s="34">
        <v>57200.0</v>
      </c>
      <c r="O953" s="27" t="s">
        <v>76</v>
      </c>
      <c r="P953" s="35" t="s">
        <v>142</v>
      </c>
      <c r="Q953" s="35" t="s">
        <v>108</v>
      </c>
      <c r="R953" s="36">
        <v>45183.0</v>
      </c>
      <c r="S953" s="35" t="s">
        <v>86</v>
      </c>
      <c r="T953" s="35">
        <v>0.0</v>
      </c>
      <c r="U953" s="37" t="s">
        <v>115</v>
      </c>
      <c r="V953" s="38">
        <v>2200000.0</v>
      </c>
      <c r="W953" s="38"/>
      <c r="X953" s="27"/>
      <c r="Y953" s="39"/>
      <c r="Z953" s="79" t="s">
        <v>3106</v>
      </c>
      <c r="AA953" s="39"/>
      <c r="AB953" s="27"/>
      <c r="AC953" s="27">
        <f t="shared" si="619"/>
        <v>0</v>
      </c>
      <c r="AD953" s="41">
        <f>IF(AND(S953="0",O953="Paid"),(M953*15%)-AC953,0)</f>
        <v>8027.847</v>
      </c>
      <c r="AE953" s="42">
        <v>1250.0</v>
      </c>
      <c r="AF953" s="94" t="s">
        <v>2370</v>
      </c>
      <c r="AG953" s="43">
        <f>IF(O953="Paid",IF(A953="Alwataniya",(M953*21%)-((M953*21%)*5%),IF((A953="GIG"),(M953*25%)-((M953*25%)*5%),IF((A953="Allianz"),(M953*27%)-((M953*27%)*20%),0))),0)</f>
        <v>12710.75775</v>
      </c>
      <c r="AH953" s="29" t="s">
        <v>2369</v>
      </c>
      <c r="AI953" s="29" t="s">
        <v>3107</v>
      </c>
      <c r="AJ953" s="29"/>
      <c r="AK953" s="29" t="s">
        <v>1053</v>
      </c>
      <c r="AL953" s="27"/>
      <c r="AM953" s="27"/>
      <c r="AN953" s="47"/>
      <c r="AO953" s="46"/>
      <c r="AP953" s="47"/>
      <c r="AQ953" s="43">
        <f t="shared" si="770"/>
        <v>13379.745</v>
      </c>
      <c r="AR953" s="43">
        <f t="shared" si="448"/>
        <v>668.98725</v>
      </c>
      <c r="AS953" s="43">
        <f t="shared" si="449"/>
        <v>2341.455375</v>
      </c>
      <c r="AT953" s="48">
        <f t="shared" si="753"/>
        <v>10369.30238</v>
      </c>
      <c r="AU953" s="49">
        <f>AQ953-AR953-AS953-AC953-AO953</f>
        <v>10369.30238</v>
      </c>
      <c r="AV953" s="48"/>
      <c r="AW953" s="34">
        <f t="shared" si="540"/>
        <v>47922.153</v>
      </c>
      <c r="AX953" s="50">
        <f t="shared" si="757"/>
        <v>1091.455375</v>
      </c>
      <c r="AY953" s="43"/>
      <c r="AZ953" s="47"/>
      <c r="BA953" s="48">
        <f t="shared" si="740"/>
        <v>10369.30238</v>
      </c>
      <c r="BB953" s="27"/>
      <c r="BC953" s="27"/>
      <c r="BD953" s="51"/>
      <c r="BE953" s="52"/>
      <c r="BF953" s="27"/>
      <c r="BG953" s="53">
        <v>0.0</v>
      </c>
      <c r="BH953" s="53" t="str">
        <f>'[1]2023'!Q1275</f>
        <v>#REF!</v>
      </c>
      <c r="BI953" s="27"/>
      <c r="BJ953" s="27"/>
      <c r="BK953" s="27" t="s">
        <v>76</v>
      </c>
      <c r="BL953" s="27"/>
    </row>
    <row r="954" ht="14.25" customHeight="1">
      <c r="A954" s="26" t="s">
        <v>68</v>
      </c>
      <c r="B954" s="26" t="s">
        <v>56</v>
      </c>
      <c r="C954" s="26" t="s">
        <v>57</v>
      </c>
      <c r="D954" s="26" t="s">
        <v>71</v>
      </c>
      <c r="E954" s="27" t="s">
        <v>3108</v>
      </c>
      <c r="F954" s="28" t="s">
        <v>3109</v>
      </c>
      <c r="G954" s="29">
        <v>45174.0</v>
      </c>
      <c r="H954" s="30">
        <v>45174.0</v>
      </c>
      <c r="I954" s="30">
        <v>45539.0</v>
      </c>
      <c r="J954" s="88" t="s">
        <v>510</v>
      </c>
      <c r="K954" s="26" t="s">
        <v>475</v>
      </c>
      <c r="L954" s="73" t="s">
        <v>75</v>
      </c>
      <c r="M954" s="33">
        <v>18601.37</v>
      </c>
      <c r="N954" s="34">
        <v>20000.0</v>
      </c>
      <c r="O954" s="27" t="s">
        <v>76</v>
      </c>
      <c r="P954" s="35" t="s">
        <v>430</v>
      </c>
      <c r="Q954" s="35">
        <v>0.0</v>
      </c>
      <c r="R954" s="36">
        <v>45193.0</v>
      </c>
      <c r="S954" s="35" t="s">
        <v>78</v>
      </c>
      <c r="T954" s="54" t="s">
        <v>510</v>
      </c>
      <c r="U954" s="37" t="s">
        <v>68</v>
      </c>
      <c r="V954" s="38">
        <v>1000000.0</v>
      </c>
      <c r="W954" s="38"/>
      <c r="X954" s="27"/>
      <c r="Y954" s="39"/>
      <c r="Z954" s="79" t="s">
        <v>3110</v>
      </c>
      <c r="AA954" s="39"/>
      <c r="AB954" s="27"/>
      <c r="AC954" s="27">
        <f t="shared" si="619"/>
        <v>0</v>
      </c>
      <c r="AD954" s="41"/>
      <c r="AE954" s="42"/>
      <c r="AF954" s="27"/>
      <c r="AG954" s="43">
        <f>M954*28%-((M954*28%)*5%)</f>
        <v>4947.96442</v>
      </c>
      <c r="AH954" s="29"/>
      <c r="AI954" s="29" t="s">
        <v>1324</v>
      </c>
      <c r="AJ954" s="55">
        <v>0.28</v>
      </c>
      <c r="AK954" s="29" t="s">
        <v>1325</v>
      </c>
      <c r="AL954" s="27"/>
      <c r="AM954" s="44"/>
      <c r="AN954" s="104"/>
      <c r="AO954" s="95">
        <f>M954*AJ954-((M954*AJ954)*22.5%)</f>
        <v>4036.49729</v>
      </c>
      <c r="AP954" s="47" t="s">
        <v>1325</v>
      </c>
      <c r="AQ954" s="43">
        <f t="shared" si="770"/>
        <v>5208.3836</v>
      </c>
      <c r="AR954" s="43">
        <f t="shared" si="448"/>
        <v>260.41918</v>
      </c>
      <c r="AS954" s="43">
        <f t="shared" si="449"/>
        <v>911.46713</v>
      </c>
      <c r="AT954" s="48">
        <f t="shared" si="753"/>
        <v>4036.49729</v>
      </c>
      <c r="AU954" s="49" t="str">
        <f>AQ954-AR954-AS954-AC954-#REF!</f>
        <v>#REF!</v>
      </c>
      <c r="AV954" s="48"/>
      <c r="AW954" s="34">
        <f t="shared" si="540"/>
        <v>20000</v>
      </c>
      <c r="AX954" s="50">
        <f t="shared" si="757"/>
        <v>0</v>
      </c>
      <c r="AY954" s="43"/>
      <c r="AZ954" s="47"/>
      <c r="BA954" s="48" t="str">
        <f>IF(S954&lt;&gt;0,AU954-#REF!-AM954,(AG954-AD954-AE954-AS954))</f>
        <v>#REF!</v>
      </c>
      <c r="BB954" s="27"/>
      <c r="BC954" s="27"/>
      <c r="BD954" s="51"/>
      <c r="BE954" s="52"/>
      <c r="BF954" s="27"/>
      <c r="BG954" s="58" t="s">
        <v>3111</v>
      </c>
      <c r="BH954" s="53" t="str">
        <f>'[1]2023'!Q1277</f>
        <v>#REF!</v>
      </c>
      <c r="BI954" s="27"/>
      <c r="BJ954" s="27"/>
      <c r="BK954" s="27" t="s">
        <v>76</v>
      </c>
      <c r="BL954" s="27"/>
    </row>
    <row r="955" ht="14.25" customHeight="1">
      <c r="A955" s="26" t="s">
        <v>55</v>
      </c>
      <c r="B955" s="26" t="s">
        <v>56</v>
      </c>
      <c r="C955" s="26" t="s">
        <v>57</v>
      </c>
      <c r="D955" s="26" t="s">
        <v>81</v>
      </c>
      <c r="E955" s="27" t="s">
        <v>3112</v>
      </c>
      <c r="F955" s="28" t="s">
        <v>3113</v>
      </c>
      <c r="G955" s="29">
        <v>45174.0</v>
      </c>
      <c r="H955" s="30">
        <v>45174.0</v>
      </c>
      <c r="I955" s="30">
        <v>45539.0</v>
      </c>
      <c r="J955" s="31" t="s">
        <v>3114</v>
      </c>
      <c r="K955" s="26" t="s">
        <v>475</v>
      </c>
      <c r="L955" s="69">
        <v>44994.0</v>
      </c>
      <c r="M955" s="33">
        <v>31860.0</v>
      </c>
      <c r="N955" s="34">
        <v>34040.04</v>
      </c>
      <c r="O955" s="27" t="s">
        <v>76</v>
      </c>
      <c r="P955" s="35" t="s">
        <v>430</v>
      </c>
      <c r="Q955" s="35" t="s">
        <v>90</v>
      </c>
      <c r="R955" s="36">
        <v>45174.0</v>
      </c>
      <c r="S955" s="35" t="s">
        <v>86</v>
      </c>
      <c r="T955" s="35">
        <v>0.0</v>
      </c>
      <c r="U955" s="37" t="s">
        <v>67</v>
      </c>
      <c r="V955" s="38">
        <v>1350000.0</v>
      </c>
      <c r="W955" s="38">
        <v>515379.0</v>
      </c>
      <c r="X955" s="27">
        <v>2022.0</v>
      </c>
      <c r="Y955" s="79" t="s">
        <v>2641</v>
      </c>
      <c r="Z955" s="79" t="s">
        <v>232</v>
      </c>
      <c r="AA955" s="79" t="s">
        <v>2641</v>
      </c>
      <c r="AB955" s="27"/>
      <c r="AC955" s="27">
        <f t="shared" si="619"/>
        <v>0</v>
      </c>
      <c r="AD955" s="41">
        <f t="shared" ref="AD955:AD956" si="771">IF(AND(S955="0",O955="Paid"),(M955*15%)-AC955,0)</f>
        <v>4779</v>
      </c>
      <c r="AE955" s="42"/>
      <c r="AF955" s="27"/>
      <c r="AG955" s="43">
        <f t="shared" ref="AG955:AG957" si="772">IF(O955="Paid",IF(A955="Alwataniya",(M955*21%)-((M955*21%)*5%),IF((A955="GIG"),(M955*25%)-((M955*25%)*5%),IF((A955="Allianz"),(M955*27%)-((M955*27%)*5%),0))),0)</f>
        <v>8172.09</v>
      </c>
      <c r="AH955" s="29"/>
      <c r="AI955" s="29"/>
      <c r="AJ955" s="29"/>
      <c r="AK955" s="29"/>
      <c r="AL955" s="27"/>
      <c r="AM955" s="27"/>
      <c r="AN955" s="47"/>
      <c r="AO955" s="46"/>
      <c r="AP955" s="47"/>
      <c r="AQ955" s="43">
        <f t="shared" si="770"/>
        <v>8602.2</v>
      </c>
      <c r="AR955" s="43">
        <f t="shared" si="448"/>
        <v>430.11</v>
      </c>
      <c r="AS955" s="43">
        <f t="shared" si="449"/>
        <v>1505.385</v>
      </c>
      <c r="AT955" s="48">
        <f t="shared" si="753"/>
        <v>6666.705</v>
      </c>
      <c r="AU955" s="49">
        <f t="shared" ref="AU955:AU956" si="773">AQ955-AR955-AS955-AC955-AO955</f>
        <v>6666.705</v>
      </c>
      <c r="AV955" s="48"/>
      <c r="AW955" s="34">
        <f t="shared" si="540"/>
        <v>29261.04</v>
      </c>
      <c r="AX955" s="50">
        <f t="shared" si="757"/>
        <v>1887.705</v>
      </c>
      <c r="AY955" s="43"/>
      <c r="AZ955" s="47"/>
      <c r="BA955" s="48">
        <f t="shared" ref="BA955:BA957" si="774">IF(S955&lt;&gt;0,AU955-AO955-AM955,(AG955-AD955-AE955-AS955))</f>
        <v>6666.705</v>
      </c>
      <c r="BB955" s="27"/>
      <c r="BC955" s="27"/>
      <c r="BD955" s="51"/>
      <c r="BE955" s="52"/>
      <c r="BF955" s="27"/>
      <c r="BG955" s="53">
        <v>0.0</v>
      </c>
      <c r="BH955" s="53" t="str">
        <f>'[1]2023'!Q1287</f>
        <v>#REF!</v>
      </c>
      <c r="BI955" s="27"/>
      <c r="BJ955" s="27"/>
      <c r="BK955" s="27" t="s">
        <v>76</v>
      </c>
      <c r="BL955" s="27"/>
    </row>
    <row r="956" ht="14.25" customHeight="1">
      <c r="A956" s="26" t="s">
        <v>55</v>
      </c>
      <c r="B956" s="26" t="s">
        <v>56</v>
      </c>
      <c r="C956" s="26" t="s">
        <v>57</v>
      </c>
      <c r="D956" s="26" t="s">
        <v>58</v>
      </c>
      <c r="E956" s="27" t="s">
        <v>3115</v>
      </c>
      <c r="F956" s="28" t="s">
        <v>3116</v>
      </c>
      <c r="G956" s="29">
        <v>45174.0</v>
      </c>
      <c r="H956" s="30">
        <v>45174.0</v>
      </c>
      <c r="I956" s="30">
        <v>45539.0</v>
      </c>
      <c r="J956" s="31">
        <v>0.0</v>
      </c>
      <c r="K956" s="26" t="s">
        <v>475</v>
      </c>
      <c r="L956" s="32" t="s">
        <v>2369</v>
      </c>
      <c r="M956" s="33">
        <v>2986.85</v>
      </c>
      <c r="N956" s="34">
        <v>3163.07</v>
      </c>
      <c r="O956" s="27" t="s">
        <v>76</v>
      </c>
      <c r="P956" s="35" t="s">
        <v>95</v>
      </c>
      <c r="Q956" s="35">
        <v>0.0</v>
      </c>
      <c r="R956" s="36">
        <v>45174.0</v>
      </c>
      <c r="S956" s="35" t="s">
        <v>86</v>
      </c>
      <c r="T956" s="35">
        <v>0.0</v>
      </c>
      <c r="U956" s="37" t="s">
        <v>67</v>
      </c>
      <c r="V956" s="38"/>
      <c r="W956" s="38"/>
      <c r="X956" s="27"/>
      <c r="Y956" s="39"/>
      <c r="Z956" s="39"/>
      <c r="AA956" s="39"/>
      <c r="AB956" s="27"/>
      <c r="AC956" s="27">
        <f t="shared" si="619"/>
        <v>0</v>
      </c>
      <c r="AD956" s="41">
        <f t="shared" si="771"/>
        <v>448.0275</v>
      </c>
      <c r="AE956" s="42"/>
      <c r="AF956" s="27"/>
      <c r="AG956" s="43">
        <f t="shared" si="772"/>
        <v>766.127025</v>
      </c>
      <c r="AH956" s="29"/>
      <c r="AI956" s="29"/>
      <c r="AJ956" s="29"/>
      <c r="AK956" s="29"/>
      <c r="AL956" s="27"/>
      <c r="AM956" s="27"/>
      <c r="AN956" s="47"/>
      <c r="AO956" s="46"/>
      <c r="AP956" s="47"/>
      <c r="AQ956" s="43">
        <f t="shared" si="770"/>
        <v>806.4495</v>
      </c>
      <c r="AR956" s="43">
        <f t="shared" si="448"/>
        <v>40.322475</v>
      </c>
      <c r="AS956" s="43">
        <f t="shared" si="449"/>
        <v>141.1286625</v>
      </c>
      <c r="AT956" s="48">
        <f t="shared" si="753"/>
        <v>624.9983625</v>
      </c>
      <c r="AU956" s="49">
        <f t="shared" si="773"/>
        <v>624.9983625</v>
      </c>
      <c r="AV956" s="48"/>
      <c r="AW956" s="34">
        <f t="shared" si="540"/>
        <v>2715.0425</v>
      </c>
      <c r="AX956" s="50">
        <f t="shared" si="757"/>
        <v>176.9708625</v>
      </c>
      <c r="AY956" s="43"/>
      <c r="AZ956" s="47"/>
      <c r="BA956" s="48">
        <f t="shared" si="774"/>
        <v>624.9983625</v>
      </c>
      <c r="BB956" s="27"/>
      <c r="BC956" s="27"/>
      <c r="BD956" s="51"/>
      <c r="BE956" s="52"/>
      <c r="BF956" s="27"/>
      <c r="BG956" s="53">
        <v>0.0</v>
      </c>
      <c r="BH956" s="53" t="str">
        <f>'[1]2023'!Q1308</f>
        <v>#REF!</v>
      </c>
      <c r="BI956" s="27"/>
      <c r="BJ956" s="27"/>
      <c r="BK956" s="27" t="s">
        <v>76</v>
      </c>
      <c r="BL956" s="27"/>
    </row>
    <row r="957" ht="14.25" customHeight="1">
      <c r="A957" s="26" t="s">
        <v>55</v>
      </c>
      <c r="B957" s="26" t="s">
        <v>56</v>
      </c>
      <c r="C957" s="26" t="s">
        <v>57</v>
      </c>
      <c r="D957" s="26" t="s">
        <v>81</v>
      </c>
      <c r="E957" s="27" t="s">
        <v>3117</v>
      </c>
      <c r="F957" s="28" t="s">
        <v>3118</v>
      </c>
      <c r="G957" s="29">
        <v>45175.0</v>
      </c>
      <c r="H957" s="30">
        <v>45175.0</v>
      </c>
      <c r="I957" s="30">
        <v>45540.0</v>
      </c>
      <c r="J957" s="31">
        <v>0.0</v>
      </c>
      <c r="K957" s="26" t="s">
        <v>440</v>
      </c>
      <c r="L957" s="32" t="s">
        <v>75</v>
      </c>
      <c r="M957" s="33">
        <v>39600.0</v>
      </c>
      <c r="N957" s="34">
        <v>42079.4</v>
      </c>
      <c r="O957" s="27" t="s">
        <v>76</v>
      </c>
      <c r="P957" s="35" t="s">
        <v>89</v>
      </c>
      <c r="Q957" s="35" t="s">
        <v>108</v>
      </c>
      <c r="R957" s="36">
        <v>45175.0</v>
      </c>
      <c r="S957" s="35" t="s">
        <v>86</v>
      </c>
      <c r="T957" s="35">
        <v>0.0</v>
      </c>
      <c r="U957" s="37" t="s">
        <v>67</v>
      </c>
      <c r="V957" s="38"/>
      <c r="W957" s="38"/>
      <c r="X957" s="27"/>
      <c r="Y957" s="39"/>
      <c r="Z957" s="39"/>
      <c r="AA957" s="39"/>
      <c r="AB957" s="40"/>
      <c r="AC957" s="27">
        <f t="shared" si="619"/>
        <v>0</v>
      </c>
      <c r="AD957" s="41">
        <f>IF(AND(S957="0",O957="Paid"),M957*15%,0)</f>
        <v>5940</v>
      </c>
      <c r="AE957" s="42"/>
      <c r="AF957" s="27" t="s">
        <v>305</v>
      </c>
      <c r="AG957" s="43">
        <f t="shared" si="772"/>
        <v>10157.4</v>
      </c>
      <c r="AH957" s="29"/>
      <c r="AI957" s="29"/>
      <c r="AJ957" s="29"/>
      <c r="AK957" s="29"/>
      <c r="AL957" s="27"/>
      <c r="AM957" s="27"/>
      <c r="AN957" s="93"/>
      <c r="AO957" s="46"/>
      <c r="AP957" s="47"/>
      <c r="AQ957" s="43">
        <f t="shared" si="770"/>
        <v>10692</v>
      </c>
      <c r="AR957" s="43">
        <f t="shared" si="448"/>
        <v>534.6</v>
      </c>
      <c r="AS957" s="43">
        <f t="shared" si="449"/>
        <v>1871.1</v>
      </c>
      <c r="AT957" s="48">
        <f t="shared" si="753"/>
        <v>8286.3</v>
      </c>
      <c r="AU957" s="49">
        <f t="shared" ref="AU957:AU958" si="775">AQ957-AR957-AS957-AC957</f>
        <v>8286.3</v>
      </c>
      <c r="AV957" s="48"/>
      <c r="AW957" s="34">
        <f t="shared" si="540"/>
        <v>36139.4</v>
      </c>
      <c r="AX957" s="50">
        <f t="shared" si="757"/>
        <v>2346.3</v>
      </c>
      <c r="AY957" s="43"/>
      <c r="AZ957" s="43"/>
      <c r="BA957" s="48">
        <f t="shared" si="774"/>
        <v>8286.3</v>
      </c>
      <c r="BB957" s="27"/>
      <c r="BC957" s="27"/>
      <c r="BD957" s="51"/>
      <c r="BE957" s="52"/>
      <c r="BF957" s="27" t="s">
        <v>3117</v>
      </c>
      <c r="BG957" s="53">
        <v>0.0</v>
      </c>
      <c r="BH957" s="53" t="str">
        <f>'[1]2023'!Q655</f>
        <v>#REF!</v>
      </c>
      <c r="BI957" s="27"/>
      <c r="BJ957" s="27"/>
      <c r="BK957" s="27" t="s">
        <v>76</v>
      </c>
      <c r="BL957" s="27"/>
    </row>
    <row r="958" ht="14.25" customHeight="1">
      <c r="A958" s="26" t="s">
        <v>111</v>
      </c>
      <c r="B958" s="26" t="s">
        <v>56</v>
      </c>
      <c r="C958" s="26" t="s">
        <v>57</v>
      </c>
      <c r="D958" s="26" t="s">
        <v>58</v>
      </c>
      <c r="E958" s="27" t="s">
        <v>3119</v>
      </c>
      <c r="F958" s="28" t="s">
        <v>3120</v>
      </c>
      <c r="G958" s="29">
        <v>45175.0</v>
      </c>
      <c r="H958" s="30">
        <v>45175.0</v>
      </c>
      <c r="I958" s="30">
        <v>45540.0</v>
      </c>
      <c r="J958" s="31" t="s">
        <v>754</v>
      </c>
      <c r="K958" s="26" t="s">
        <v>440</v>
      </c>
      <c r="L958" s="32" t="s">
        <v>75</v>
      </c>
      <c r="M958" s="33">
        <v>11692.0</v>
      </c>
      <c r="N958" s="34">
        <v>12438.0</v>
      </c>
      <c r="O958" s="27" t="s">
        <v>76</v>
      </c>
      <c r="P958" s="35" t="s">
        <v>162</v>
      </c>
      <c r="Q958" s="35">
        <v>0.0</v>
      </c>
      <c r="R958" s="36">
        <v>45184.0</v>
      </c>
      <c r="S958" s="35" t="s">
        <v>78</v>
      </c>
      <c r="T958" s="54" t="s">
        <v>510</v>
      </c>
      <c r="U958" s="37" t="s">
        <v>115</v>
      </c>
      <c r="V958" s="38"/>
      <c r="W958" s="38"/>
      <c r="X958" s="27"/>
      <c r="Y958" s="39"/>
      <c r="Z958" s="39"/>
      <c r="AA958" s="39"/>
      <c r="AB958" s="40"/>
      <c r="AC958" s="27">
        <f t="shared" si="619"/>
        <v>0</v>
      </c>
      <c r="AD958" s="41"/>
      <c r="AE958" s="42"/>
      <c r="AF958" s="27"/>
      <c r="AG958" s="43">
        <f>IF(O958="Paid",IF(A958="Alwataniya",(M958*21%)-((M958*21%)*5%),IF((A958="GIG"),(M958*25%)-((M958*25%)*5%),IF((A958="Allianz"),(M958*27%)-((M958*27%)*20%),0))),0)</f>
        <v>2776.85</v>
      </c>
      <c r="AH958" s="29">
        <v>45237.0</v>
      </c>
      <c r="AI958" s="29" t="s">
        <v>1038</v>
      </c>
      <c r="AJ958" s="40">
        <v>0.25</v>
      </c>
      <c r="AK958" s="62" t="s">
        <v>63</v>
      </c>
      <c r="AL958" s="27"/>
      <c r="AM958" s="27"/>
      <c r="AN958" s="56"/>
      <c r="AO958" s="95">
        <f>M958*AJ958-((M958*AJ958)*22.5%)</f>
        <v>2265.325</v>
      </c>
      <c r="AP958" s="47" t="s">
        <v>905</v>
      </c>
      <c r="AQ958" s="43">
        <f t="shared" si="770"/>
        <v>2923</v>
      </c>
      <c r="AR958" s="43">
        <f t="shared" si="448"/>
        <v>146.15</v>
      </c>
      <c r="AS958" s="43">
        <f t="shared" si="449"/>
        <v>511.525</v>
      </c>
      <c r="AT958" s="48">
        <f t="shared" si="753"/>
        <v>2265.325</v>
      </c>
      <c r="AU958" s="49">
        <f t="shared" si="775"/>
        <v>2265.325</v>
      </c>
      <c r="AV958" s="48"/>
      <c r="AW958" s="34">
        <f t="shared" si="540"/>
        <v>12438</v>
      </c>
      <c r="AX958" s="50">
        <f t="shared" si="757"/>
        <v>0</v>
      </c>
      <c r="AY958" s="43"/>
      <c r="AZ958" s="43"/>
      <c r="BA958" s="48" t="str">
        <f>IF(S958&lt;&gt;0,AU958-#REF!-AM958,(AG958-AD958-AE958-AS958))</f>
        <v>#REF!</v>
      </c>
      <c r="BB958" s="27"/>
      <c r="BC958" s="27"/>
      <c r="BD958" s="51"/>
      <c r="BE958" s="52"/>
      <c r="BF958" s="27" t="s">
        <v>3119</v>
      </c>
      <c r="BG958" s="53">
        <v>0.0</v>
      </c>
      <c r="BH958" s="53" t="str">
        <f>'[1]2023'!Q846</f>
        <v>#REF!</v>
      </c>
      <c r="BI958" s="27"/>
      <c r="BJ958" s="27"/>
      <c r="BK958" s="27" t="s">
        <v>76</v>
      </c>
      <c r="BL958" s="64" t="s">
        <v>906</v>
      </c>
    </row>
    <row r="959" ht="14.25" customHeight="1">
      <c r="A959" s="26" t="s">
        <v>55</v>
      </c>
      <c r="B959" s="26" t="s">
        <v>56</v>
      </c>
      <c r="C959" s="26" t="s">
        <v>57</v>
      </c>
      <c r="D959" s="26" t="s">
        <v>58</v>
      </c>
      <c r="E959" s="27" t="s">
        <v>3121</v>
      </c>
      <c r="F959" s="28" t="s">
        <v>3122</v>
      </c>
      <c r="G959" s="29">
        <v>45175.0</v>
      </c>
      <c r="H959" s="30">
        <v>45175.0</v>
      </c>
      <c r="I959" s="30">
        <v>45540.0</v>
      </c>
      <c r="J959" s="31" t="s">
        <v>3123</v>
      </c>
      <c r="K959" s="26" t="s">
        <v>475</v>
      </c>
      <c r="L959" s="69">
        <v>45239.0</v>
      </c>
      <c r="M959" s="33">
        <v>2397.85</v>
      </c>
      <c r="N959" s="34">
        <v>2539.33</v>
      </c>
      <c r="O959" s="27" t="s">
        <v>76</v>
      </c>
      <c r="P959" s="35" t="s">
        <v>430</v>
      </c>
      <c r="Q959" s="35" t="s">
        <v>90</v>
      </c>
      <c r="R959" s="36">
        <v>45175.0</v>
      </c>
      <c r="S959" s="35" t="s">
        <v>86</v>
      </c>
      <c r="T959" s="35">
        <v>0.0</v>
      </c>
      <c r="U959" s="37" t="s">
        <v>67</v>
      </c>
      <c r="V959" s="38"/>
      <c r="W959" s="38"/>
      <c r="X959" s="27"/>
      <c r="Y959" s="39"/>
      <c r="Z959" s="79" t="s">
        <v>232</v>
      </c>
      <c r="AA959" s="39"/>
      <c r="AB959" s="27"/>
      <c r="AC959" s="27">
        <f t="shared" si="619"/>
        <v>0</v>
      </c>
      <c r="AD959" s="41">
        <f t="shared" ref="AD959:AD963" si="776">IF(AND(S959="0",O959="Paid"),(M959*15%)-AC959,0)</f>
        <v>359.6775</v>
      </c>
      <c r="AE959" s="42"/>
      <c r="AF959" s="27"/>
      <c r="AG959" s="43">
        <f t="shared" ref="AG959:AG964" si="777">IF(O959="Paid",IF(A959="Alwataniya",(M959*21%)-((M959*21%)*5%),IF((A959="GIG"),(M959*25%)-((M959*25%)*5%),IF((A959="Allianz"),(M959*27%)-((M959*27%)*5%),0))),0)</f>
        <v>615.048525</v>
      </c>
      <c r="AH959" s="29"/>
      <c r="AI959" s="29"/>
      <c r="AJ959" s="29"/>
      <c r="AK959" s="29"/>
      <c r="AL959" s="27"/>
      <c r="AM959" s="44">
        <f>((M959*25%)-AC959-((M959*25%)*22.5%))*30%</f>
        <v>139.3750313</v>
      </c>
      <c r="AN959" s="114">
        <v>45148.0</v>
      </c>
      <c r="AO959" s="46"/>
      <c r="AP959" s="47"/>
      <c r="AQ959" s="43">
        <f t="shared" si="770"/>
        <v>647.4195</v>
      </c>
      <c r="AR959" s="43">
        <f t="shared" si="448"/>
        <v>32.370975</v>
      </c>
      <c r="AS959" s="43">
        <f t="shared" si="449"/>
        <v>113.2984125</v>
      </c>
      <c r="AT959" s="48">
        <f t="shared" si="753"/>
        <v>501.7501125</v>
      </c>
      <c r="AU959" s="49">
        <f t="shared" ref="AU959:AU962" si="778">AQ959-AR959-AS959-AC959-AO959</f>
        <v>501.7501125</v>
      </c>
      <c r="AV959" s="48"/>
      <c r="AW959" s="34">
        <f t="shared" si="540"/>
        <v>2179.6525</v>
      </c>
      <c r="AX959" s="50">
        <f t="shared" si="757"/>
        <v>2.69758125</v>
      </c>
      <c r="AY959" s="43"/>
      <c r="AZ959" s="47"/>
      <c r="BA959" s="48">
        <f t="shared" ref="BA959:BA965" si="779">IF(S959&lt;&gt;0,AU959-AO959-AM959,(AG959-AD959-AE959-AS959))</f>
        <v>362.3750813</v>
      </c>
      <c r="BB959" s="27"/>
      <c r="BC959" s="27"/>
      <c r="BD959" s="51"/>
      <c r="BE959" s="52"/>
      <c r="BF959" s="27"/>
      <c r="BG959" s="53">
        <v>0.0</v>
      </c>
      <c r="BH959" s="53" t="str">
        <f>'[1]2023'!Q1278</f>
        <v>#REF!</v>
      </c>
      <c r="BI959" s="27"/>
      <c r="BJ959" s="27"/>
      <c r="BK959" s="27" t="s">
        <v>76</v>
      </c>
      <c r="BL959" s="27"/>
    </row>
    <row r="960" ht="14.25" customHeight="1">
      <c r="A960" s="26" t="s">
        <v>55</v>
      </c>
      <c r="B960" s="26" t="s">
        <v>56</v>
      </c>
      <c r="C960" s="26" t="s">
        <v>57</v>
      </c>
      <c r="D960" s="26" t="s">
        <v>81</v>
      </c>
      <c r="E960" s="27" t="s">
        <v>3124</v>
      </c>
      <c r="F960" s="28" t="s">
        <v>3125</v>
      </c>
      <c r="G960" s="29">
        <v>45175.0</v>
      </c>
      <c r="H960" s="30">
        <v>45175.0</v>
      </c>
      <c r="I960" s="30">
        <v>45540.0</v>
      </c>
      <c r="J960" s="31" t="s">
        <v>3126</v>
      </c>
      <c r="K960" s="26" t="s">
        <v>475</v>
      </c>
      <c r="L960" s="32" t="s">
        <v>3127</v>
      </c>
      <c r="M960" s="33">
        <v>14264.25</v>
      </c>
      <c r="N960" s="34">
        <v>15318.16</v>
      </c>
      <c r="O960" s="27" t="s">
        <v>76</v>
      </c>
      <c r="P960" s="35" t="s">
        <v>89</v>
      </c>
      <c r="Q960" s="35">
        <v>0.0</v>
      </c>
      <c r="R960" s="36">
        <v>45175.0</v>
      </c>
      <c r="S960" s="35" t="s">
        <v>86</v>
      </c>
      <c r="T960" s="35">
        <v>0.0</v>
      </c>
      <c r="U960" s="37" t="s">
        <v>67</v>
      </c>
      <c r="V960" s="38"/>
      <c r="W960" s="38"/>
      <c r="X960" s="27"/>
      <c r="Y960" s="39"/>
      <c r="Z960" s="39"/>
      <c r="AA960" s="39"/>
      <c r="AB960" s="27"/>
      <c r="AC960" s="27">
        <f t="shared" si="619"/>
        <v>0</v>
      </c>
      <c r="AD960" s="41">
        <f t="shared" si="776"/>
        <v>2139.6375</v>
      </c>
      <c r="AE960" s="42"/>
      <c r="AF960" s="27"/>
      <c r="AG960" s="43">
        <f t="shared" si="777"/>
        <v>3658.780125</v>
      </c>
      <c r="AH960" s="29"/>
      <c r="AI960" s="29"/>
      <c r="AJ960" s="29"/>
      <c r="AK960" s="29"/>
      <c r="AL960" s="27"/>
      <c r="AM960" s="44"/>
      <c r="AN960" s="47"/>
      <c r="AO960" s="46"/>
      <c r="AP960" s="47"/>
      <c r="AQ960" s="43">
        <f t="shared" si="770"/>
        <v>3851.3475</v>
      </c>
      <c r="AR960" s="43">
        <f t="shared" si="448"/>
        <v>192.567375</v>
      </c>
      <c r="AS960" s="43">
        <f t="shared" si="449"/>
        <v>673.9858125</v>
      </c>
      <c r="AT960" s="48">
        <f t="shared" si="753"/>
        <v>2984.794313</v>
      </c>
      <c r="AU960" s="49">
        <f t="shared" si="778"/>
        <v>2984.794313</v>
      </c>
      <c r="AV960" s="48"/>
      <c r="AW960" s="34">
        <f t="shared" si="540"/>
        <v>13178.5225</v>
      </c>
      <c r="AX960" s="50">
        <f t="shared" si="757"/>
        <v>845.1568125</v>
      </c>
      <c r="AY960" s="43"/>
      <c r="AZ960" s="47"/>
      <c r="BA960" s="48">
        <f t="shared" si="779"/>
        <v>2984.794313</v>
      </c>
      <c r="BB960" s="27"/>
      <c r="BC960" s="27"/>
      <c r="BD960" s="51"/>
      <c r="BE960" s="52"/>
      <c r="BF960" s="27"/>
      <c r="BG960" s="53">
        <v>0.0</v>
      </c>
      <c r="BH960" s="53" t="str">
        <f>'[1]2023'!Q1291</f>
        <v>#REF!</v>
      </c>
      <c r="BI960" s="27"/>
      <c r="BJ960" s="27"/>
      <c r="BK960" s="27" t="s">
        <v>76</v>
      </c>
      <c r="BL960" s="27"/>
    </row>
    <row r="961" ht="14.25" customHeight="1">
      <c r="A961" s="26" t="s">
        <v>55</v>
      </c>
      <c r="B961" s="26" t="s">
        <v>56</v>
      </c>
      <c r="C961" s="26" t="s">
        <v>57</v>
      </c>
      <c r="D961" s="26" t="s">
        <v>81</v>
      </c>
      <c r="E961" s="27" t="s">
        <v>3128</v>
      </c>
      <c r="F961" s="28" t="s">
        <v>3129</v>
      </c>
      <c r="G961" s="29">
        <v>45175.0</v>
      </c>
      <c r="H961" s="30">
        <v>45175.0</v>
      </c>
      <c r="I961" s="30">
        <v>45540.0</v>
      </c>
      <c r="J961" s="31" t="s">
        <v>3130</v>
      </c>
      <c r="K961" s="26" t="s">
        <v>475</v>
      </c>
      <c r="L961" s="32" t="s">
        <v>2369</v>
      </c>
      <c r="M961" s="33">
        <v>33480.0</v>
      </c>
      <c r="N961" s="34">
        <v>35764.72</v>
      </c>
      <c r="O961" s="27" t="s">
        <v>76</v>
      </c>
      <c r="P961" s="35" t="s">
        <v>89</v>
      </c>
      <c r="Q961" s="35" t="s">
        <v>85</v>
      </c>
      <c r="R961" s="36">
        <v>45175.0</v>
      </c>
      <c r="S961" s="35" t="s">
        <v>86</v>
      </c>
      <c r="T961" s="35">
        <v>0.0</v>
      </c>
      <c r="U961" s="37" t="s">
        <v>67</v>
      </c>
      <c r="V961" s="38"/>
      <c r="W961" s="38"/>
      <c r="X961" s="27"/>
      <c r="Y961" s="39"/>
      <c r="Z961" s="39"/>
      <c r="AA961" s="39"/>
      <c r="AB961" s="27"/>
      <c r="AC961" s="27">
        <f t="shared" si="619"/>
        <v>0</v>
      </c>
      <c r="AD961" s="41">
        <f t="shared" si="776"/>
        <v>5022</v>
      </c>
      <c r="AE961" s="42"/>
      <c r="AF961" s="29">
        <v>44995.0</v>
      </c>
      <c r="AG961" s="43">
        <f t="shared" si="777"/>
        <v>8587.62</v>
      </c>
      <c r="AH961" s="29"/>
      <c r="AI961" s="29"/>
      <c r="AJ961" s="29"/>
      <c r="AK961" s="29"/>
      <c r="AL961" s="27"/>
      <c r="AM961" s="27"/>
      <c r="AN961" s="47"/>
      <c r="AO961" s="46"/>
      <c r="AP961" s="47"/>
      <c r="AQ961" s="43">
        <f t="shared" si="770"/>
        <v>9039.6</v>
      </c>
      <c r="AR961" s="43">
        <f t="shared" si="448"/>
        <v>451.98</v>
      </c>
      <c r="AS961" s="43">
        <f t="shared" si="449"/>
        <v>1581.93</v>
      </c>
      <c r="AT961" s="48">
        <f t="shared" si="753"/>
        <v>7005.69</v>
      </c>
      <c r="AU961" s="49">
        <f t="shared" si="778"/>
        <v>7005.69</v>
      </c>
      <c r="AV961" s="48"/>
      <c r="AW961" s="34">
        <f t="shared" si="540"/>
        <v>30742.72</v>
      </c>
      <c r="AX961" s="50">
        <f t="shared" si="757"/>
        <v>1983.69</v>
      </c>
      <c r="AY961" s="43"/>
      <c r="AZ961" s="47"/>
      <c r="BA961" s="48">
        <f t="shared" si="779"/>
        <v>7005.69</v>
      </c>
      <c r="BB961" s="27"/>
      <c r="BC961" s="27"/>
      <c r="BD961" s="51"/>
      <c r="BE961" s="52"/>
      <c r="BF961" s="27"/>
      <c r="BG961" s="58" t="s">
        <v>562</v>
      </c>
      <c r="BH961" s="53" t="str">
        <f>'[1]2023'!Q1319</f>
        <v>#REF!</v>
      </c>
      <c r="BI961" s="27"/>
      <c r="BJ961" s="27"/>
      <c r="BK961" s="27" t="s">
        <v>76</v>
      </c>
      <c r="BL961" s="27"/>
    </row>
    <row r="962" ht="14.25" customHeight="1">
      <c r="A962" s="26" t="s">
        <v>55</v>
      </c>
      <c r="B962" s="26" t="s">
        <v>56</v>
      </c>
      <c r="C962" s="26" t="s">
        <v>57</v>
      </c>
      <c r="D962" s="26" t="s">
        <v>81</v>
      </c>
      <c r="E962" s="27" t="s">
        <v>3131</v>
      </c>
      <c r="F962" s="28" t="s">
        <v>3132</v>
      </c>
      <c r="G962" s="29">
        <v>45175.0</v>
      </c>
      <c r="H962" s="30">
        <v>45175.0</v>
      </c>
      <c r="I962" s="30">
        <v>45540.0</v>
      </c>
      <c r="J962" s="31" t="s">
        <v>3133</v>
      </c>
      <c r="K962" s="26" t="s">
        <v>475</v>
      </c>
      <c r="L962" s="32" t="s">
        <v>3134</v>
      </c>
      <c r="M962" s="33">
        <v>41250.0</v>
      </c>
      <c r="N962" s="34">
        <v>44031.0</v>
      </c>
      <c r="O962" s="27" t="s">
        <v>76</v>
      </c>
      <c r="P962" s="35" t="s">
        <v>122</v>
      </c>
      <c r="Q962" s="35" t="s">
        <v>85</v>
      </c>
      <c r="R962" s="36">
        <v>45175.0</v>
      </c>
      <c r="S962" s="35" t="s">
        <v>86</v>
      </c>
      <c r="T962" s="35">
        <v>0.0</v>
      </c>
      <c r="U962" s="37" t="s">
        <v>67</v>
      </c>
      <c r="V962" s="38">
        <v>1500000.0</v>
      </c>
      <c r="W962" s="78">
        <v>118942.0</v>
      </c>
      <c r="X962" s="27">
        <v>2021.0</v>
      </c>
      <c r="Y962" s="79" t="s">
        <v>865</v>
      </c>
      <c r="Z962" s="79" t="s">
        <v>1164</v>
      </c>
      <c r="AA962" s="39"/>
      <c r="AB962" s="27"/>
      <c r="AC962" s="27">
        <f t="shared" si="619"/>
        <v>0</v>
      </c>
      <c r="AD962" s="41">
        <f t="shared" si="776"/>
        <v>6187.5</v>
      </c>
      <c r="AE962" s="42"/>
      <c r="AF962" s="29">
        <v>44995.0</v>
      </c>
      <c r="AG962" s="43">
        <f t="shared" si="777"/>
        <v>10580.625</v>
      </c>
      <c r="AH962" s="29"/>
      <c r="AI962" s="29"/>
      <c r="AJ962" s="29"/>
      <c r="AK962" s="29"/>
      <c r="AL962" s="27"/>
      <c r="AM962" s="44"/>
      <c r="AN962" s="68"/>
      <c r="AO962" s="46"/>
      <c r="AP962" s="47"/>
      <c r="AQ962" s="43">
        <f t="shared" si="770"/>
        <v>11137.5</v>
      </c>
      <c r="AR962" s="43">
        <f t="shared" si="448"/>
        <v>556.875</v>
      </c>
      <c r="AS962" s="43">
        <f t="shared" si="449"/>
        <v>1949.0625</v>
      </c>
      <c r="AT962" s="48">
        <f t="shared" si="753"/>
        <v>8631.5625</v>
      </c>
      <c r="AU962" s="49">
        <f t="shared" si="778"/>
        <v>8631.5625</v>
      </c>
      <c r="AV962" s="48"/>
      <c r="AW962" s="34">
        <f t="shared" si="540"/>
        <v>37843.5</v>
      </c>
      <c r="AX962" s="50">
        <f t="shared" si="757"/>
        <v>2444.0625</v>
      </c>
      <c r="AY962" s="43"/>
      <c r="AZ962" s="47"/>
      <c r="BA962" s="48">
        <f t="shared" si="779"/>
        <v>8631.5625</v>
      </c>
      <c r="BB962" s="27"/>
      <c r="BC962" s="27"/>
      <c r="BD962" s="51"/>
      <c r="BE962" s="52"/>
      <c r="BF962" s="27"/>
      <c r="BG962" s="53">
        <v>0.0</v>
      </c>
      <c r="BH962" s="53" t="str">
        <f>'[1]2023'!Q1349</f>
        <v>#REF!</v>
      </c>
      <c r="BI962" s="27"/>
      <c r="BJ962" s="27"/>
      <c r="BK962" s="27" t="s">
        <v>76</v>
      </c>
      <c r="BL962" s="27"/>
    </row>
    <row r="963" ht="14.25" customHeight="1">
      <c r="A963" s="26" t="s">
        <v>55</v>
      </c>
      <c r="B963" s="26" t="s">
        <v>56</v>
      </c>
      <c r="C963" s="26" t="s">
        <v>57</v>
      </c>
      <c r="D963" s="26" t="s">
        <v>81</v>
      </c>
      <c r="E963" s="27" t="s">
        <v>3135</v>
      </c>
      <c r="F963" s="28" t="s">
        <v>3136</v>
      </c>
      <c r="G963" s="29">
        <v>45176.0</v>
      </c>
      <c r="H963" s="30">
        <v>45176.0</v>
      </c>
      <c r="I963" s="30">
        <v>45541.0</v>
      </c>
      <c r="J963" s="31">
        <v>0.0</v>
      </c>
      <c r="K963" s="26" t="s">
        <v>887</v>
      </c>
      <c r="L963" s="32" t="s">
        <v>75</v>
      </c>
      <c r="M963" s="33">
        <v>25330.8</v>
      </c>
      <c r="N963" s="34">
        <v>26966.31</v>
      </c>
      <c r="O963" s="27" t="s">
        <v>76</v>
      </c>
      <c r="P963" s="35" t="s">
        <v>122</v>
      </c>
      <c r="Q963" s="35">
        <v>0.0</v>
      </c>
      <c r="R963" s="36">
        <v>45176.0</v>
      </c>
      <c r="S963" s="35" t="s">
        <v>86</v>
      </c>
      <c r="T963" s="35">
        <v>0.0</v>
      </c>
      <c r="U963" s="37" t="s">
        <v>67</v>
      </c>
      <c r="V963" s="38"/>
      <c r="W963" s="38"/>
      <c r="X963" s="27"/>
      <c r="Y963" s="39"/>
      <c r="Z963" s="39"/>
      <c r="AA963" s="39"/>
      <c r="AB963" s="40"/>
      <c r="AC963" s="27">
        <f t="shared" si="619"/>
        <v>0</v>
      </c>
      <c r="AD963" s="41">
        <f t="shared" si="776"/>
        <v>3799.62</v>
      </c>
      <c r="AE963" s="42"/>
      <c r="AF963" s="27"/>
      <c r="AG963" s="43">
        <f t="shared" si="777"/>
        <v>6497.3502</v>
      </c>
      <c r="AH963" s="29"/>
      <c r="AI963" s="29"/>
      <c r="AJ963" s="29"/>
      <c r="AK963" s="29"/>
      <c r="AL963" s="27"/>
      <c r="AM963" s="44"/>
      <c r="AN963" s="47"/>
      <c r="AO963" s="46"/>
      <c r="AP963" s="47"/>
      <c r="AQ963" s="43">
        <f t="shared" si="770"/>
        <v>6839.316</v>
      </c>
      <c r="AR963" s="43">
        <f t="shared" si="448"/>
        <v>341.9658</v>
      </c>
      <c r="AS963" s="43">
        <f t="shared" si="449"/>
        <v>1196.8803</v>
      </c>
      <c r="AT963" s="48">
        <f t="shared" si="753"/>
        <v>5300.4699</v>
      </c>
      <c r="AU963" s="49">
        <f>AQ963-AR963-AS963-AC963</f>
        <v>5300.4699</v>
      </c>
      <c r="AV963" s="48"/>
      <c r="AW963" s="34">
        <f t="shared" si="540"/>
        <v>23166.69</v>
      </c>
      <c r="AX963" s="50">
        <f t="shared" si="757"/>
        <v>1500.8499</v>
      </c>
      <c r="AY963" s="43"/>
      <c r="AZ963" s="43"/>
      <c r="BA963" s="48">
        <f t="shared" si="779"/>
        <v>5300.4699</v>
      </c>
      <c r="BB963" s="27"/>
      <c r="BC963" s="27"/>
      <c r="BD963" s="51"/>
      <c r="BE963" s="52"/>
      <c r="BF963" s="27" t="s">
        <v>3135</v>
      </c>
      <c r="BG963" s="53">
        <v>0.0</v>
      </c>
      <c r="BH963" s="53" t="str">
        <f>'[1]2023'!Q916</f>
        <v>#REF!</v>
      </c>
      <c r="BI963" s="27"/>
      <c r="BJ963" s="27"/>
      <c r="BK963" s="27" t="s">
        <v>76</v>
      </c>
      <c r="BL963" s="27"/>
    </row>
    <row r="964" ht="14.25" customHeight="1">
      <c r="A964" s="26" t="s">
        <v>55</v>
      </c>
      <c r="B964" s="26" t="s">
        <v>56</v>
      </c>
      <c r="C964" s="26" t="s">
        <v>57</v>
      </c>
      <c r="D964" s="26" t="s">
        <v>58</v>
      </c>
      <c r="E964" s="27" t="s">
        <v>3137</v>
      </c>
      <c r="F964" s="28" t="s">
        <v>3138</v>
      </c>
      <c r="G964" s="29">
        <v>45176.0</v>
      </c>
      <c r="H964" s="30">
        <v>45176.0</v>
      </c>
      <c r="I964" s="30">
        <v>45541.0</v>
      </c>
      <c r="J964" s="31" t="s">
        <v>3139</v>
      </c>
      <c r="K964" s="26" t="s">
        <v>887</v>
      </c>
      <c r="L964" s="69">
        <v>45176.0</v>
      </c>
      <c r="M964" s="33">
        <v>3168.22</v>
      </c>
      <c r="N964" s="34">
        <v>3355.15</v>
      </c>
      <c r="O964" s="27" t="s">
        <v>76</v>
      </c>
      <c r="P964" s="35" t="s">
        <v>89</v>
      </c>
      <c r="Q964" s="35" t="s">
        <v>65</v>
      </c>
      <c r="R964" s="36">
        <v>45176.0</v>
      </c>
      <c r="S964" s="35" t="s">
        <v>86</v>
      </c>
      <c r="T964" s="35">
        <v>0.0</v>
      </c>
      <c r="U964" s="37" t="s">
        <v>58</v>
      </c>
      <c r="V964" s="38"/>
      <c r="W964" s="38"/>
      <c r="X964" s="27"/>
      <c r="Y964" s="39"/>
      <c r="Z964" s="39"/>
      <c r="AA964" s="39"/>
      <c r="AB964" s="40"/>
      <c r="AC964" s="27">
        <f t="shared" si="619"/>
        <v>0</v>
      </c>
      <c r="AD964" s="41"/>
      <c r="AE964" s="42"/>
      <c r="AF964" s="27"/>
      <c r="AG964" s="43">
        <f t="shared" si="777"/>
        <v>812.64843</v>
      </c>
      <c r="AH964" s="29"/>
      <c r="AI964" s="29"/>
      <c r="AJ964" s="29"/>
      <c r="AK964" s="29"/>
      <c r="AL964" s="27"/>
      <c r="AM964" s="44"/>
      <c r="AN964" s="47"/>
      <c r="AO964" s="46"/>
      <c r="AP964" s="47"/>
      <c r="AQ964" s="43">
        <f t="shared" si="770"/>
        <v>0</v>
      </c>
      <c r="AR964" s="43">
        <f t="shared" si="448"/>
        <v>0</v>
      </c>
      <c r="AS964" s="43">
        <f t="shared" si="449"/>
        <v>0</v>
      </c>
      <c r="AT964" s="48">
        <f t="shared" si="753"/>
        <v>0</v>
      </c>
      <c r="AU964" s="49">
        <f>AQ964-AR964-AS964-AC964-AO964</f>
        <v>0</v>
      </c>
      <c r="AV964" s="48"/>
      <c r="AW964" s="34">
        <f t="shared" si="540"/>
        <v>3355.15</v>
      </c>
      <c r="AX964" s="50">
        <f t="shared" si="757"/>
        <v>812.64843</v>
      </c>
      <c r="AY964" s="43"/>
      <c r="AZ964" s="47"/>
      <c r="BA964" s="48">
        <f t="shared" si="779"/>
        <v>0</v>
      </c>
      <c r="BB964" s="27"/>
      <c r="BC964" s="27"/>
      <c r="BD964" s="51"/>
      <c r="BE964" s="52"/>
      <c r="BF964" s="27" t="s">
        <v>3137</v>
      </c>
      <c r="BG964" s="53">
        <v>0.0</v>
      </c>
      <c r="BH964" s="53" t="str">
        <f t="shared" ref="BH964:BH966" si="780">'[1]2023'!Q952</f>
        <v>#REF!</v>
      </c>
      <c r="BI964" s="27"/>
      <c r="BJ964" s="27"/>
      <c r="BK964" s="27" t="s">
        <v>76</v>
      </c>
      <c r="BL964" s="27"/>
    </row>
    <row r="965" ht="14.25" customHeight="1">
      <c r="A965" s="26" t="s">
        <v>111</v>
      </c>
      <c r="B965" s="26" t="s">
        <v>56</v>
      </c>
      <c r="C965" s="26" t="s">
        <v>57</v>
      </c>
      <c r="D965" s="26" t="s">
        <v>71</v>
      </c>
      <c r="E965" s="27" t="s">
        <v>1950</v>
      </c>
      <c r="F965" s="28" t="s">
        <v>3140</v>
      </c>
      <c r="G965" s="29">
        <v>45176.0</v>
      </c>
      <c r="H965" s="30">
        <v>45176.0</v>
      </c>
      <c r="I965" s="30">
        <v>45541.0</v>
      </c>
      <c r="J965" s="31">
        <v>0.0</v>
      </c>
      <c r="K965" s="26" t="s">
        <v>887</v>
      </c>
      <c r="L965" s="69">
        <v>45126.0</v>
      </c>
      <c r="M965" s="33">
        <v>33970.11</v>
      </c>
      <c r="N965" s="34">
        <v>36400.0</v>
      </c>
      <c r="O965" s="27" t="s">
        <v>76</v>
      </c>
      <c r="P965" s="35" t="s">
        <v>142</v>
      </c>
      <c r="Q965" s="35" t="s">
        <v>108</v>
      </c>
      <c r="R965" s="36">
        <v>45185.0</v>
      </c>
      <c r="S965" s="35" t="s">
        <v>86</v>
      </c>
      <c r="T965" s="35">
        <v>0.0</v>
      </c>
      <c r="U965" s="37" t="s">
        <v>115</v>
      </c>
      <c r="V965" s="38">
        <v>1400000.0</v>
      </c>
      <c r="W965" s="38"/>
      <c r="X965" s="27"/>
      <c r="Y965" s="39"/>
      <c r="Z965" s="79" t="s">
        <v>3141</v>
      </c>
      <c r="AA965" s="39"/>
      <c r="AB965" s="40"/>
      <c r="AC965" s="27">
        <f t="shared" si="619"/>
        <v>0</v>
      </c>
      <c r="AD965" s="41">
        <f>IF(AND(S965="0",O965="Paid"),(M965*15%)-AC965,0)</f>
        <v>5095.5165</v>
      </c>
      <c r="AE965" s="42">
        <v>650.0</v>
      </c>
      <c r="AF965" s="27" t="s">
        <v>721</v>
      </c>
      <c r="AG965" s="43">
        <f t="shared" ref="AG965:AG966" si="781">IF(O965="Paid",IF(A965="Alwataniya",(M965*21%)-((M965*21%)*5%),IF((A965="GIG"),(M965*25%)-((M965*25%)*5%),IF((A965="Allianz"),(M965*27%)-((M965*27%)*20%),0))),0)</f>
        <v>8067.901125</v>
      </c>
      <c r="AH965" s="29" t="s">
        <v>2017</v>
      </c>
      <c r="AI965" s="29">
        <v>45177.0</v>
      </c>
      <c r="AJ965" s="29"/>
      <c r="AK965" s="29" t="s">
        <v>922</v>
      </c>
      <c r="AL965" s="27"/>
      <c r="AM965" s="44"/>
      <c r="AN965" s="47"/>
      <c r="AO965" s="46"/>
      <c r="AP965" s="47"/>
      <c r="AQ965" s="43">
        <f t="shared" si="770"/>
        <v>8492.5275</v>
      </c>
      <c r="AR965" s="43">
        <f t="shared" si="448"/>
        <v>424.626375</v>
      </c>
      <c r="AS965" s="43">
        <f t="shared" si="449"/>
        <v>1486.192313</v>
      </c>
      <c r="AT965" s="48">
        <f t="shared" si="753"/>
        <v>6581.708813</v>
      </c>
      <c r="AU965" s="49">
        <f t="shared" ref="AU965:AU967" si="782">AQ965-AR965-AS965-AC965</f>
        <v>6581.708813</v>
      </c>
      <c r="AV965" s="48"/>
      <c r="AW965" s="34">
        <f t="shared" si="540"/>
        <v>30654.4835</v>
      </c>
      <c r="AX965" s="50">
        <f t="shared" si="757"/>
        <v>836.1923125</v>
      </c>
      <c r="AY965" s="43"/>
      <c r="AZ965" s="47"/>
      <c r="BA965" s="48">
        <f t="shared" si="779"/>
        <v>6581.708813</v>
      </c>
      <c r="BB965" s="27"/>
      <c r="BC965" s="27"/>
      <c r="BD965" s="51"/>
      <c r="BE965" s="52"/>
      <c r="BF965" s="27" t="s">
        <v>1946</v>
      </c>
      <c r="BG965" s="53">
        <v>0.0</v>
      </c>
      <c r="BH965" s="53" t="str">
        <f t="shared" si="780"/>
        <v>#REF!</v>
      </c>
      <c r="BI965" s="27"/>
      <c r="BJ965" s="27"/>
      <c r="BK965" s="27" t="s">
        <v>76</v>
      </c>
      <c r="BL965" s="27"/>
    </row>
    <row r="966" ht="14.25" customHeight="1">
      <c r="A966" s="26" t="s">
        <v>111</v>
      </c>
      <c r="B966" s="26" t="s">
        <v>56</v>
      </c>
      <c r="C966" s="26" t="s">
        <v>57</v>
      </c>
      <c r="D966" s="26" t="s">
        <v>71</v>
      </c>
      <c r="E966" s="27" t="s">
        <v>3142</v>
      </c>
      <c r="F966" s="28" t="s">
        <v>3143</v>
      </c>
      <c r="G966" s="29">
        <v>45176.0</v>
      </c>
      <c r="H966" s="30">
        <v>45176.0</v>
      </c>
      <c r="I966" s="30">
        <v>45541.0</v>
      </c>
      <c r="J966" s="31" t="s">
        <v>3144</v>
      </c>
      <c r="K966" s="26" t="s">
        <v>887</v>
      </c>
      <c r="L966" s="69">
        <v>45123.0</v>
      </c>
      <c r="M966" s="33">
        <v>18086.65</v>
      </c>
      <c r="N966" s="34">
        <v>19500.0</v>
      </c>
      <c r="O966" s="27" t="s">
        <v>76</v>
      </c>
      <c r="P966" s="35" t="s">
        <v>89</v>
      </c>
      <c r="Q966" s="35" t="s">
        <v>114</v>
      </c>
      <c r="R966" s="36">
        <v>45185.0</v>
      </c>
      <c r="S966" s="35" t="s">
        <v>78</v>
      </c>
      <c r="T966" s="54" t="s">
        <v>510</v>
      </c>
      <c r="U966" s="37" t="s">
        <v>115</v>
      </c>
      <c r="V966" s="38">
        <v>750000.0</v>
      </c>
      <c r="W966" s="38"/>
      <c r="X966" s="27"/>
      <c r="Y966" s="39"/>
      <c r="Z966" s="79" t="s">
        <v>900</v>
      </c>
      <c r="AA966" s="39"/>
      <c r="AB966" s="40"/>
      <c r="AC966" s="27">
        <f t="shared" si="619"/>
        <v>0</v>
      </c>
      <c r="AD966" s="41"/>
      <c r="AE966" s="42"/>
      <c r="AF966" s="27"/>
      <c r="AG966" s="43">
        <f t="shared" si="781"/>
        <v>4295.579375</v>
      </c>
      <c r="AH966" s="29" t="s">
        <v>2017</v>
      </c>
      <c r="AI966" s="29">
        <v>45177.0</v>
      </c>
      <c r="AJ966" s="55">
        <v>0.25</v>
      </c>
      <c r="AK966" s="29" t="s">
        <v>922</v>
      </c>
      <c r="AL966" s="27"/>
      <c r="AM966" s="44"/>
      <c r="AN966" s="56"/>
      <c r="AO966" s="95">
        <f>M966*AJ966-((M966*AJ966)*22.5%)</f>
        <v>3504.288438</v>
      </c>
      <c r="AP966" s="63" t="s">
        <v>886</v>
      </c>
      <c r="AQ966" s="43">
        <f t="shared" si="770"/>
        <v>4521.6625</v>
      </c>
      <c r="AR966" s="43">
        <f t="shared" si="448"/>
        <v>226.083125</v>
      </c>
      <c r="AS966" s="43">
        <f t="shared" si="449"/>
        <v>791.2909375</v>
      </c>
      <c r="AT966" s="48">
        <f t="shared" si="753"/>
        <v>3504.288438</v>
      </c>
      <c r="AU966" s="49">
        <f t="shared" si="782"/>
        <v>3504.288438</v>
      </c>
      <c r="AV966" s="48"/>
      <c r="AW966" s="34">
        <f t="shared" si="540"/>
        <v>19500</v>
      </c>
      <c r="AX966" s="50">
        <f t="shared" si="757"/>
        <v>0</v>
      </c>
      <c r="AY966" s="43"/>
      <c r="AZ966" s="47"/>
      <c r="BA966" s="48" t="str">
        <f>IF(S966&lt;&gt;0,AU966-#REF!-AM966,(AG966-AD966-AE966-AS966))</f>
        <v>#REF!</v>
      </c>
      <c r="BB966" s="27"/>
      <c r="BC966" s="27"/>
      <c r="BD966" s="51"/>
      <c r="BE966" s="52"/>
      <c r="BF966" s="27" t="s">
        <v>3142</v>
      </c>
      <c r="BG966" s="53">
        <v>0.0</v>
      </c>
      <c r="BH966" s="53" t="str">
        <f t="shared" si="780"/>
        <v>#REF!</v>
      </c>
      <c r="BI966" s="27"/>
      <c r="BJ966" s="27"/>
      <c r="BK966" s="27" t="s">
        <v>76</v>
      </c>
      <c r="BL966" s="27"/>
    </row>
    <row r="967" ht="14.25" customHeight="1">
      <c r="A967" s="26" t="s">
        <v>55</v>
      </c>
      <c r="B967" s="26" t="s">
        <v>56</v>
      </c>
      <c r="C967" s="26" t="s">
        <v>57</v>
      </c>
      <c r="D967" s="26" t="s">
        <v>71</v>
      </c>
      <c r="E967" s="27" t="s">
        <v>3145</v>
      </c>
      <c r="F967" s="28" t="s">
        <v>3146</v>
      </c>
      <c r="G967" s="29">
        <v>45176.0</v>
      </c>
      <c r="H967" s="30">
        <v>45176.0</v>
      </c>
      <c r="I967" s="30">
        <v>45541.0</v>
      </c>
      <c r="J967" s="31" t="s">
        <v>3147</v>
      </c>
      <c r="K967" s="26" t="s">
        <v>887</v>
      </c>
      <c r="L967" s="69">
        <v>45237.0</v>
      </c>
      <c r="M967" s="33">
        <v>254505.0</v>
      </c>
      <c r="N967" s="34">
        <v>269665.0</v>
      </c>
      <c r="O967" s="27" t="s">
        <v>76</v>
      </c>
      <c r="P967" s="35" t="s">
        <v>89</v>
      </c>
      <c r="Q967" s="35" t="s">
        <v>65</v>
      </c>
      <c r="R967" s="36">
        <v>45176.0</v>
      </c>
      <c r="S967" s="35" t="s">
        <v>78</v>
      </c>
      <c r="T967" s="35">
        <v>0.0</v>
      </c>
      <c r="U967" s="37" t="s">
        <v>157</v>
      </c>
      <c r="V967" s="38">
        <v>7500000.0</v>
      </c>
      <c r="W967" s="78" t="s">
        <v>3148</v>
      </c>
      <c r="X967" s="27">
        <v>2023.0</v>
      </c>
      <c r="Y967" s="39"/>
      <c r="Z967" s="79" t="s">
        <v>2437</v>
      </c>
      <c r="AA967" s="39"/>
      <c r="AB967" s="40"/>
      <c r="AC967" s="27">
        <f t="shared" si="619"/>
        <v>0</v>
      </c>
      <c r="AD967" s="41"/>
      <c r="AE967" s="42"/>
      <c r="AF967" s="27"/>
      <c r="AG967" s="43">
        <f t="shared" ref="AG967:AG969" si="783">IF(O967="Paid",IF(A967="Alwataniya",(M967*21%)-((M967*21%)*5%),IF((A967="GIG"),(M967*25%)-((M967*25%)*5%),IF((A967="Allianz"),(M967*27%)-((M967*27%)*5%),0))),0)</f>
        <v>65280.5325</v>
      </c>
      <c r="AH967" s="29"/>
      <c r="AI967" s="29"/>
      <c r="AJ967" s="55"/>
      <c r="AK967" s="29"/>
      <c r="AL967" s="27"/>
      <c r="AM967" s="44"/>
      <c r="AN967" s="47"/>
      <c r="AO967" s="46"/>
      <c r="AP967" s="47"/>
      <c r="AQ967" s="43">
        <f t="shared" si="770"/>
        <v>55991.1</v>
      </c>
      <c r="AR967" s="43">
        <f t="shared" si="448"/>
        <v>2799.555</v>
      </c>
      <c r="AS967" s="43">
        <f t="shared" si="449"/>
        <v>9798.4425</v>
      </c>
      <c r="AT967" s="48">
        <f t="shared" si="753"/>
        <v>43393.1025</v>
      </c>
      <c r="AU967" s="49">
        <f t="shared" si="782"/>
        <v>43393.1025</v>
      </c>
      <c r="AV967" s="48"/>
      <c r="AW967" s="34">
        <f t="shared" si="540"/>
        <v>269665</v>
      </c>
      <c r="AX967" s="50">
        <f t="shared" si="757"/>
        <v>55482.09</v>
      </c>
      <c r="AY967" s="43"/>
      <c r="AZ967" s="47"/>
      <c r="BA967" s="48">
        <f t="shared" ref="BA967:BA974" si="784">IF(S967&lt;&gt;0,AU967-AO967-AM967,(AG967-AD967-AE967-AS967))</f>
        <v>43393.1025</v>
      </c>
      <c r="BB967" s="27"/>
      <c r="BC967" s="27"/>
      <c r="BD967" s="51"/>
      <c r="BE967" s="52"/>
      <c r="BF967" s="27" t="s">
        <v>3149</v>
      </c>
      <c r="BG967" s="58" t="s">
        <v>3150</v>
      </c>
      <c r="BH967" s="53" t="str">
        <f>'[1]2023'!Q960</f>
        <v>#REF!</v>
      </c>
      <c r="BI967" s="27"/>
      <c r="BJ967" s="27"/>
      <c r="BK967" s="27" t="s">
        <v>76</v>
      </c>
      <c r="BL967" s="27"/>
    </row>
    <row r="968" ht="14.25" customHeight="1">
      <c r="A968" s="26" t="s">
        <v>55</v>
      </c>
      <c r="B968" s="26" t="s">
        <v>56</v>
      </c>
      <c r="C968" s="26" t="s">
        <v>57</v>
      </c>
      <c r="D968" s="26" t="s">
        <v>58</v>
      </c>
      <c r="E968" s="27" t="s">
        <v>3151</v>
      </c>
      <c r="F968" s="28" t="s">
        <v>3152</v>
      </c>
      <c r="G968" s="29">
        <v>45176.0</v>
      </c>
      <c r="H968" s="30">
        <v>45176.0</v>
      </c>
      <c r="I968" s="30">
        <v>45541.0</v>
      </c>
      <c r="J968" s="31">
        <v>0.0</v>
      </c>
      <c r="K968" s="26" t="s">
        <v>475</v>
      </c>
      <c r="L968" s="32" t="s">
        <v>3127</v>
      </c>
      <c r="M968" s="33">
        <v>1498.44</v>
      </c>
      <c r="N968" s="34">
        <v>1586.85</v>
      </c>
      <c r="O968" s="27" t="s">
        <v>76</v>
      </c>
      <c r="P968" s="35" t="s">
        <v>89</v>
      </c>
      <c r="Q968" s="35" t="s">
        <v>65</v>
      </c>
      <c r="R968" s="36">
        <v>45176.0</v>
      </c>
      <c r="S968" s="35" t="s">
        <v>66</v>
      </c>
      <c r="T968" s="35">
        <v>0.0</v>
      </c>
      <c r="U968" s="37" t="s">
        <v>58</v>
      </c>
      <c r="V968" s="38"/>
      <c r="W968" s="38"/>
      <c r="X968" s="27"/>
      <c r="Y968" s="39"/>
      <c r="Z968" s="39"/>
      <c r="AA968" s="39"/>
      <c r="AB968" s="27"/>
      <c r="AC968" s="27">
        <f t="shared" si="619"/>
        <v>0</v>
      </c>
      <c r="AD968" s="41"/>
      <c r="AE968" s="42"/>
      <c r="AF968" s="27"/>
      <c r="AG968" s="43">
        <f t="shared" si="783"/>
        <v>384.34986</v>
      </c>
      <c r="AH968" s="29"/>
      <c r="AI968" s="29"/>
      <c r="AJ968" s="29"/>
      <c r="AK968" s="29"/>
      <c r="AL968" s="27"/>
      <c r="AM968" s="44">
        <f t="shared" ref="AM968:AM969" si="785">((M968*27%)-AC968-((M968*27%)*22.5%))*30%</f>
        <v>94.064571</v>
      </c>
      <c r="AN968" s="179">
        <v>45148.0</v>
      </c>
      <c r="AO968" s="46"/>
      <c r="AP968" s="47"/>
      <c r="AQ968" s="43">
        <f t="shared" si="770"/>
        <v>0</v>
      </c>
      <c r="AR968" s="43">
        <f t="shared" si="448"/>
        <v>0</v>
      </c>
      <c r="AS968" s="43">
        <f t="shared" si="449"/>
        <v>0</v>
      </c>
      <c r="AT968" s="48">
        <f t="shared" si="753"/>
        <v>0</v>
      </c>
      <c r="AU968" s="49">
        <f t="shared" ref="AU968:AU984" si="786">AQ968-AR968-AS968-AC968-AO968</f>
        <v>0</v>
      </c>
      <c r="AV968" s="48"/>
      <c r="AW968" s="34">
        <f t="shared" si="540"/>
        <v>1586.85</v>
      </c>
      <c r="AX968" s="50">
        <f t="shared" si="757"/>
        <v>290.285289</v>
      </c>
      <c r="AY968" s="43"/>
      <c r="AZ968" s="47"/>
      <c r="BA968" s="48">
        <f t="shared" si="784"/>
        <v>-94.064571</v>
      </c>
      <c r="BB968" s="27"/>
      <c r="BC968" s="27"/>
      <c r="BD968" s="51"/>
      <c r="BE968" s="52"/>
      <c r="BF968" s="27" t="s">
        <v>3151</v>
      </c>
      <c r="BG968" s="53">
        <v>0.0</v>
      </c>
      <c r="BH968" s="53" t="str">
        <f>'[1]2023'!Q1144</f>
        <v>#REF!</v>
      </c>
      <c r="BI968" s="27"/>
      <c r="BJ968" s="27"/>
      <c r="BK968" s="27" t="s">
        <v>76</v>
      </c>
      <c r="BL968" s="27"/>
    </row>
    <row r="969" ht="14.25" customHeight="1">
      <c r="A969" s="26" t="s">
        <v>55</v>
      </c>
      <c r="B969" s="26" t="s">
        <v>56</v>
      </c>
      <c r="C969" s="26" t="s">
        <v>57</v>
      </c>
      <c r="D969" s="26" t="s">
        <v>58</v>
      </c>
      <c r="E969" s="27" t="s">
        <v>3153</v>
      </c>
      <c r="F969" s="28" t="s">
        <v>3154</v>
      </c>
      <c r="G969" s="29">
        <v>45176.0</v>
      </c>
      <c r="H969" s="30">
        <v>45176.0</v>
      </c>
      <c r="I969" s="30">
        <v>45541.0</v>
      </c>
      <c r="J969" s="31">
        <v>0.0</v>
      </c>
      <c r="K969" s="26" t="s">
        <v>475</v>
      </c>
      <c r="L969" s="69">
        <v>45176.0</v>
      </c>
      <c r="M969" s="33">
        <v>4062.16</v>
      </c>
      <c r="N969" s="34">
        <v>4301.82</v>
      </c>
      <c r="O969" s="27" t="s">
        <v>76</v>
      </c>
      <c r="P969" s="35" t="s">
        <v>89</v>
      </c>
      <c r="Q969" s="35" t="s">
        <v>65</v>
      </c>
      <c r="R969" s="36">
        <v>45176.0</v>
      </c>
      <c r="S969" s="35" t="s">
        <v>66</v>
      </c>
      <c r="T969" s="35">
        <v>0.0</v>
      </c>
      <c r="U969" s="37" t="s">
        <v>67</v>
      </c>
      <c r="V969" s="38"/>
      <c r="W969" s="38"/>
      <c r="X969" s="27"/>
      <c r="Y969" s="39"/>
      <c r="Z969" s="39"/>
      <c r="AA969" s="39"/>
      <c r="AB969" s="27"/>
      <c r="AC969" s="27">
        <f t="shared" si="619"/>
        <v>0</v>
      </c>
      <c r="AD969" s="41"/>
      <c r="AE969" s="42"/>
      <c r="AF969" s="27"/>
      <c r="AG969" s="43">
        <f t="shared" si="783"/>
        <v>1041.94404</v>
      </c>
      <c r="AH969" s="29"/>
      <c r="AI969" s="29"/>
      <c r="AJ969" s="29"/>
      <c r="AK969" s="29"/>
      <c r="AL969" s="27"/>
      <c r="AM969" s="44">
        <f t="shared" si="785"/>
        <v>255.002094</v>
      </c>
      <c r="AN969" s="179">
        <v>45148.0</v>
      </c>
      <c r="AO969" s="46"/>
      <c r="AP969" s="47"/>
      <c r="AQ969" s="43">
        <f t="shared" si="770"/>
        <v>1096.7832</v>
      </c>
      <c r="AR969" s="43">
        <f t="shared" si="448"/>
        <v>54.83916</v>
      </c>
      <c r="AS969" s="43">
        <f t="shared" si="449"/>
        <v>191.93706</v>
      </c>
      <c r="AT969" s="48">
        <f t="shared" si="753"/>
        <v>850.00698</v>
      </c>
      <c r="AU969" s="49">
        <f t="shared" si="786"/>
        <v>850.00698</v>
      </c>
      <c r="AV969" s="48"/>
      <c r="AW969" s="34">
        <f t="shared" si="540"/>
        <v>4301.82</v>
      </c>
      <c r="AX969" s="50">
        <f t="shared" si="757"/>
        <v>595.004886</v>
      </c>
      <c r="AY969" s="43"/>
      <c r="AZ969" s="47"/>
      <c r="BA969" s="48">
        <f t="shared" si="784"/>
        <v>595.004886</v>
      </c>
      <c r="BB969" s="27"/>
      <c r="BC969" s="27"/>
      <c r="BD969" s="51"/>
      <c r="BE969" s="52"/>
      <c r="BF969" s="27"/>
      <c r="BG969" s="53">
        <v>0.0</v>
      </c>
      <c r="BH969" s="53" t="str">
        <f>'[1]2023'!Q1279</f>
        <v>#REF!</v>
      </c>
      <c r="BI969" s="27"/>
      <c r="BJ969" s="27"/>
      <c r="BK969" s="27" t="s">
        <v>76</v>
      </c>
      <c r="BL969" s="27"/>
    </row>
    <row r="970" ht="14.25" customHeight="1">
      <c r="A970" s="26" t="s">
        <v>1634</v>
      </c>
      <c r="B970" s="26" t="s">
        <v>69</v>
      </c>
      <c r="C970" s="26" t="s">
        <v>70</v>
      </c>
      <c r="D970" s="26" t="s">
        <v>58</v>
      </c>
      <c r="E970" s="27" t="s">
        <v>3155</v>
      </c>
      <c r="F970" s="26" t="s">
        <v>3156</v>
      </c>
      <c r="G970" s="29">
        <v>45176.0</v>
      </c>
      <c r="H970" s="30">
        <v>45176.0</v>
      </c>
      <c r="I970" s="30">
        <v>45541.0</v>
      </c>
      <c r="J970" s="31">
        <v>0.0</v>
      </c>
      <c r="K970" s="26" t="s">
        <v>475</v>
      </c>
      <c r="L970" s="89">
        <v>45225.0</v>
      </c>
      <c r="M970" s="33">
        <v>376.0</v>
      </c>
      <c r="N970" s="34">
        <v>442.0</v>
      </c>
      <c r="O970" s="27" t="s">
        <v>76</v>
      </c>
      <c r="P970" s="35" t="s">
        <v>77</v>
      </c>
      <c r="Q970" s="35">
        <v>0.0</v>
      </c>
      <c r="R970" s="36">
        <v>45176.0</v>
      </c>
      <c r="S970" s="35" t="s">
        <v>78</v>
      </c>
      <c r="T970" s="54" t="s">
        <v>79</v>
      </c>
      <c r="U970" s="37" t="s">
        <v>69</v>
      </c>
      <c r="V970" s="38"/>
      <c r="W970" s="38"/>
      <c r="X970" s="27"/>
      <c r="Y970" s="39"/>
      <c r="Z970" s="39"/>
      <c r="AA970" s="39"/>
      <c r="AB970" s="27"/>
      <c r="AC970" s="27">
        <f t="shared" si="619"/>
        <v>0</v>
      </c>
      <c r="AD970" s="41">
        <f t="shared" ref="AD970:AD971" si="787">IF(AND(S970="0",O970="Paid"),(M970*15%)-AC970,0)</f>
        <v>0</v>
      </c>
      <c r="AE970" s="42"/>
      <c r="AF970" s="27"/>
      <c r="AG970" s="43">
        <f>(M970*16.75%)-((M970*16.75%)*5%)</f>
        <v>59.831</v>
      </c>
      <c r="AH970" s="29"/>
      <c r="AI970" s="29"/>
      <c r="AJ970" s="29"/>
      <c r="AK970" s="29"/>
      <c r="AL970" s="27"/>
      <c r="AM970" s="44"/>
      <c r="AN970" s="47"/>
      <c r="AO970" s="149">
        <f>((AF970*AJ970)-((AF970*AJ970)*22.5%))*80%</f>
        <v>0</v>
      </c>
      <c r="AP970" s="47"/>
      <c r="AQ970" s="43">
        <f>IF(O970="Paid",IF(U970="Motor Plus",(M970*27%),IF(U970="Motor One",(M970*22%),(IF(U970="Golden",(M970*25%),(IF(U970="Classic",(M970*15%),(IF(U970="Wethaq",(M970*28%),IF(U970="Alwataniya",(M970*21%))*0)))))))))</f>
        <v>0</v>
      </c>
      <c r="AR970" s="43">
        <f t="shared" si="448"/>
        <v>0</v>
      </c>
      <c r="AS970" s="43">
        <f t="shared" si="449"/>
        <v>0</v>
      </c>
      <c r="AT970" s="48">
        <f t="shared" si="753"/>
        <v>0</v>
      </c>
      <c r="AU970" s="49">
        <f t="shared" si="786"/>
        <v>0</v>
      </c>
      <c r="AV970" s="48"/>
      <c r="AW970" s="34">
        <f t="shared" si="540"/>
        <v>442</v>
      </c>
      <c r="AX970" s="50">
        <f t="shared" si="757"/>
        <v>59.831</v>
      </c>
      <c r="AY970" s="43"/>
      <c r="AZ970" s="47"/>
      <c r="BA970" s="48">
        <f t="shared" si="784"/>
        <v>0</v>
      </c>
      <c r="BB970" s="27"/>
      <c r="BC970" s="27"/>
      <c r="BD970" s="51"/>
      <c r="BE970" s="52"/>
      <c r="BF970" s="27"/>
      <c r="BG970" s="53">
        <v>0.0</v>
      </c>
      <c r="BH970" s="53" t="str">
        <f>'[1]2023'!Q1306</f>
        <v>#REF!</v>
      </c>
      <c r="BI970" s="27"/>
      <c r="BJ970" s="27"/>
      <c r="BK970" s="27" t="s">
        <v>76</v>
      </c>
      <c r="BL970" s="27"/>
    </row>
    <row r="971" ht="14.25" customHeight="1">
      <c r="A971" s="26" t="s">
        <v>55</v>
      </c>
      <c r="B971" s="26" t="s">
        <v>56</v>
      </c>
      <c r="C971" s="26" t="s">
        <v>57</v>
      </c>
      <c r="D971" s="26" t="s">
        <v>81</v>
      </c>
      <c r="E971" s="27" t="s">
        <v>3157</v>
      </c>
      <c r="F971" s="28" t="s">
        <v>3158</v>
      </c>
      <c r="G971" s="29">
        <v>45176.0</v>
      </c>
      <c r="H971" s="30">
        <v>45176.0</v>
      </c>
      <c r="I971" s="30">
        <v>45541.0</v>
      </c>
      <c r="J971" s="31" t="s">
        <v>3159</v>
      </c>
      <c r="K971" s="26" t="s">
        <v>475</v>
      </c>
      <c r="L971" s="192">
        <v>45270.0</v>
      </c>
      <c r="M971" s="33">
        <v>26550.0</v>
      </c>
      <c r="N971" s="34">
        <v>28390.2</v>
      </c>
      <c r="O971" s="27" t="s">
        <v>76</v>
      </c>
      <c r="P971" s="35" t="s">
        <v>142</v>
      </c>
      <c r="Q971" s="35" t="s">
        <v>90</v>
      </c>
      <c r="R971" s="36">
        <v>45176.0</v>
      </c>
      <c r="S971" s="35" t="s">
        <v>86</v>
      </c>
      <c r="T971" s="35">
        <v>0.0</v>
      </c>
      <c r="U971" s="37" t="s">
        <v>157</v>
      </c>
      <c r="V971" s="38">
        <v>1500000.0</v>
      </c>
      <c r="W971" s="78">
        <v>1746.0</v>
      </c>
      <c r="X971" s="27">
        <v>2021.0</v>
      </c>
      <c r="Y971" s="79" t="s">
        <v>2641</v>
      </c>
      <c r="Z971" s="79" t="s">
        <v>208</v>
      </c>
      <c r="AA971" s="39">
        <v>2660589.0</v>
      </c>
      <c r="AB971" s="27"/>
      <c r="AC971" s="27">
        <f t="shared" si="619"/>
        <v>0</v>
      </c>
      <c r="AD971" s="41">
        <f t="shared" si="787"/>
        <v>3982.5</v>
      </c>
      <c r="AE971" s="42"/>
      <c r="AF971" s="29">
        <v>45240.0</v>
      </c>
      <c r="AG971" s="43">
        <f t="shared" ref="AG971:AG972" si="788">IF(O971="Paid",IF(A971="Alwataniya",(M971*21%)-((M971*21%)*5%),IF((A971="GIG"),(M971*25%)-((M971*25%)*5%),IF((A971="Allianz"),(M971*27%)-((M971*27%)*5%),0))),0)</f>
        <v>6810.075</v>
      </c>
      <c r="AH971" s="29"/>
      <c r="AI971" s="29"/>
      <c r="AJ971" s="29"/>
      <c r="AK971" s="29"/>
      <c r="AL971" s="27"/>
      <c r="AM971" s="27"/>
      <c r="AN971" s="47"/>
      <c r="AO971" s="46"/>
      <c r="AP971" s="47"/>
      <c r="AQ971" s="43">
        <f t="shared" ref="AQ971:AQ975" si="789">IF(U971="Motor Plus",(M971*27%),IF(U971="Motor One",(M971*22%),(IF(U971="Golden",(M971*25%),(IF(U971="Classic",(M971*15%),(IF(U971="Wethaq",(M971*28%),IF(U971="Alwataniya",(M971*21%))*0))))))))</f>
        <v>5841</v>
      </c>
      <c r="AR971" s="43">
        <f t="shared" si="448"/>
        <v>292.05</v>
      </c>
      <c r="AS971" s="43">
        <f t="shared" si="449"/>
        <v>1022.175</v>
      </c>
      <c r="AT971" s="48">
        <f t="shared" si="753"/>
        <v>4526.775</v>
      </c>
      <c r="AU971" s="49">
        <f t="shared" si="786"/>
        <v>4526.775</v>
      </c>
      <c r="AV971" s="48"/>
      <c r="AW971" s="34">
        <f t="shared" si="540"/>
        <v>24407.7</v>
      </c>
      <c r="AX971" s="50">
        <f t="shared" si="757"/>
        <v>1805.4</v>
      </c>
      <c r="AY971" s="43"/>
      <c r="AZ971" s="47"/>
      <c r="BA971" s="48">
        <f t="shared" si="784"/>
        <v>4526.775</v>
      </c>
      <c r="BB971" s="27"/>
      <c r="BC971" s="27"/>
      <c r="BD971" s="51"/>
      <c r="BE971" s="52"/>
      <c r="BF971" s="27"/>
      <c r="BG971" s="53">
        <v>0.0</v>
      </c>
      <c r="BH971" s="53" t="str">
        <f>'[1]2023'!Q1375</f>
        <v>#REF!</v>
      </c>
      <c r="BI971" s="27"/>
      <c r="BJ971" s="27"/>
      <c r="BK971" s="27" t="s">
        <v>76</v>
      </c>
      <c r="BL971" s="27"/>
    </row>
    <row r="972" ht="14.25" customHeight="1">
      <c r="A972" s="26" t="s">
        <v>55</v>
      </c>
      <c r="B972" s="26" t="s">
        <v>56</v>
      </c>
      <c r="C972" s="26" t="s">
        <v>57</v>
      </c>
      <c r="D972" s="26" t="s">
        <v>81</v>
      </c>
      <c r="E972" s="27" t="s">
        <v>3160</v>
      </c>
      <c r="F972" s="28" t="s">
        <v>3161</v>
      </c>
      <c r="G972" s="29">
        <v>45177.0</v>
      </c>
      <c r="H972" s="30">
        <v>45177.0</v>
      </c>
      <c r="I972" s="30">
        <v>45542.0</v>
      </c>
      <c r="J972" s="31">
        <v>0.0</v>
      </c>
      <c r="K972" s="26" t="s">
        <v>455</v>
      </c>
      <c r="L972" s="32" t="s">
        <v>75</v>
      </c>
      <c r="M972" s="33">
        <v>16575.0</v>
      </c>
      <c r="N972" s="34">
        <v>17693.93</v>
      </c>
      <c r="O972" s="27" t="s">
        <v>76</v>
      </c>
      <c r="P972" s="35" t="s">
        <v>122</v>
      </c>
      <c r="Q972" s="35" t="s">
        <v>65</v>
      </c>
      <c r="R972" s="36">
        <v>45177.0</v>
      </c>
      <c r="S972" s="35" t="s">
        <v>86</v>
      </c>
      <c r="T972" s="35">
        <v>0.0</v>
      </c>
      <c r="U972" s="37" t="s">
        <v>67</v>
      </c>
      <c r="V972" s="38"/>
      <c r="W972" s="38"/>
      <c r="X972" s="27"/>
      <c r="Y972" s="39"/>
      <c r="Z972" s="39"/>
      <c r="AA972" s="39"/>
      <c r="AB972" s="40"/>
      <c r="AC972" s="27">
        <f t="shared" si="619"/>
        <v>0</v>
      </c>
      <c r="AD972" s="41"/>
      <c r="AE972" s="42"/>
      <c r="AF972" s="27"/>
      <c r="AG972" s="43">
        <f t="shared" si="788"/>
        <v>4251.4875</v>
      </c>
      <c r="AH972" s="29"/>
      <c r="AI972" s="29"/>
      <c r="AJ972" s="29"/>
      <c r="AK972" s="29"/>
      <c r="AL972" s="27"/>
      <c r="AM972" s="27"/>
      <c r="AN972" s="47"/>
      <c r="AO972" s="46"/>
      <c r="AP972" s="47"/>
      <c r="AQ972" s="43">
        <f t="shared" si="789"/>
        <v>4475.25</v>
      </c>
      <c r="AR972" s="43">
        <f t="shared" si="448"/>
        <v>223.7625</v>
      </c>
      <c r="AS972" s="43">
        <f t="shared" si="449"/>
        <v>783.16875</v>
      </c>
      <c r="AT972" s="48">
        <f t="shared" si="753"/>
        <v>3468.31875</v>
      </c>
      <c r="AU972" s="49">
        <f t="shared" si="786"/>
        <v>3468.31875</v>
      </c>
      <c r="AV972" s="48"/>
      <c r="AW972" s="34">
        <f t="shared" si="540"/>
        <v>17693.93</v>
      </c>
      <c r="AX972" s="50">
        <f t="shared" si="757"/>
        <v>3468.31875</v>
      </c>
      <c r="AY972" s="43"/>
      <c r="AZ972" s="47"/>
      <c r="BA972" s="48">
        <f t="shared" si="784"/>
        <v>3468.31875</v>
      </c>
      <c r="BB972" s="27"/>
      <c r="BC972" s="27"/>
      <c r="BD972" s="51"/>
      <c r="BE972" s="52"/>
      <c r="BF972" s="27" t="s">
        <v>3160</v>
      </c>
      <c r="BG972" s="53">
        <v>0.0</v>
      </c>
      <c r="BH972" s="53" t="str">
        <f>'[1]2023'!Q1022</f>
        <v>#REF!</v>
      </c>
      <c r="BI972" s="27"/>
      <c r="BJ972" s="27"/>
      <c r="BK972" s="27" t="s">
        <v>76</v>
      </c>
      <c r="BL972" s="27"/>
    </row>
    <row r="973" ht="14.25" customHeight="1">
      <c r="A973" s="26" t="s">
        <v>111</v>
      </c>
      <c r="B973" s="26" t="s">
        <v>56</v>
      </c>
      <c r="C973" s="26" t="s">
        <v>57</v>
      </c>
      <c r="D973" s="26" t="s">
        <v>71</v>
      </c>
      <c r="E973" s="27" t="s">
        <v>3162</v>
      </c>
      <c r="F973" s="28" t="s">
        <v>3163</v>
      </c>
      <c r="G973" s="29">
        <v>45177.0</v>
      </c>
      <c r="H973" s="30">
        <v>45177.0</v>
      </c>
      <c r="I973" s="30">
        <v>45542.0</v>
      </c>
      <c r="J973" s="31" t="s">
        <v>2732</v>
      </c>
      <c r="K973" s="26" t="s">
        <v>455</v>
      </c>
      <c r="L973" s="32" t="s">
        <v>3164</v>
      </c>
      <c r="M973" s="33">
        <v>20530.26</v>
      </c>
      <c r="N973" s="34">
        <v>22100.0</v>
      </c>
      <c r="O973" s="27" t="s">
        <v>76</v>
      </c>
      <c r="P973" s="35" t="s">
        <v>89</v>
      </c>
      <c r="Q973" s="35" t="s">
        <v>114</v>
      </c>
      <c r="R973" s="36">
        <v>45186.0</v>
      </c>
      <c r="S973" s="35" t="s">
        <v>1103</v>
      </c>
      <c r="T973" s="35">
        <v>0.0</v>
      </c>
      <c r="U973" s="37" t="s">
        <v>115</v>
      </c>
      <c r="V973" s="38">
        <v>850000.0</v>
      </c>
      <c r="W973" s="38"/>
      <c r="X973" s="27"/>
      <c r="Y973" s="39"/>
      <c r="Z973" s="79" t="s">
        <v>3165</v>
      </c>
      <c r="AA973" s="39"/>
      <c r="AB973" s="40"/>
      <c r="AC973" s="27">
        <f t="shared" si="619"/>
        <v>0</v>
      </c>
      <c r="AD973" s="41">
        <f t="shared" ref="AD973:AD984" si="790">IF(AND(S973="0",O973="Paid"),(M973*15%)-AC973,0)</f>
        <v>0</v>
      </c>
      <c r="AE973" s="42"/>
      <c r="AF973" s="27"/>
      <c r="AG973" s="43">
        <f t="shared" ref="AG973:AG974" si="791">IF(O973="Paid",IF(A973="Alwataniya",(M973*21%)-((M973*21%)*5%),IF((A973="GIG"),(M973*25%)-((M973*25%)*5%),IF((A973="Allianz"),(M973*27%)-((M973*27%)*20%),0))),0)</f>
        <v>4875.93675</v>
      </c>
      <c r="AH973" s="29" t="s">
        <v>457</v>
      </c>
      <c r="AI973" s="29">
        <v>45086.0</v>
      </c>
      <c r="AJ973" s="29"/>
      <c r="AK973" s="29">
        <v>45025.0</v>
      </c>
      <c r="AL973" s="27"/>
      <c r="AM973" s="27">
        <f>IF((BD973&lt;=2),AU973*10%,(IF((BD973=3),AU973*20%,IF((BD973=4),AU973*20%,IF((BD973&gt;=5),AU973*30%,(IF((BD973="lead"),AU973*30%,0)))))))</f>
        <v>795.547575</v>
      </c>
      <c r="AN973" s="57">
        <v>44995.0</v>
      </c>
      <c r="AO973" s="46"/>
      <c r="AP973" s="47"/>
      <c r="AQ973" s="84">
        <f t="shared" si="789"/>
        <v>5132.565</v>
      </c>
      <c r="AR973" s="43">
        <f t="shared" si="448"/>
        <v>256.62825</v>
      </c>
      <c r="AS973" s="43">
        <f t="shared" si="449"/>
        <v>898.198875</v>
      </c>
      <c r="AT973" s="48">
        <f t="shared" si="753"/>
        <v>3977.737875</v>
      </c>
      <c r="AU973" s="49">
        <f t="shared" si="786"/>
        <v>3977.737875</v>
      </c>
      <c r="AV973" s="106">
        <f>AU973*10%</f>
        <v>397.7737875</v>
      </c>
      <c r="AW973" s="34">
        <f t="shared" si="540"/>
        <v>22100</v>
      </c>
      <c r="AX973" s="50">
        <f t="shared" si="757"/>
        <v>2784.416513</v>
      </c>
      <c r="AY973" s="43"/>
      <c r="AZ973" s="47"/>
      <c r="BA973" s="48">
        <f t="shared" si="784"/>
        <v>3182.1903</v>
      </c>
      <c r="BB973" s="27"/>
      <c r="BC973" s="27"/>
      <c r="BD973" s="51">
        <v>3.0</v>
      </c>
      <c r="BE973" s="52"/>
      <c r="BF973" s="27" t="s">
        <v>3162</v>
      </c>
      <c r="BG973" s="53">
        <v>0.0</v>
      </c>
      <c r="BH973" s="53" t="str">
        <f>'[1]2023'!Q1060</f>
        <v>#REF!</v>
      </c>
      <c r="BI973" s="27"/>
      <c r="BJ973" s="27"/>
      <c r="BK973" s="27" t="s">
        <v>76</v>
      </c>
      <c r="BL973" s="27"/>
    </row>
    <row r="974" ht="14.25" customHeight="1">
      <c r="A974" s="26" t="s">
        <v>111</v>
      </c>
      <c r="B974" s="26" t="s">
        <v>56</v>
      </c>
      <c r="C974" s="26" t="s">
        <v>57</v>
      </c>
      <c r="D974" s="26" t="s">
        <v>58</v>
      </c>
      <c r="E974" s="27" t="s">
        <v>3166</v>
      </c>
      <c r="F974" s="28" t="s">
        <v>3167</v>
      </c>
      <c r="G974" s="29">
        <v>45177.0</v>
      </c>
      <c r="H974" s="30">
        <v>45177.0</v>
      </c>
      <c r="I974" s="30">
        <v>45542.0</v>
      </c>
      <c r="J974" s="31" t="s">
        <v>1847</v>
      </c>
      <c r="K974" s="26" t="s">
        <v>455</v>
      </c>
      <c r="L974" s="32" t="s">
        <v>458</v>
      </c>
      <c r="M974" s="33">
        <v>6005.83</v>
      </c>
      <c r="N974" s="34">
        <v>6446.0</v>
      </c>
      <c r="O974" s="27" t="s">
        <v>76</v>
      </c>
      <c r="P974" s="35" t="s">
        <v>89</v>
      </c>
      <c r="Q974" s="35" t="s">
        <v>114</v>
      </c>
      <c r="R974" s="36">
        <v>45186.0</v>
      </c>
      <c r="S974" s="35" t="s">
        <v>66</v>
      </c>
      <c r="T974" s="35">
        <v>0.0</v>
      </c>
      <c r="U974" s="37" t="s">
        <v>115</v>
      </c>
      <c r="V974" s="38"/>
      <c r="W974" s="38"/>
      <c r="X974" s="27"/>
      <c r="Y974" s="39"/>
      <c r="Z974" s="39"/>
      <c r="AA974" s="39"/>
      <c r="AB974" s="40"/>
      <c r="AC974" s="27">
        <f t="shared" si="619"/>
        <v>0</v>
      </c>
      <c r="AD974" s="41">
        <f t="shared" si="790"/>
        <v>0</v>
      </c>
      <c r="AE974" s="42"/>
      <c r="AF974" s="27"/>
      <c r="AG974" s="43">
        <f t="shared" si="791"/>
        <v>1426.384625</v>
      </c>
      <c r="AH974" s="29" t="s">
        <v>465</v>
      </c>
      <c r="AI974" s="29" t="s">
        <v>3168</v>
      </c>
      <c r="AJ974" s="29"/>
      <c r="AK974" s="29" t="s">
        <v>926</v>
      </c>
      <c r="AL974" s="27"/>
      <c r="AM974" s="44">
        <f>((M974*25%)-AC974-((M974*25%)*22.5%))*30%</f>
        <v>349.0888688</v>
      </c>
      <c r="AN974" s="114">
        <v>45148.0</v>
      </c>
      <c r="AO974" s="46"/>
      <c r="AP974" s="47"/>
      <c r="AQ974" s="43">
        <f t="shared" si="789"/>
        <v>1501.4575</v>
      </c>
      <c r="AR974" s="43">
        <f t="shared" si="448"/>
        <v>75.072875</v>
      </c>
      <c r="AS974" s="43">
        <f t="shared" si="449"/>
        <v>262.7550625</v>
      </c>
      <c r="AT974" s="48">
        <f t="shared" si="753"/>
        <v>1163.629563</v>
      </c>
      <c r="AU974" s="49">
        <f t="shared" si="786"/>
        <v>1163.629563</v>
      </c>
      <c r="AV974" s="48"/>
      <c r="AW974" s="34">
        <f t="shared" si="540"/>
        <v>6446</v>
      </c>
      <c r="AX974" s="50">
        <f t="shared" si="757"/>
        <v>814.5406938</v>
      </c>
      <c r="AY974" s="43"/>
      <c r="AZ974" s="47"/>
      <c r="BA974" s="48">
        <f t="shared" si="784"/>
        <v>814.5406938</v>
      </c>
      <c r="BB974" s="27"/>
      <c r="BC974" s="27"/>
      <c r="BD974" s="51"/>
      <c r="BE974" s="52"/>
      <c r="BF974" s="27" t="s">
        <v>3166</v>
      </c>
      <c r="BG974" s="53">
        <v>0.0</v>
      </c>
      <c r="BH974" s="53" t="str">
        <f t="shared" ref="BH974:BH976" si="792">'[1]2023'!Q1063</f>
        <v>#REF!</v>
      </c>
      <c r="BI974" s="27"/>
      <c r="BJ974" s="27"/>
      <c r="BK974" s="27" t="s">
        <v>76</v>
      </c>
      <c r="BL974" s="64" t="s">
        <v>3169</v>
      </c>
    </row>
    <row r="975" ht="14.25" customHeight="1">
      <c r="A975" s="26" t="s">
        <v>68</v>
      </c>
      <c r="B975" s="26" t="s">
        <v>56</v>
      </c>
      <c r="C975" s="26" t="s">
        <v>57</v>
      </c>
      <c r="D975" s="26" t="s">
        <v>71</v>
      </c>
      <c r="E975" s="27" t="s">
        <v>3170</v>
      </c>
      <c r="F975" s="28" t="s">
        <v>3171</v>
      </c>
      <c r="G975" s="29">
        <v>45177.0</v>
      </c>
      <c r="H975" s="30">
        <v>45177.0</v>
      </c>
      <c r="I975" s="30">
        <v>45542.0</v>
      </c>
      <c r="J975" s="31" t="s">
        <v>3172</v>
      </c>
      <c r="K975" s="26" t="s">
        <v>455</v>
      </c>
      <c r="L975" s="32" t="s">
        <v>2561</v>
      </c>
      <c r="M975" s="33">
        <v>12548.38</v>
      </c>
      <c r="N975" s="34">
        <v>13500.0</v>
      </c>
      <c r="O975" s="27" t="s">
        <v>76</v>
      </c>
      <c r="P975" s="35" t="s">
        <v>142</v>
      </c>
      <c r="Q975" s="35" t="s">
        <v>90</v>
      </c>
      <c r="R975" s="36">
        <v>45196.0</v>
      </c>
      <c r="S975" s="35" t="s">
        <v>86</v>
      </c>
      <c r="T975" s="54" t="s">
        <v>456</v>
      </c>
      <c r="U975" s="37" t="s">
        <v>68</v>
      </c>
      <c r="V975" s="38">
        <v>600000.0</v>
      </c>
      <c r="W975" s="38"/>
      <c r="X975" s="27"/>
      <c r="Y975" s="39"/>
      <c r="Z975" s="39" t="s">
        <v>3173</v>
      </c>
      <c r="AA975" s="39"/>
      <c r="AB975" s="40"/>
      <c r="AC975" s="27">
        <f t="shared" si="619"/>
        <v>0</v>
      </c>
      <c r="AD975" s="41">
        <f t="shared" si="790"/>
        <v>1882.257</v>
      </c>
      <c r="AE975" s="42">
        <v>400.0</v>
      </c>
      <c r="AF975" s="27" t="s">
        <v>457</v>
      </c>
      <c r="AG975" s="43">
        <f>M975*28%-((M975*28%)*5%)</f>
        <v>3337.86908</v>
      </c>
      <c r="AH975" s="29">
        <v>44994.0</v>
      </c>
      <c r="AI975" s="29" t="s">
        <v>1324</v>
      </c>
      <c r="AJ975" s="55">
        <v>0.28</v>
      </c>
      <c r="AK975" s="29" t="s">
        <v>1325</v>
      </c>
      <c r="AL975" s="27"/>
      <c r="AM975" s="27"/>
      <c r="AN975" s="47"/>
      <c r="AO975" s="46"/>
      <c r="AP975" s="27" t="s">
        <v>457</v>
      </c>
      <c r="AQ975" s="43">
        <f t="shared" si="789"/>
        <v>3513.5464</v>
      </c>
      <c r="AR975" s="43">
        <f t="shared" si="448"/>
        <v>175.67732</v>
      </c>
      <c r="AS975" s="43">
        <f t="shared" si="449"/>
        <v>614.87062</v>
      </c>
      <c r="AT975" s="48">
        <f t="shared" si="753"/>
        <v>2722.99846</v>
      </c>
      <c r="AU975" s="49">
        <f t="shared" si="786"/>
        <v>2722.99846</v>
      </c>
      <c r="AV975" s="48"/>
      <c r="AW975" s="34">
        <f t="shared" si="540"/>
        <v>11217.743</v>
      </c>
      <c r="AX975" s="50">
        <f t="shared" si="757"/>
        <v>440.74146</v>
      </c>
      <c r="AY975" s="43"/>
      <c r="AZ975" s="47"/>
      <c r="BA975" s="48">
        <f>IF(S975&lt;&gt;0,AU975-AO975-AM975-AS975-AC975,(AG975-AD975-AE975-AS975-AC975))</f>
        <v>2108.12784</v>
      </c>
      <c r="BB975" s="27"/>
      <c r="BC975" s="27"/>
      <c r="BD975" s="51"/>
      <c r="BE975" s="52"/>
      <c r="BF975" s="27" t="s">
        <v>3170</v>
      </c>
      <c r="BG975" s="58" t="s">
        <v>562</v>
      </c>
      <c r="BH975" s="53" t="str">
        <f t="shared" si="792"/>
        <v>#REF!</v>
      </c>
      <c r="BI975" s="27"/>
      <c r="BJ975" s="27"/>
      <c r="BK975" s="27" t="s">
        <v>76</v>
      </c>
      <c r="BL975" s="27"/>
    </row>
    <row r="976" ht="14.25" customHeight="1">
      <c r="A976" s="26" t="s">
        <v>111</v>
      </c>
      <c r="B976" s="26" t="s">
        <v>56</v>
      </c>
      <c r="C976" s="26" t="s">
        <v>57</v>
      </c>
      <c r="D976" s="26" t="s">
        <v>58</v>
      </c>
      <c r="E976" s="27" t="s">
        <v>3174</v>
      </c>
      <c r="F976" s="28" t="s">
        <v>3175</v>
      </c>
      <c r="G976" s="29">
        <v>45177.0</v>
      </c>
      <c r="H976" s="30">
        <v>45177.0</v>
      </c>
      <c r="I976" s="30">
        <v>45542.0</v>
      </c>
      <c r="J976" s="31" t="s">
        <v>705</v>
      </c>
      <c r="K976" s="26" t="s">
        <v>455</v>
      </c>
      <c r="L976" s="73" t="s">
        <v>2569</v>
      </c>
      <c r="M976" s="33">
        <v>2959.77</v>
      </c>
      <c r="N976" s="34">
        <v>3205.0</v>
      </c>
      <c r="O976" s="27" t="s">
        <v>76</v>
      </c>
      <c r="P976" s="35" t="s">
        <v>430</v>
      </c>
      <c r="Q976" s="35" t="s">
        <v>114</v>
      </c>
      <c r="R976" s="36">
        <v>45186.0</v>
      </c>
      <c r="S976" s="35" t="s">
        <v>66</v>
      </c>
      <c r="T976" s="35">
        <v>0.0</v>
      </c>
      <c r="U976" s="37" t="s">
        <v>115</v>
      </c>
      <c r="V976" s="38">
        <v>1000000.0</v>
      </c>
      <c r="W976" s="38"/>
      <c r="X976" s="27"/>
      <c r="Y976" s="39"/>
      <c r="Z976" s="39"/>
      <c r="AA976" s="39"/>
      <c r="AB976" s="40"/>
      <c r="AC976" s="27">
        <f t="shared" si="619"/>
        <v>0</v>
      </c>
      <c r="AD976" s="41">
        <f t="shared" si="790"/>
        <v>0</v>
      </c>
      <c r="AE976" s="42"/>
      <c r="AF976" s="27"/>
      <c r="AG976" s="103">
        <f>IF(O976="Paid",IF(A976="Alwataniya",(M976*21%)-((M976*21%)*5%),IF((A976="GIG"),(M976*24.1%)-((M976*24.1%)*5%),IF((A976="Allianz"),(M976*27%)-((M976*27%)*20%),0))),0)</f>
        <v>677.6393415</v>
      </c>
      <c r="AH976" s="29">
        <v>44994.0</v>
      </c>
      <c r="AI976" s="29">
        <v>45086.0</v>
      </c>
      <c r="AJ976" s="40">
        <v>0.241</v>
      </c>
      <c r="AK976" s="29">
        <v>45025.0</v>
      </c>
      <c r="AL976" s="27"/>
      <c r="AM976" s="90">
        <f>((M976*24.1%)-AC976-((M976*24.1%)*22.5%))*30%</f>
        <v>165.8433125</v>
      </c>
      <c r="AN976" s="179">
        <v>45148.0</v>
      </c>
      <c r="AO976" s="46"/>
      <c r="AP976" s="47"/>
      <c r="AQ976" s="84">
        <f>IF(U976="Motor Plus",(M976*27%),IF(U976="Motor One",(M976*22%),(IF(U976="Golden",(M976*24.1%),(IF(U976="Classic",(M976*15%),(IF(U976="Wethaq",(M976*28%),IF(U976="Alwataniya",(M976*21%))*0))))))))</f>
        <v>713.30457</v>
      </c>
      <c r="AR976" s="43">
        <f t="shared" si="448"/>
        <v>35.6652285</v>
      </c>
      <c r="AS976" s="43">
        <f t="shared" si="449"/>
        <v>124.8282998</v>
      </c>
      <c r="AT976" s="48">
        <f t="shared" si="753"/>
        <v>552.8110418</v>
      </c>
      <c r="AU976" s="49">
        <f t="shared" si="786"/>
        <v>552.8110418</v>
      </c>
      <c r="AV976" s="48"/>
      <c r="AW976" s="34">
        <f t="shared" si="540"/>
        <v>3205</v>
      </c>
      <c r="AX976" s="50">
        <f t="shared" si="757"/>
        <v>386.9677292</v>
      </c>
      <c r="AY976" s="43"/>
      <c r="AZ976" s="47"/>
      <c r="BA976" s="48">
        <f t="shared" ref="BA976:BA984" si="793">IF(S976&lt;&gt;0,AU976-AO976-AM976,(AG976-AD976-AE976-AS976))</f>
        <v>386.9677292</v>
      </c>
      <c r="BB976" s="27"/>
      <c r="BC976" s="27"/>
      <c r="BD976" s="51"/>
      <c r="BE976" s="52"/>
      <c r="BF976" s="27" t="s">
        <v>3174</v>
      </c>
      <c r="BG976" s="53">
        <v>0.0</v>
      </c>
      <c r="BH976" s="53" t="str">
        <f t="shared" si="792"/>
        <v>#REF!</v>
      </c>
      <c r="BI976" s="27"/>
      <c r="BJ976" s="27"/>
      <c r="BK976" s="27" t="s">
        <v>76</v>
      </c>
      <c r="BL976" s="27"/>
    </row>
    <row r="977" ht="14.25" customHeight="1">
      <c r="A977" s="26" t="s">
        <v>181</v>
      </c>
      <c r="B977" s="26" t="s">
        <v>56</v>
      </c>
      <c r="C977" s="26" t="s">
        <v>57</v>
      </c>
      <c r="D977" s="26" t="s">
        <v>71</v>
      </c>
      <c r="E977" s="27" t="s">
        <v>3176</v>
      </c>
      <c r="F977" s="28" t="s">
        <v>3177</v>
      </c>
      <c r="G977" s="29">
        <v>45177.0</v>
      </c>
      <c r="H977" s="30">
        <v>45177.0</v>
      </c>
      <c r="I977" s="30">
        <v>45542.0</v>
      </c>
      <c r="J977" s="31" t="s">
        <v>3178</v>
      </c>
      <c r="K977" s="26" t="s">
        <v>455</v>
      </c>
      <c r="L977" s="73" t="s">
        <v>2353</v>
      </c>
      <c r="M977" s="33">
        <v>33898.59</v>
      </c>
      <c r="N977" s="34">
        <v>36250.0</v>
      </c>
      <c r="O977" s="27" t="s">
        <v>76</v>
      </c>
      <c r="P977" s="35" t="s">
        <v>89</v>
      </c>
      <c r="Q977" s="35">
        <v>0.0</v>
      </c>
      <c r="R977" s="36">
        <v>45177.0</v>
      </c>
      <c r="S977" s="35" t="s">
        <v>676</v>
      </c>
      <c r="T977" s="35">
        <v>0.0</v>
      </c>
      <c r="U977" s="37" t="s">
        <v>181</v>
      </c>
      <c r="V977" s="38">
        <v>2500000.0</v>
      </c>
      <c r="W977" s="38"/>
      <c r="X977" s="27"/>
      <c r="Y977" s="39"/>
      <c r="Z977" s="79" t="s">
        <v>3179</v>
      </c>
      <c r="AA977" s="39"/>
      <c r="AB977" s="40"/>
      <c r="AC977" s="27">
        <f t="shared" si="619"/>
        <v>0</v>
      </c>
      <c r="AD977" s="41">
        <f t="shared" si="790"/>
        <v>0</v>
      </c>
      <c r="AE977" s="42"/>
      <c r="AF977" s="27"/>
      <c r="AG977" s="43">
        <f>IF(O977="Paid",IF(A977="Alwataniya",(M977*21%)-((M977*21%)*5%),IF((A977="GIG"),(M977*25%)-((M977*25%)*5%),IF((A977="Allianz"),(M977*27%)-((M977*27%)*20%),0))),0)</f>
        <v>6762.768705</v>
      </c>
      <c r="AH977" s="29" t="s">
        <v>2993</v>
      </c>
      <c r="AI977" s="29" t="s">
        <v>2707</v>
      </c>
      <c r="AJ977" s="29"/>
      <c r="AK977" s="29" t="s">
        <v>2561</v>
      </c>
      <c r="AL977" s="27"/>
      <c r="AM977" s="27">
        <f>IF((BD977&lt;=2),AU977*10%,(IF((BD977=3),AU977*20%,IF((BD977=4),AU977*20%,IF((BD977&gt;=5),AU977*30%,(IF((BD977="lead"),AU977*30%,0)))))))</f>
        <v>551.6995523</v>
      </c>
      <c r="AN977" s="57">
        <v>44995.0</v>
      </c>
      <c r="AO977" s="46"/>
      <c r="AP977" s="47"/>
      <c r="AQ977" s="43">
        <f>M977*21%</f>
        <v>7118.7039</v>
      </c>
      <c r="AR977" s="43">
        <f t="shared" si="448"/>
        <v>355.935195</v>
      </c>
      <c r="AS977" s="43">
        <f t="shared" si="449"/>
        <v>1245.773183</v>
      </c>
      <c r="AT977" s="48">
        <f t="shared" si="753"/>
        <v>5516.995523</v>
      </c>
      <c r="AU977" s="49">
        <f t="shared" si="786"/>
        <v>5516.995523</v>
      </c>
      <c r="AV977" s="106">
        <f>AU977*10%</f>
        <v>551.6995523</v>
      </c>
      <c r="AW977" s="34">
        <f t="shared" si="540"/>
        <v>36250</v>
      </c>
      <c r="AX977" s="50">
        <f t="shared" si="757"/>
        <v>4413.596418</v>
      </c>
      <c r="AY977" s="43"/>
      <c r="AZ977" s="47"/>
      <c r="BA977" s="48">
        <f t="shared" si="793"/>
        <v>4965.29597</v>
      </c>
      <c r="BB977" s="27"/>
      <c r="BC977" s="27"/>
      <c r="BD977" s="51">
        <v>1.0</v>
      </c>
      <c r="BE977" s="52"/>
      <c r="BF977" s="27" t="s">
        <v>3176</v>
      </c>
      <c r="BG977" s="53">
        <v>0.0</v>
      </c>
      <c r="BH977" s="53" t="str">
        <f>'[1]2023'!Q1067</f>
        <v>#REF!</v>
      </c>
      <c r="BI977" s="27"/>
      <c r="BJ977" s="27"/>
      <c r="BK977" s="27" t="s">
        <v>76</v>
      </c>
      <c r="BL977" s="27"/>
    </row>
    <row r="978" ht="14.25" customHeight="1">
      <c r="A978" s="26" t="s">
        <v>55</v>
      </c>
      <c r="B978" s="26" t="s">
        <v>56</v>
      </c>
      <c r="C978" s="26" t="s">
        <v>57</v>
      </c>
      <c r="D978" s="26" t="s">
        <v>81</v>
      </c>
      <c r="E978" s="27" t="s">
        <v>3180</v>
      </c>
      <c r="F978" s="28" t="s">
        <v>3181</v>
      </c>
      <c r="G978" s="29">
        <v>45177.0</v>
      </c>
      <c r="H978" s="30">
        <v>45177.0</v>
      </c>
      <c r="I978" s="30">
        <v>45542.0</v>
      </c>
      <c r="J978" s="31">
        <v>0.0</v>
      </c>
      <c r="K978" s="26" t="s">
        <v>455</v>
      </c>
      <c r="L978" s="32" t="s">
        <v>2867</v>
      </c>
      <c r="M978" s="33">
        <v>41300.0</v>
      </c>
      <c r="N978" s="34">
        <v>44084.2</v>
      </c>
      <c r="O978" s="27" t="s">
        <v>76</v>
      </c>
      <c r="P978" s="35" t="s">
        <v>430</v>
      </c>
      <c r="Q978" s="35" t="s">
        <v>90</v>
      </c>
      <c r="R978" s="36">
        <v>45177.0</v>
      </c>
      <c r="S978" s="35" t="s">
        <v>86</v>
      </c>
      <c r="T978" s="35">
        <v>0.0</v>
      </c>
      <c r="U978" s="37" t="s">
        <v>67</v>
      </c>
      <c r="V978" s="38"/>
      <c r="W978" s="38"/>
      <c r="X978" s="27"/>
      <c r="Y978" s="39"/>
      <c r="Z978" s="79" t="s">
        <v>407</v>
      </c>
      <c r="AA978" s="39"/>
      <c r="AB978" s="27"/>
      <c r="AC978" s="27">
        <f t="shared" si="619"/>
        <v>0</v>
      </c>
      <c r="AD978" s="41">
        <f t="shared" si="790"/>
        <v>6195</v>
      </c>
      <c r="AE978" s="42"/>
      <c r="AF978" s="27"/>
      <c r="AG978" s="43">
        <f t="shared" ref="AG978:AG983" si="794">IF(O978="Paid",IF(A978="Alwataniya",(M978*21%)-((M978*21%)*5%),IF((A978="GIG"),(M978*25%)-((M978*25%)*5%),IF((A978="Allianz"),(M978*27%)-((M978*27%)*5%),0))),0)</f>
        <v>10593.45</v>
      </c>
      <c r="AH978" s="29"/>
      <c r="AI978" s="29"/>
      <c r="AJ978" s="29"/>
      <c r="AK978" s="29"/>
      <c r="AL978" s="27"/>
      <c r="AM978" s="44"/>
      <c r="AN978" s="68"/>
      <c r="AO978" s="46"/>
      <c r="AP978" s="47"/>
      <c r="AQ978" s="43">
        <f t="shared" ref="AQ978:AQ979" si="795">IF(U978="Motor Plus",(M978*27%),IF(U978="Motor One",(M978*22%),(IF(U978="Golden",(M978*25%),(IF(U978="Classic",(M978*15%),(IF(U978="Wethaq",(M978*28%),IF(U978="Alwataniya",(M978*21%))*0))))))))</f>
        <v>11151</v>
      </c>
      <c r="AR978" s="43">
        <f t="shared" si="448"/>
        <v>557.55</v>
      </c>
      <c r="AS978" s="43">
        <f t="shared" si="449"/>
        <v>1951.425</v>
      </c>
      <c r="AT978" s="48">
        <f t="shared" si="753"/>
        <v>8642.025</v>
      </c>
      <c r="AU978" s="49">
        <f t="shared" si="786"/>
        <v>8642.025</v>
      </c>
      <c r="AV978" s="48"/>
      <c r="AW978" s="34">
        <f t="shared" si="540"/>
        <v>37889.2</v>
      </c>
      <c r="AX978" s="50">
        <f t="shared" si="757"/>
        <v>2447.025</v>
      </c>
      <c r="AY978" s="43"/>
      <c r="AZ978" s="47"/>
      <c r="BA978" s="48">
        <f t="shared" si="793"/>
        <v>8642.025</v>
      </c>
      <c r="BB978" s="27"/>
      <c r="BC978" s="27"/>
      <c r="BD978" s="51"/>
      <c r="BE978" s="52"/>
      <c r="BF978" s="27"/>
      <c r="BG978" s="53">
        <v>0.0</v>
      </c>
      <c r="BH978" s="53" t="str">
        <f>'[1]2023'!Q1245</f>
        <v>#REF!</v>
      </c>
      <c r="BI978" s="27"/>
      <c r="BJ978" s="27"/>
      <c r="BK978" s="27" t="s">
        <v>76</v>
      </c>
      <c r="BL978" s="27"/>
    </row>
    <row r="979" ht="14.25" customHeight="1">
      <c r="A979" s="26" t="s">
        <v>55</v>
      </c>
      <c r="B979" s="26" t="s">
        <v>56</v>
      </c>
      <c r="C979" s="26" t="s">
        <v>57</v>
      </c>
      <c r="D979" s="26" t="s">
        <v>81</v>
      </c>
      <c r="E979" s="27" t="s">
        <v>3182</v>
      </c>
      <c r="F979" s="28" t="s">
        <v>3183</v>
      </c>
      <c r="G979" s="29">
        <v>45177.0</v>
      </c>
      <c r="H979" s="30">
        <v>45177.0</v>
      </c>
      <c r="I979" s="30">
        <v>45542.0</v>
      </c>
      <c r="J979" s="31" t="s">
        <v>3184</v>
      </c>
      <c r="K979" s="26" t="s">
        <v>475</v>
      </c>
      <c r="L979" s="69">
        <v>44994.0</v>
      </c>
      <c r="M979" s="33">
        <v>43365.0</v>
      </c>
      <c r="N979" s="34">
        <v>46279.37</v>
      </c>
      <c r="O979" s="27" t="s">
        <v>76</v>
      </c>
      <c r="P979" s="35" t="s">
        <v>430</v>
      </c>
      <c r="Q979" s="35" t="s">
        <v>90</v>
      </c>
      <c r="R979" s="36">
        <v>45177.0</v>
      </c>
      <c r="S979" s="35" t="s">
        <v>86</v>
      </c>
      <c r="T979" s="35">
        <v>0.0</v>
      </c>
      <c r="U979" s="37" t="s">
        <v>67</v>
      </c>
      <c r="V979" s="38"/>
      <c r="W979" s="38"/>
      <c r="X979" s="27"/>
      <c r="Y979" s="39"/>
      <c r="Z979" s="79" t="s">
        <v>3185</v>
      </c>
      <c r="AA979" s="39"/>
      <c r="AB979" s="27"/>
      <c r="AC979" s="27">
        <f t="shared" si="619"/>
        <v>0</v>
      </c>
      <c r="AD979" s="41">
        <f t="shared" si="790"/>
        <v>6504.75</v>
      </c>
      <c r="AE979" s="42"/>
      <c r="AF979" s="27"/>
      <c r="AG979" s="43">
        <f t="shared" si="794"/>
        <v>11123.1225</v>
      </c>
      <c r="AH979" s="29"/>
      <c r="AI979" s="29"/>
      <c r="AJ979" s="29"/>
      <c r="AK979" s="29"/>
      <c r="AL979" s="27"/>
      <c r="AM979" s="44"/>
      <c r="AN979" s="47"/>
      <c r="AO979" s="46"/>
      <c r="AP979" s="47"/>
      <c r="AQ979" s="43">
        <f t="shared" si="795"/>
        <v>11708.55</v>
      </c>
      <c r="AR979" s="43">
        <f t="shared" si="448"/>
        <v>585.4275</v>
      </c>
      <c r="AS979" s="43">
        <f t="shared" si="449"/>
        <v>2048.99625</v>
      </c>
      <c r="AT979" s="48">
        <f t="shared" si="753"/>
        <v>9074.12625</v>
      </c>
      <c r="AU979" s="49">
        <f t="shared" si="786"/>
        <v>9074.12625</v>
      </c>
      <c r="AV979" s="48"/>
      <c r="AW979" s="34">
        <f t="shared" si="540"/>
        <v>39774.62</v>
      </c>
      <c r="AX979" s="50">
        <f t="shared" si="757"/>
        <v>2569.37625</v>
      </c>
      <c r="AY979" s="43"/>
      <c r="AZ979" s="47"/>
      <c r="BA979" s="48">
        <f t="shared" si="793"/>
        <v>9074.12625</v>
      </c>
      <c r="BB979" s="27"/>
      <c r="BC979" s="27"/>
      <c r="BD979" s="51"/>
      <c r="BE979" s="52"/>
      <c r="BF979" s="27"/>
      <c r="BG979" s="53">
        <v>0.0</v>
      </c>
      <c r="BH979" s="53" t="str">
        <f>'[1]2023'!Q1276</f>
        <v>#REF!</v>
      </c>
      <c r="BI979" s="27"/>
      <c r="BJ979" s="27"/>
      <c r="BK979" s="27" t="s">
        <v>76</v>
      </c>
      <c r="BL979" s="27"/>
    </row>
    <row r="980" ht="14.25" customHeight="1">
      <c r="A980" s="26" t="s">
        <v>55</v>
      </c>
      <c r="B980" s="26" t="s">
        <v>56</v>
      </c>
      <c r="C980" s="26" t="s">
        <v>57</v>
      </c>
      <c r="D980" s="26" t="s">
        <v>81</v>
      </c>
      <c r="E980" s="27" t="s">
        <v>3186</v>
      </c>
      <c r="F980" s="28" t="s">
        <v>3187</v>
      </c>
      <c r="G980" s="29">
        <v>45177.0</v>
      </c>
      <c r="H980" s="30">
        <v>45177.0</v>
      </c>
      <c r="I980" s="30">
        <v>45542.0</v>
      </c>
      <c r="J980" s="31" t="s">
        <v>3188</v>
      </c>
      <c r="K980" s="26" t="s">
        <v>475</v>
      </c>
      <c r="L980" s="32" t="s">
        <v>63</v>
      </c>
      <c r="M980" s="33">
        <v>0.0</v>
      </c>
      <c r="N980" s="34">
        <v>0.0</v>
      </c>
      <c r="O980" s="27" t="s">
        <v>64</v>
      </c>
      <c r="P980" s="35">
        <v>0.0</v>
      </c>
      <c r="Q980" s="35">
        <v>0.0</v>
      </c>
      <c r="R980" s="36">
        <v>45177.0</v>
      </c>
      <c r="S980" s="35" t="s">
        <v>86</v>
      </c>
      <c r="T980" s="35">
        <v>0.0</v>
      </c>
      <c r="U980" s="37">
        <v>0.0</v>
      </c>
      <c r="V980" s="38"/>
      <c r="W980" s="78"/>
      <c r="X980" s="27"/>
      <c r="Y980" s="39"/>
      <c r="Z980" s="39"/>
      <c r="AA980" s="39"/>
      <c r="AB980" s="27"/>
      <c r="AC980" s="27">
        <f t="shared" si="619"/>
        <v>0</v>
      </c>
      <c r="AD980" s="41">
        <f t="shared" si="790"/>
        <v>0</v>
      </c>
      <c r="AE980" s="42"/>
      <c r="AF980" s="27"/>
      <c r="AG980" s="43">
        <f t="shared" si="794"/>
        <v>0</v>
      </c>
      <c r="AH980" s="29"/>
      <c r="AI980" s="29"/>
      <c r="AJ980" s="29"/>
      <c r="AK980" s="29"/>
      <c r="AL980" s="27"/>
      <c r="AM980" s="44"/>
      <c r="AN980" s="47"/>
      <c r="AO980" s="46"/>
      <c r="AP980" s="47"/>
      <c r="AQ980" s="43" t="b">
        <f t="shared" ref="AQ980:AQ981" si="796">IF(O980="Paid",IF(U980="Motor Plus",(M980*27%),IF(U980="Motor One",(M980*22%),(IF(U980="Golden",(M980*25%),(IF(U980="Classic",(M980*15%),(IF(U980="Wethaq",(M980*28%),IF(U980="Alwataniya",(M980*21%))*0)))))))))</f>
        <v>0</v>
      </c>
      <c r="AR980" s="43">
        <f t="shared" si="448"/>
        <v>0</v>
      </c>
      <c r="AS980" s="43">
        <f t="shared" si="449"/>
        <v>0</v>
      </c>
      <c r="AT980" s="48">
        <f t="shared" si="753"/>
        <v>0</v>
      </c>
      <c r="AU980" s="49">
        <f t="shared" si="786"/>
        <v>0</v>
      </c>
      <c r="AV980" s="48"/>
      <c r="AW980" s="34">
        <f t="shared" si="540"/>
        <v>0</v>
      </c>
      <c r="AX980" s="50">
        <f t="shared" si="757"/>
        <v>0</v>
      </c>
      <c r="AY980" s="43"/>
      <c r="AZ980" s="47"/>
      <c r="BA980" s="48">
        <f t="shared" si="793"/>
        <v>0</v>
      </c>
      <c r="BB980" s="27"/>
      <c r="BC980" s="27"/>
      <c r="BD980" s="51"/>
      <c r="BE980" s="52"/>
      <c r="BF980" s="27"/>
      <c r="BG980" s="58" t="s">
        <v>3008</v>
      </c>
      <c r="BH980" s="53" t="str">
        <f t="shared" ref="BH980:BH981" si="797">'[1]2023'!Q1428</f>
        <v>#REF!</v>
      </c>
      <c r="BI980" s="27"/>
      <c r="BJ980" s="27"/>
      <c r="BK980" s="27" t="s">
        <v>64</v>
      </c>
      <c r="BL980" s="27"/>
    </row>
    <row r="981" ht="14.25" customHeight="1">
      <c r="A981" s="26" t="s">
        <v>55</v>
      </c>
      <c r="B981" s="26" t="s">
        <v>56</v>
      </c>
      <c r="C981" s="26" t="s">
        <v>57</v>
      </c>
      <c r="D981" s="26" t="s">
        <v>81</v>
      </c>
      <c r="E981" s="27" t="s">
        <v>3189</v>
      </c>
      <c r="F981" s="28" t="s">
        <v>3190</v>
      </c>
      <c r="G981" s="29">
        <v>45177.0</v>
      </c>
      <c r="H981" s="30">
        <v>45177.0</v>
      </c>
      <c r="I981" s="30">
        <v>45542.0</v>
      </c>
      <c r="J981" s="31" t="s">
        <v>3191</v>
      </c>
      <c r="K981" s="26" t="s">
        <v>475</v>
      </c>
      <c r="L981" s="32" t="s">
        <v>63</v>
      </c>
      <c r="M981" s="33">
        <v>0.0</v>
      </c>
      <c r="N981" s="34">
        <v>0.0</v>
      </c>
      <c r="O981" s="27" t="s">
        <v>64</v>
      </c>
      <c r="P981" s="35">
        <v>0.0</v>
      </c>
      <c r="Q981" s="35">
        <v>0.0</v>
      </c>
      <c r="R981" s="36">
        <v>45177.0</v>
      </c>
      <c r="S981" s="35" t="s">
        <v>86</v>
      </c>
      <c r="T981" s="35">
        <v>0.0</v>
      </c>
      <c r="U981" s="37" t="s">
        <v>67</v>
      </c>
      <c r="V981" s="38"/>
      <c r="W981" s="78"/>
      <c r="X981" s="27"/>
      <c r="Y981" s="39"/>
      <c r="Z981" s="39"/>
      <c r="AA981" s="39"/>
      <c r="AB981" s="27"/>
      <c r="AC981" s="27">
        <f t="shared" si="619"/>
        <v>0</v>
      </c>
      <c r="AD981" s="41">
        <f t="shared" si="790"/>
        <v>0</v>
      </c>
      <c r="AE981" s="42"/>
      <c r="AF981" s="27"/>
      <c r="AG981" s="43">
        <f t="shared" si="794"/>
        <v>0</v>
      </c>
      <c r="AH981" s="29"/>
      <c r="AI981" s="29"/>
      <c r="AJ981" s="29"/>
      <c r="AK981" s="29"/>
      <c r="AL981" s="27"/>
      <c r="AM981" s="27"/>
      <c r="AN981" s="47"/>
      <c r="AO981" s="46"/>
      <c r="AP981" s="47"/>
      <c r="AQ981" s="43" t="b">
        <f t="shared" si="796"/>
        <v>0</v>
      </c>
      <c r="AR981" s="43">
        <f t="shared" si="448"/>
        <v>0</v>
      </c>
      <c r="AS981" s="43">
        <f t="shared" si="449"/>
        <v>0</v>
      </c>
      <c r="AT981" s="48">
        <f t="shared" si="753"/>
        <v>0</v>
      </c>
      <c r="AU981" s="49">
        <f t="shared" si="786"/>
        <v>0</v>
      </c>
      <c r="AV981" s="48"/>
      <c r="AW981" s="34">
        <f t="shared" si="540"/>
        <v>0</v>
      </c>
      <c r="AX981" s="50">
        <f t="shared" si="757"/>
        <v>0</v>
      </c>
      <c r="AY981" s="43"/>
      <c r="AZ981" s="47"/>
      <c r="BA981" s="48">
        <f t="shared" si="793"/>
        <v>0</v>
      </c>
      <c r="BB981" s="27"/>
      <c r="BC981" s="27"/>
      <c r="BD981" s="51"/>
      <c r="BE981" s="52"/>
      <c r="BF981" s="27"/>
      <c r="BG981" s="58" t="s">
        <v>3008</v>
      </c>
      <c r="BH981" s="53" t="str">
        <f t="shared" si="797"/>
        <v>#REF!</v>
      </c>
      <c r="BI981" s="27"/>
      <c r="BJ981" s="27"/>
      <c r="BK981" s="27" t="s">
        <v>64</v>
      </c>
      <c r="BL981" s="27"/>
    </row>
    <row r="982" ht="14.25" customHeight="1">
      <c r="A982" s="26" t="s">
        <v>55</v>
      </c>
      <c r="B982" s="26" t="s">
        <v>56</v>
      </c>
      <c r="C982" s="26" t="s">
        <v>57</v>
      </c>
      <c r="D982" s="26" t="s">
        <v>81</v>
      </c>
      <c r="E982" s="27" t="s">
        <v>3192</v>
      </c>
      <c r="F982" s="28" t="s">
        <v>3193</v>
      </c>
      <c r="G982" s="29">
        <v>45178.0</v>
      </c>
      <c r="H982" s="30">
        <v>45178.0</v>
      </c>
      <c r="I982" s="30">
        <v>45543.0</v>
      </c>
      <c r="J982" s="31">
        <v>0.0</v>
      </c>
      <c r="K982" s="26" t="s">
        <v>475</v>
      </c>
      <c r="L982" s="32" t="s">
        <v>2870</v>
      </c>
      <c r="M982" s="33">
        <v>7410.0</v>
      </c>
      <c r="N982" s="34">
        <v>8025.24</v>
      </c>
      <c r="O982" s="27" t="s">
        <v>76</v>
      </c>
      <c r="P982" s="35" t="s">
        <v>122</v>
      </c>
      <c r="Q982" s="35">
        <v>0.0</v>
      </c>
      <c r="R982" s="36">
        <v>45178.0</v>
      </c>
      <c r="S982" s="35" t="s">
        <v>86</v>
      </c>
      <c r="T982" s="35">
        <v>0.0</v>
      </c>
      <c r="U982" s="37" t="s">
        <v>67</v>
      </c>
      <c r="V982" s="38"/>
      <c r="W982" s="38"/>
      <c r="X982" s="27"/>
      <c r="Y982" s="39"/>
      <c r="Z982" s="39"/>
      <c r="AA982" s="39"/>
      <c r="AB982" s="27"/>
      <c r="AC982" s="27">
        <f t="shared" si="619"/>
        <v>0</v>
      </c>
      <c r="AD982" s="41">
        <f t="shared" si="790"/>
        <v>1111.5</v>
      </c>
      <c r="AE982" s="42"/>
      <c r="AF982" s="27"/>
      <c r="AG982" s="43">
        <f t="shared" si="794"/>
        <v>1900.665</v>
      </c>
      <c r="AH982" s="29"/>
      <c r="AI982" s="29"/>
      <c r="AJ982" s="29"/>
      <c r="AK982" s="29"/>
      <c r="AL982" s="27"/>
      <c r="AM982" s="27"/>
      <c r="AN982" s="47"/>
      <c r="AO982" s="46"/>
      <c r="AP982" s="47"/>
      <c r="AQ982" s="43">
        <f t="shared" ref="AQ982:AQ983" si="798">IF(U982="Motor Plus",(M982*27%),IF(U982="Motor One",(M982*22%),(IF(U982="Golden",(M982*25%),(IF(U982="Classic",(M982*15%),(IF(U982="Wethaq",(M982*28%),IF(U982="Alwataniya",(M982*21%))*0))))))))</f>
        <v>2000.7</v>
      </c>
      <c r="AR982" s="43">
        <f t="shared" si="448"/>
        <v>100.035</v>
      </c>
      <c r="AS982" s="43">
        <f t="shared" si="449"/>
        <v>350.1225</v>
      </c>
      <c r="AT982" s="48">
        <f t="shared" si="753"/>
        <v>1550.5425</v>
      </c>
      <c r="AU982" s="49">
        <f t="shared" si="786"/>
        <v>1550.5425</v>
      </c>
      <c r="AV982" s="48"/>
      <c r="AW982" s="34">
        <f t="shared" si="540"/>
        <v>6913.74</v>
      </c>
      <c r="AX982" s="50">
        <f t="shared" si="757"/>
        <v>439.0425</v>
      </c>
      <c r="AY982" s="43"/>
      <c r="AZ982" s="47"/>
      <c r="BA982" s="48">
        <f t="shared" si="793"/>
        <v>1550.5425</v>
      </c>
      <c r="BB982" s="27"/>
      <c r="BC982" s="27"/>
      <c r="BD982" s="51"/>
      <c r="BE982" s="52"/>
      <c r="BF982" s="27" t="s">
        <v>3192</v>
      </c>
      <c r="BG982" s="53">
        <v>0.0</v>
      </c>
      <c r="BH982" s="53" t="str">
        <f>'[1]2023'!Q1182</f>
        <v>#REF!</v>
      </c>
      <c r="BI982" s="27"/>
      <c r="BJ982" s="27"/>
      <c r="BK982" s="27" t="s">
        <v>76</v>
      </c>
      <c r="BL982" s="27"/>
    </row>
    <row r="983" ht="14.25" customHeight="1">
      <c r="A983" s="26" t="s">
        <v>55</v>
      </c>
      <c r="B983" s="26" t="s">
        <v>56</v>
      </c>
      <c r="C983" s="26" t="s">
        <v>57</v>
      </c>
      <c r="D983" s="26" t="s">
        <v>81</v>
      </c>
      <c r="E983" s="27" t="s">
        <v>3194</v>
      </c>
      <c r="F983" s="28" t="s">
        <v>3195</v>
      </c>
      <c r="G983" s="29">
        <v>45178.0</v>
      </c>
      <c r="H983" s="30">
        <v>45178.0</v>
      </c>
      <c r="I983" s="30">
        <v>45543.0</v>
      </c>
      <c r="J983" s="31" t="s">
        <v>3196</v>
      </c>
      <c r="K983" s="26" t="s">
        <v>475</v>
      </c>
      <c r="L983" s="69">
        <v>45148.0</v>
      </c>
      <c r="M983" s="33">
        <v>31860.0</v>
      </c>
      <c r="N983" s="34">
        <v>34039.04</v>
      </c>
      <c r="O983" s="27" t="s">
        <v>76</v>
      </c>
      <c r="P983" s="35" t="s">
        <v>122</v>
      </c>
      <c r="Q983" s="35" t="s">
        <v>90</v>
      </c>
      <c r="R983" s="36">
        <v>45178.0</v>
      </c>
      <c r="S983" s="35" t="s">
        <v>86</v>
      </c>
      <c r="T983" s="35">
        <v>0.0</v>
      </c>
      <c r="U983" s="37" t="s">
        <v>67</v>
      </c>
      <c r="V983" s="38"/>
      <c r="W983" s="38"/>
      <c r="X983" s="27"/>
      <c r="Y983" s="39"/>
      <c r="Z983" s="39">
        <v>5008.0</v>
      </c>
      <c r="AA983" s="39"/>
      <c r="AB983" s="27"/>
      <c r="AC983" s="27">
        <f t="shared" si="619"/>
        <v>0</v>
      </c>
      <c r="AD983" s="41">
        <f t="shared" si="790"/>
        <v>4779</v>
      </c>
      <c r="AE983" s="42"/>
      <c r="AF983" s="27"/>
      <c r="AG983" s="43">
        <f t="shared" si="794"/>
        <v>8172.09</v>
      </c>
      <c r="AH983" s="29"/>
      <c r="AI983" s="29"/>
      <c r="AJ983" s="29"/>
      <c r="AK983" s="29"/>
      <c r="AL983" s="27"/>
      <c r="AM983" s="27"/>
      <c r="AN983" s="47"/>
      <c r="AO983" s="46"/>
      <c r="AP983" s="47"/>
      <c r="AQ983" s="43">
        <f t="shared" si="798"/>
        <v>8602.2</v>
      </c>
      <c r="AR983" s="43">
        <f t="shared" si="448"/>
        <v>430.11</v>
      </c>
      <c r="AS983" s="43">
        <f t="shared" si="449"/>
        <v>1505.385</v>
      </c>
      <c r="AT983" s="48">
        <f t="shared" si="753"/>
        <v>6666.705</v>
      </c>
      <c r="AU983" s="49">
        <f t="shared" si="786"/>
        <v>6666.705</v>
      </c>
      <c r="AV983" s="48"/>
      <c r="AW983" s="34">
        <f t="shared" si="540"/>
        <v>29260.04</v>
      </c>
      <c r="AX983" s="50">
        <f t="shared" si="757"/>
        <v>1887.705</v>
      </c>
      <c r="AY983" s="43"/>
      <c r="AZ983" s="47"/>
      <c r="BA983" s="48">
        <f t="shared" si="793"/>
        <v>6666.705</v>
      </c>
      <c r="BB983" s="27"/>
      <c r="BC983" s="27"/>
      <c r="BD983" s="51"/>
      <c r="BE983" s="52"/>
      <c r="BF983" s="27"/>
      <c r="BG983" s="53">
        <v>0.0</v>
      </c>
      <c r="BH983" s="53" t="str">
        <f>'[1]2023'!Q1298</f>
        <v>#REF!</v>
      </c>
      <c r="BI983" s="27"/>
      <c r="BJ983" s="27"/>
      <c r="BK983" s="27" t="s">
        <v>76</v>
      </c>
      <c r="BL983" s="158"/>
    </row>
    <row r="984" ht="14.25" customHeight="1">
      <c r="A984" s="26" t="s">
        <v>1634</v>
      </c>
      <c r="B984" s="26" t="s">
        <v>69</v>
      </c>
      <c r="C984" s="26" t="s">
        <v>70</v>
      </c>
      <c r="D984" s="26" t="s">
        <v>58</v>
      </c>
      <c r="E984" s="27" t="s">
        <v>3197</v>
      </c>
      <c r="F984" s="28" t="s">
        <v>3198</v>
      </c>
      <c r="G984" s="29">
        <v>45179.0</v>
      </c>
      <c r="H984" s="30">
        <v>45179.0</v>
      </c>
      <c r="I984" s="30">
        <v>45544.0</v>
      </c>
      <c r="J984" s="31">
        <v>0.0</v>
      </c>
      <c r="K984" s="26" t="s">
        <v>475</v>
      </c>
      <c r="L984" s="89">
        <v>45225.0</v>
      </c>
      <c r="M984" s="33">
        <v>376.0</v>
      </c>
      <c r="N984" s="34">
        <v>442.0</v>
      </c>
      <c r="O984" s="27" t="s">
        <v>76</v>
      </c>
      <c r="P984" s="35" t="s">
        <v>77</v>
      </c>
      <c r="Q984" s="35">
        <v>0.0</v>
      </c>
      <c r="R984" s="36">
        <v>45179.0</v>
      </c>
      <c r="S984" s="35" t="s">
        <v>78</v>
      </c>
      <c r="T984" s="54" t="s">
        <v>79</v>
      </c>
      <c r="U984" s="37" t="s">
        <v>69</v>
      </c>
      <c r="V984" s="38"/>
      <c r="W984" s="38"/>
      <c r="X984" s="27"/>
      <c r="Y984" s="39"/>
      <c r="Z984" s="39"/>
      <c r="AA984" s="39"/>
      <c r="AB984" s="40"/>
      <c r="AC984" s="27">
        <f t="shared" si="619"/>
        <v>0</v>
      </c>
      <c r="AD984" s="41">
        <f t="shared" si="790"/>
        <v>0</v>
      </c>
      <c r="AE984" s="42"/>
      <c r="AF984" s="27"/>
      <c r="AG984" s="43">
        <f>(M984*16.75%)-((M984*16.75%)*5%)</f>
        <v>59.831</v>
      </c>
      <c r="AH984" s="29"/>
      <c r="AI984" s="29"/>
      <c r="AJ984" s="29"/>
      <c r="AK984" s="29"/>
      <c r="AL984" s="27"/>
      <c r="AM984" s="44"/>
      <c r="AN984" s="68"/>
      <c r="AO984" s="149">
        <f>((AF984*AJ984)-((AF984*AJ984)*22.5%))*80%</f>
        <v>0</v>
      </c>
      <c r="AP984" s="47"/>
      <c r="AQ984" s="43">
        <f>IF(O984="Paid",IF(U984="Motor Plus",(M984*27%),IF(U984="Motor One",(M984*22%),(IF(U984="Golden",(M984*25%),(IF(U984="Classic",(M984*15%),(IF(U984="Wethaq",(M984*28%),IF(U984="Alwataniya",(M984*21%))*0)))))))))</f>
        <v>0</v>
      </c>
      <c r="AR984" s="43">
        <f t="shared" si="448"/>
        <v>0</v>
      </c>
      <c r="AS984" s="43">
        <f t="shared" si="449"/>
        <v>0</v>
      </c>
      <c r="AT984" s="48">
        <f t="shared" si="753"/>
        <v>0</v>
      </c>
      <c r="AU984" s="49">
        <f t="shared" si="786"/>
        <v>0</v>
      </c>
      <c r="AV984" s="48"/>
      <c r="AW984" s="34">
        <f t="shared" si="540"/>
        <v>442</v>
      </c>
      <c r="AX984" s="50">
        <f t="shared" si="757"/>
        <v>59.831</v>
      </c>
      <c r="AY984" s="43"/>
      <c r="AZ984" s="47"/>
      <c r="BA984" s="48">
        <f t="shared" si="793"/>
        <v>0</v>
      </c>
      <c r="BB984" s="27"/>
      <c r="BC984" s="27"/>
      <c r="BD984" s="51"/>
      <c r="BE984" s="52"/>
      <c r="BF984" s="27" t="s">
        <v>3197</v>
      </c>
      <c r="BG984" s="53">
        <v>0.0</v>
      </c>
      <c r="BH984" s="53" t="str">
        <f>'[1]2023'!Q1012</f>
        <v>#REF!</v>
      </c>
      <c r="BI984" s="27"/>
      <c r="BJ984" s="27"/>
      <c r="BK984" s="27" t="s">
        <v>76</v>
      </c>
      <c r="BL984" s="193"/>
    </row>
    <row r="985" ht="14.25" customHeight="1">
      <c r="A985" s="26" t="s">
        <v>492</v>
      </c>
      <c r="B985" s="26" t="s">
        <v>69</v>
      </c>
      <c r="C985" s="26" t="s">
        <v>70</v>
      </c>
      <c r="D985" s="26" t="s">
        <v>71</v>
      </c>
      <c r="E985" s="27" t="s">
        <v>3199</v>
      </c>
      <c r="F985" s="28" t="s">
        <v>3200</v>
      </c>
      <c r="G985" s="29">
        <v>45179.0</v>
      </c>
      <c r="H985" s="30">
        <v>45179.0</v>
      </c>
      <c r="I985" s="30">
        <v>45544.0</v>
      </c>
      <c r="J985" s="31">
        <v>0.0</v>
      </c>
      <c r="K985" s="26" t="s">
        <v>475</v>
      </c>
      <c r="L985" s="32" t="s">
        <v>75</v>
      </c>
      <c r="M985" s="33">
        <f>2112.5*30.98</f>
        <v>65445.25</v>
      </c>
      <c r="N985" s="34">
        <v>69250.0</v>
      </c>
      <c r="O985" s="27" t="s">
        <v>76</v>
      </c>
      <c r="P985" s="35" t="s">
        <v>77</v>
      </c>
      <c r="Q985" s="35">
        <v>0.0</v>
      </c>
      <c r="R985" s="36">
        <v>45179.0</v>
      </c>
      <c r="S985" s="35" t="s">
        <v>78</v>
      </c>
      <c r="T985" s="54" t="s">
        <v>79</v>
      </c>
      <c r="U985" s="37" t="s">
        <v>69</v>
      </c>
      <c r="V985" s="38"/>
      <c r="W985" s="38"/>
      <c r="X985" s="27"/>
      <c r="Y985" s="39"/>
      <c r="Z985" s="39"/>
      <c r="AA985" s="39"/>
      <c r="AB985" s="27"/>
      <c r="AC985" s="27">
        <f t="shared" si="619"/>
        <v>0</v>
      </c>
      <c r="AD985" s="41"/>
      <c r="AE985" s="42"/>
      <c r="AF985" s="27"/>
      <c r="AG985" s="43">
        <f>(M985*25%)-((M985*25%)*5%)</f>
        <v>15543.24688</v>
      </c>
      <c r="AH985" s="29" t="s">
        <v>75</v>
      </c>
      <c r="AI985" s="29" t="s">
        <v>497</v>
      </c>
      <c r="AJ985" s="55">
        <v>0.25</v>
      </c>
      <c r="AK985" s="29" t="s">
        <v>496</v>
      </c>
      <c r="AL985" s="27"/>
      <c r="AM985" s="44"/>
      <c r="AN985" s="56"/>
      <c r="AO985" s="46">
        <f>((M985*AJ985)-((M985*AJ985)*22.5%))*80%</f>
        <v>10144.01375</v>
      </c>
      <c r="AP985" s="57">
        <v>44995.0</v>
      </c>
      <c r="AQ985" s="43">
        <f>M985*AJ985</f>
        <v>16361.3125</v>
      </c>
      <c r="AR985" s="43">
        <f t="shared" si="448"/>
        <v>818.065625</v>
      </c>
      <c r="AS985" s="43">
        <f t="shared" si="449"/>
        <v>2863.229688</v>
      </c>
      <c r="AT985" s="48">
        <f t="shared" si="753"/>
        <v>12680.01719</v>
      </c>
      <c r="AU985" s="49" t="str">
        <f>AQ985-AR985-AS985-AC985-#REF!</f>
        <v>#REF!</v>
      </c>
      <c r="AV985" s="48"/>
      <c r="AW985" s="34">
        <f t="shared" si="540"/>
        <v>69250</v>
      </c>
      <c r="AX985" s="50">
        <f t="shared" si="757"/>
        <v>2536.003438</v>
      </c>
      <c r="AY985" s="43"/>
      <c r="AZ985" s="47"/>
      <c r="BA985" s="48" t="str">
        <f>IF(S985&lt;&gt;0,AU985-#REF!-AM985,(AG985-AD985-AE985-AS985))</f>
        <v>#REF!</v>
      </c>
      <c r="BB985" s="27"/>
      <c r="BC985" s="27"/>
      <c r="BD985" s="51"/>
      <c r="BE985" s="52"/>
      <c r="BF985" s="27"/>
      <c r="BG985" s="53" t="s">
        <v>2495</v>
      </c>
      <c r="BH985" s="53" t="str">
        <f>'[1]2023'!Q1267</f>
        <v>#REF!</v>
      </c>
      <c r="BI985" s="27"/>
      <c r="BJ985" s="27"/>
      <c r="BK985" s="27" t="s">
        <v>76</v>
      </c>
      <c r="BL985" s="194" t="s">
        <v>3201</v>
      </c>
    </row>
    <row r="986" ht="14.25" customHeight="1">
      <c r="A986" s="26" t="s">
        <v>111</v>
      </c>
      <c r="B986" s="26" t="s">
        <v>56</v>
      </c>
      <c r="C986" s="26" t="s">
        <v>57</v>
      </c>
      <c r="D986" s="26" t="s">
        <v>71</v>
      </c>
      <c r="E986" s="27" t="s">
        <v>3202</v>
      </c>
      <c r="F986" s="28" t="s">
        <v>3203</v>
      </c>
      <c r="G986" s="29">
        <v>45179.0</v>
      </c>
      <c r="H986" s="30">
        <v>45179.0</v>
      </c>
      <c r="I986" s="30">
        <v>45544.0</v>
      </c>
      <c r="J986" s="31" t="s">
        <v>508</v>
      </c>
      <c r="K986" s="26" t="s">
        <v>475</v>
      </c>
      <c r="L986" s="32" t="s">
        <v>63</v>
      </c>
      <c r="M986" s="33">
        <f>18210.51-13832</f>
        <v>4378.51</v>
      </c>
      <c r="N986" s="34">
        <f>19632-14725-1548</f>
        <v>3359</v>
      </c>
      <c r="O986" s="27" t="s">
        <v>64</v>
      </c>
      <c r="P986" s="35">
        <v>0.0</v>
      </c>
      <c r="Q986" s="35" t="s">
        <v>114</v>
      </c>
      <c r="R986" s="36">
        <v>45188.0</v>
      </c>
      <c r="S986" s="35" t="s">
        <v>86</v>
      </c>
      <c r="T986" s="35">
        <v>0.0</v>
      </c>
      <c r="U986" s="37" t="s">
        <v>115</v>
      </c>
      <c r="V986" s="38">
        <v>1300000.0</v>
      </c>
      <c r="W986" s="38"/>
      <c r="X986" s="27"/>
      <c r="Y986" s="39"/>
      <c r="Z986" s="79" t="s">
        <v>1599</v>
      </c>
      <c r="AA986" s="39"/>
      <c r="AB986" s="27"/>
      <c r="AC986" s="27">
        <f t="shared" si="619"/>
        <v>0</v>
      </c>
      <c r="AD986" s="41">
        <f t="shared" ref="AD986:AD988" si="799">IF(AND(S986="0",O986="Paid"),(M986*15%)-AC986,0)</f>
        <v>0</v>
      </c>
      <c r="AE986" s="42"/>
      <c r="AF986" s="27"/>
      <c r="AG986" s="43">
        <f>IF(O986="Paid",IF(A986="Alwataniya",(M986*21%)-((M986*21%)*5%),IF((A986="GIG"),(M986*25%)-((M986*25%)*5%),IF((A986="Allianz"),(M986*27%)-((M986*27%)*20%),0))),0)</f>
        <v>0</v>
      </c>
      <c r="AH986" s="29"/>
      <c r="AI986" s="29"/>
      <c r="AJ986" s="29"/>
      <c r="AK986" s="29"/>
      <c r="AL986" s="27"/>
      <c r="AM986" s="27"/>
      <c r="AN986" s="47"/>
      <c r="AO986" s="46"/>
      <c r="AP986" s="47"/>
      <c r="AQ986" s="43" t="b">
        <f>IF(O986="Paid",IF(U986="Motor Plus",(M986*27%),IF(U986="Motor One",(M986*22%),(IF(U986="Golden",(M986*25%),(IF(U986="Classic",(M986*15%),(IF(U986="Wethaq",(M986*28%),IF(U986="Alwataniya",(M986*21%))*0)))))))))</f>
        <v>0</v>
      </c>
      <c r="AR986" s="43">
        <f t="shared" si="448"/>
        <v>0</v>
      </c>
      <c r="AS986" s="43">
        <f t="shared" si="449"/>
        <v>0</v>
      </c>
      <c r="AT986" s="48">
        <f t="shared" si="753"/>
        <v>0</v>
      </c>
      <c r="AU986" s="49">
        <f t="shared" ref="AU986:AU1065" si="800">AQ986-AR986-AS986-AC986-AO986</f>
        <v>0</v>
      </c>
      <c r="AV986" s="48"/>
      <c r="AW986" s="34">
        <f t="shared" si="540"/>
        <v>3359</v>
      </c>
      <c r="AX986" s="50">
        <f t="shared" si="757"/>
        <v>0</v>
      </c>
      <c r="AY986" s="43"/>
      <c r="AZ986" s="47"/>
      <c r="BA986" s="48">
        <f t="shared" ref="BA986:BA1129" si="801">IF(S986&lt;&gt;0,AU986-AO986-AM986,(AG986-AD986-AE986-AS986))</f>
        <v>0</v>
      </c>
      <c r="BB986" s="27"/>
      <c r="BC986" s="27"/>
      <c r="BD986" s="51"/>
      <c r="BE986" s="52"/>
      <c r="BF986" s="27"/>
      <c r="BG986" s="58" t="s">
        <v>562</v>
      </c>
      <c r="BH986" s="53" t="str">
        <f>'[1]2023'!Q1282</f>
        <v>#REF!</v>
      </c>
      <c r="BI986" s="27"/>
      <c r="BJ986" s="27"/>
      <c r="BK986" s="27" t="s">
        <v>64</v>
      </c>
      <c r="BL986" s="195" t="s">
        <v>3204</v>
      </c>
    </row>
    <row r="987" ht="14.25" customHeight="1">
      <c r="A987" s="26" t="s">
        <v>111</v>
      </c>
      <c r="B987" s="26" t="s">
        <v>56</v>
      </c>
      <c r="C987" s="26" t="s">
        <v>57</v>
      </c>
      <c r="D987" s="26" t="s">
        <v>71</v>
      </c>
      <c r="E987" s="27" t="s">
        <v>3205</v>
      </c>
      <c r="F987" s="28" t="s">
        <v>3206</v>
      </c>
      <c r="G987" s="29">
        <v>45179.0</v>
      </c>
      <c r="H987" s="30">
        <v>45179.0</v>
      </c>
      <c r="I987" s="30">
        <v>45544.0</v>
      </c>
      <c r="J987" s="31" t="s">
        <v>3207</v>
      </c>
      <c r="K987" s="26" t="s">
        <v>475</v>
      </c>
      <c r="L987" s="69">
        <v>45269.0</v>
      </c>
      <c r="M987" s="33">
        <v>18114.85</v>
      </c>
      <c r="N987" s="34">
        <v>19530.0</v>
      </c>
      <c r="O987" s="27" t="s">
        <v>76</v>
      </c>
      <c r="P987" s="35" t="s">
        <v>89</v>
      </c>
      <c r="Q987" s="35" t="s">
        <v>114</v>
      </c>
      <c r="R987" s="36">
        <v>45188.0</v>
      </c>
      <c r="S987" s="35" t="s">
        <v>78</v>
      </c>
      <c r="T987" s="35">
        <v>0.0</v>
      </c>
      <c r="U987" s="37" t="s">
        <v>149</v>
      </c>
      <c r="V987" s="38">
        <v>900000.0</v>
      </c>
      <c r="W987" s="38"/>
      <c r="X987" s="27"/>
      <c r="Y987" s="39"/>
      <c r="Z987" s="79" t="s">
        <v>3208</v>
      </c>
      <c r="AA987" s="39"/>
      <c r="AB987" s="27"/>
      <c r="AC987" s="27">
        <f t="shared" si="619"/>
        <v>0</v>
      </c>
      <c r="AD987" s="41">
        <f t="shared" si="799"/>
        <v>0</v>
      </c>
      <c r="AE987" s="42"/>
      <c r="AF987" s="27"/>
      <c r="AG987" s="43">
        <f>IF(O987="Paid",IF(A987="Alwataniya",(M987*21%)-((M987*21%)*5%),IF((A987="GIG"),(M987*15%)-((M987*15%)*5%),IF((A987="Allianz"),(M987*27%)-((M987*27%)*20%),0))),0)</f>
        <v>2581.366125</v>
      </c>
      <c r="AH987" s="29" t="s">
        <v>2370</v>
      </c>
      <c r="AI987" s="182">
        <v>45189.0</v>
      </c>
      <c r="AJ987" s="29"/>
      <c r="AK987" s="29" t="s">
        <v>3209</v>
      </c>
      <c r="AL987" s="27"/>
      <c r="AM987" s="44"/>
      <c r="AN987" s="68"/>
      <c r="AO987" s="46"/>
      <c r="AP987" s="47"/>
      <c r="AQ987" s="43">
        <f t="shared" ref="AQ987:AQ989" si="802">IF(U987="Motor Plus",(M987*27%),IF(U987="Motor One",(M987*22%),(IF(U987="Golden",(M987*25%),(IF(U987="Classic",(M987*15%),(IF(U987="Wethaq",(M987*28%),IF(U987="Alwataniya",(M987*21%))*0))))))))</f>
        <v>2717.2275</v>
      </c>
      <c r="AR987" s="43">
        <f t="shared" si="448"/>
        <v>135.861375</v>
      </c>
      <c r="AS987" s="43">
        <f t="shared" si="449"/>
        <v>475.5148125</v>
      </c>
      <c r="AT987" s="48">
        <f t="shared" si="753"/>
        <v>2105.851313</v>
      </c>
      <c r="AU987" s="49">
        <f t="shared" si="800"/>
        <v>2105.851313</v>
      </c>
      <c r="AV987" s="48"/>
      <c r="AW987" s="34">
        <f t="shared" si="540"/>
        <v>19530</v>
      </c>
      <c r="AX987" s="50">
        <f t="shared" si="757"/>
        <v>2105.851313</v>
      </c>
      <c r="AY987" s="43"/>
      <c r="AZ987" s="47"/>
      <c r="BA987" s="48">
        <f t="shared" si="801"/>
        <v>2105.851313</v>
      </c>
      <c r="BB987" s="27"/>
      <c r="BC987" s="27"/>
      <c r="BD987" s="51"/>
      <c r="BE987" s="52"/>
      <c r="BF987" s="27"/>
      <c r="BG987" s="53">
        <v>0.0</v>
      </c>
      <c r="BH987" s="53" t="str">
        <f>'[1]2023'!Q1285</f>
        <v>#REF!</v>
      </c>
      <c r="BI987" s="27"/>
      <c r="BJ987" s="27"/>
      <c r="BK987" s="27" t="s">
        <v>76</v>
      </c>
      <c r="BL987" s="27"/>
    </row>
    <row r="988" ht="14.25" customHeight="1">
      <c r="A988" s="26" t="s">
        <v>55</v>
      </c>
      <c r="B988" s="26" t="s">
        <v>56</v>
      </c>
      <c r="C988" s="26" t="s">
        <v>57</v>
      </c>
      <c r="D988" s="26" t="s">
        <v>81</v>
      </c>
      <c r="E988" s="27" t="s">
        <v>3210</v>
      </c>
      <c r="F988" s="28" t="s">
        <v>3211</v>
      </c>
      <c r="G988" s="29">
        <v>45179.0</v>
      </c>
      <c r="H988" s="30">
        <v>45179.0</v>
      </c>
      <c r="I988" s="30">
        <v>45544.0</v>
      </c>
      <c r="J988" s="31" t="s">
        <v>3212</v>
      </c>
      <c r="K988" s="26" t="s">
        <v>475</v>
      </c>
      <c r="L988" s="32" t="s">
        <v>2370</v>
      </c>
      <c r="M988" s="33">
        <v>30975.0</v>
      </c>
      <c r="N988" s="34">
        <v>33098.41</v>
      </c>
      <c r="O988" s="27" t="s">
        <v>76</v>
      </c>
      <c r="P988" s="35" t="s">
        <v>89</v>
      </c>
      <c r="Q988" s="35" t="s">
        <v>90</v>
      </c>
      <c r="R988" s="36">
        <v>45179.0</v>
      </c>
      <c r="S988" s="35" t="s">
        <v>86</v>
      </c>
      <c r="T988" s="35">
        <v>0.0</v>
      </c>
      <c r="U988" s="37" t="s">
        <v>67</v>
      </c>
      <c r="V988" s="38"/>
      <c r="W988" s="38"/>
      <c r="X988" s="27"/>
      <c r="Y988" s="39"/>
      <c r="Z988" s="79" t="s">
        <v>208</v>
      </c>
      <c r="AA988" s="39"/>
      <c r="AB988" s="27"/>
      <c r="AC988" s="27">
        <f t="shared" si="619"/>
        <v>0</v>
      </c>
      <c r="AD988" s="41">
        <f t="shared" si="799"/>
        <v>4646.25</v>
      </c>
      <c r="AE988" s="42"/>
      <c r="AF988" s="27"/>
      <c r="AG988" s="43">
        <f>IF(O988="Paid",IF(A988="Alwataniya",(M988*21%)-((M988*21%)*5%),IF((A988="GIG"),(M988*25%)-((M988*25%)*5%),IF((A988="Allianz"),(M988*27%)-((M988*27%)*5%),0))),0)</f>
        <v>7945.0875</v>
      </c>
      <c r="AH988" s="29"/>
      <c r="AI988" s="29"/>
      <c r="AJ988" s="29"/>
      <c r="AK988" s="29"/>
      <c r="AL988" s="27"/>
      <c r="AM988" s="44"/>
      <c r="AN988" s="47"/>
      <c r="AO988" s="46"/>
      <c r="AP988" s="47"/>
      <c r="AQ988" s="43">
        <f t="shared" si="802"/>
        <v>8363.25</v>
      </c>
      <c r="AR988" s="43">
        <f t="shared" si="448"/>
        <v>418.1625</v>
      </c>
      <c r="AS988" s="43">
        <f t="shared" si="449"/>
        <v>1463.56875</v>
      </c>
      <c r="AT988" s="48">
        <f t="shared" si="753"/>
        <v>6481.51875</v>
      </c>
      <c r="AU988" s="49">
        <f t="shared" si="800"/>
        <v>6481.51875</v>
      </c>
      <c r="AV988" s="48"/>
      <c r="AW988" s="34">
        <f t="shared" si="540"/>
        <v>28452.16</v>
      </c>
      <c r="AX988" s="50">
        <f t="shared" si="757"/>
        <v>1835.26875</v>
      </c>
      <c r="AY988" s="43"/>
      <c r="AZ988" s="47"/>
      <c r="BA988" s="48">
        <f t="shared" si="801"/>
        <v>6481.51875</v>
      </c>
      <c r="BB988" s="27"/>
      <c r="BC988" s="27"/>
      <c r="BD988" s="51"/>
      <c r="BE988" s="52"/>
      <c r="BF988" s="27"/>
      <c r="BG988" s="53">
        <v>0.0</v>
      </c>
      <c r="BH988" s="53" t="str">
        <f>'[1]2023'!Q1294</f>
        <v>#REF!</v>
      </c>
      <c r="BI988" s="27"/>
      <c r="BJ988" s="27"/>
      <c r="BK988" s="27" t="s">
        <v>76</v>
      </c>
      <c r="BL988" s="27"/>
    </row>
    <row r="989" ht="14.25" customHeight="1">
      <c r="A989" s="26" t="s">
        <v>111</v>
      </c>
      <c r="B989" s="26" t="s">
        <v>56</v>
      </c>
      <c r="C989" s="26" t="s">
        <v>57</v>
      </c>
      <c r="D989" s="26" t="s">
        <v>71</v>
      </c>
      <c r="E989" s="27" t="s">
        <v>3213</v>
      </c>
      <c r="F989" s="28" t="s">
        <v>3214</v>
      </c>
      <c r="G989" s="29">
        <v>45179.0</v>
      </c>
      <c r="H989" s="30">
        <v>45179.0</v>
      </c>
      <c r="I989" s="30">
        <v>45544.0</v>
      </c>
      <c r="J989" s="31" t="s">
        <v>508</v>
      </c>
      <c r="K989" s="26" t="s">
        <v>475</v>
      </c>
      <c r="L989" s="32" t="s">
        <v>63</v>
      </c>
      <c r="M989" s="33">
        <f>18210.51-13832</f>
        <v>4378.51</v>
      </c>
      <c r="N989" s="34">
        <f>19632-14725-1548</f>
        <v>3359</v>
      </c>
      <c r="O989" s="27" t="s">
        <v>76</v>
      </c>
      <c r="P989" s="35" t="s">
        <v>89</v>
      </c>
      <c r="Q989" s="35" t="s">
        <v>114</v>
      </c>
      <c r="R989" s="36">
        <v>45188.0</v>
      </c>
      <c r="S989" s="35" t="s">
        <v>78</v>
      </c>
      <c r="T989" s="54" t="s">
        <v>510</v>
      </c>
      <c r="U989" s="37" t="s">
        <v>115</v>
      </c>
      <c r="V989" s="38">
        <v>1300000.0</v>
      </c>
      <c r="W989" s="38"/>
      <c r="X989" s="27"/>
      <c r="Y989" s="39"/>
      <c r="Z989" s="79" t="s">
        <v>1599</v>
      </c>
      <c r="AA989" s="39"/>
      <c r="AB989" s="27"/>
      <c r="AC989" s="27">
        <f t="shared" si="619"/>
        <v>0</v>
      </c>
      <c r="AD989" s="41"/>
      <c r="AE989" s="42"/>
      <c r="AF989" s="27"/>
      <c r="AG989" s="43">
        <f>IF(O989="Paid",IF(A989="Alwataniya",(M989*21%)-((M989*21%)*5%),IF((A989="GIG"),(M989*25%)-((M989*25%)*5%),IF((A989="Allianz"),(M989*27%)-((M989*27%)*20%),0))),0)</f>
        <v>1039.896125</v>
      </c>
      <c r="AH989" s="29" t="s">
        <v>2836</v>
      </c>
      <c r="AI989" s="182">
        <v>45189.0</v>
      </c>
      <c r="AJ989" s="29"/>
      <c r="AK989" s="29" t="s">
        <v>3209</v>
      </c>
      <c r="AL989" s="27"/>
      <c r="AM989" s="44"/>
      <c r="AN989" s="47"/>
      <c r="AO989" s="95">
        <f>M989*AJ989-((M989*AJ989)*22.5%)</f>
        <v>0</v>
      </c>
      <c r="AP989" s="47"/>
      <c r="AQ989" s="43">
        <f t="shared" si="802"/>
        <v>1094.6275</v>
      </c>
      <c r="AR989" s="43">
        <f t="shared" si="448"/>
        <v>54.731375</v>
      </c>
      <c r="AS989" s="43">
        <f t="shared" si="449"/>
        <v>191.5598125</v>
      </c>
      <c r="AT989" s="48">
        <f t="shared" si="753"/>
        <v>848.3363125</v>
      </c>
      <c r="AU989" s="49">
        <f t="shared" si="800"/>
        <v>848.3363125</v>
      </c>
      <c r="AV989" s="48"/>
      <c r="AW989" s="34">
        <f t="shared" si="540"/>
        <v>3359</v>
      </c>
      <c r="AX989" s="50">
        <f t="shared" si="757"/>
        <v>848.3363125</v>
      </c>
      <c r="AY989" s="43"/>
      <c r="AZ989" s="47"/>
      <c r="BA989" s="48">
        <f t="shared" si="801"/>
        <v>848.3363125</v>
      </c>
      <c r="BB989" s="27"/>
      <c r="BC989" s="27"/>
      <c r="BD989" s="51"/>
      <c r="BE989" s="52"/>
      <c r="BF989" s="27"/>
      <c r="BG989" s="58" t="s">
        <v>562</v>
      </c>
      <c r="BH989" s="53" t="str">
        <f t="shared" ref="BH989:BH990" si="803">'[1]2023'!Q1302</f>
        <v>#REF!</v>
      </c>
      <c r="BI989" s="27"/>
      <c r="BJ989" s="27"/>
      <c r="BK989" s="27" t="s">
        <v>76</v>
      </c>
      <c r="BL989" s="64" t="s">
        <v>3215</v>
      </c>
    </row>
    <row r="990" ht="14.25" customHeight="1">
      <c r="A990" s="26" t="s">
        <v>1634</v>
      </c>
      <c r="B990" s="26" t="s">
        <v>69</v>
      </c>
      <c r="C990" s="26" t="s">
        <v>70</v>
      </c>
      <c r="D990" s="26" t="s">
        <v>71</v>
      </c>
      <c r="E990" s="99" t="s">
        <v>3216</v>
      </c>
      <c r="F990" s="26" t="s">
        <v>3217</v>
      </c>
      <c r="G990" s="29">
        <v>45179.0</v>
      </c>
      <c r="H990" s="30">
        <v>45179.0</v>
      </c>
      <c r="I990" s="30">
        <v>45544.0</v>
      </c>
      <c r="J990" s="31">
        <v>0.0</v>
      </c>
      <c r="K990" s="26" t="s">
        <v>475</v>
      </c>
      <c r="L990" s="89">
        <v>45225.0</v>
      </c>
      <c r="M990" s="33">
        <v>46850.0</v>
      </c>
      <c r="N990" s="34">
        <v>50000.0</v>
      </c>
      <c r="O990" s="27" t="s">
        <v>76</v>
      </c>
      <c r="P990" s="35" t="s">
        <v>77</v>
      </c>
      <c r="Q990" s="35">
        <v>0.0</v>
      </c>
      <c r="R990" s="36">
        <v>45179.0</v>
      </c>
      <c r="S990" s="35" t="s">
        <v>78</v>
      </c>
      <c r="T990" s="54" t="s">
        <v>79</v>
      </c>
      <c r="U990" s="37" t="s">
        <v>69</v>
      </c>
      <c r="V990" s="38"/>
      <c r="W990" s="38"/>
      <c r="X990" s="27"/>
      <c r="Y990" s="39"/>
      <c r="Z990" s="39"/>
      <c r="AA990" s="39"/>
      <c r="AB990" s="27"/>
      <c r="AC990" s="27">
        <f t="shared" si="619"/>
        <v>0</v>
      </c>
      <c r="AD990" s="41">
        <f>IF(AND(S990="0",O990="Paid"),(M990*15%)-AC990,0)</f>
        <v>0</v>
      </c>
      <c r="AE990" s="42"/>
      <c r="AF990" s="189">
        <v>40000.0</v>
      </c>
      <c r="AG990" s="190">
        <f>(AF990*16.75%)-((AF990*16.75%)*5%)</f>
        <v>6365</v>
      </c>
      <c r="AH990" s="29"/>
      <c r="AI990" s="29">
        <v>45119.0</v>
      </c>
      <c r="AJ990" s="40">
        <v>0.1675</v>
      </c>
      <c r="AK990" s="29">
        <v>45028.0</v>
      </c>
      <c r="AL990" s="27">
        <f>AF990*AJ990</f>
        <v>6700</v>
      </c>
      <c r="AM990" s="44"/>
      <c r="AN990" s="47"/>
      <c r="AO990" s="149">
        <f t="shared" ref="AO990:AO991" si="804">((AF990*AJ990)-((AF990*AJ990)*22.5%))*80%</f>
        <v>4154</v>
      </c>
      <c r="AP990" s="71">
        <v>45294.0</v>
      </c>
      <c r="AQ990" s="43">
        <f t="shared" ref="AQ990:AQ991" si="805">IF(O990="Paid",IF(U990="Motor Plus",(M990*27%),IF(U990="Motor One",(M990*22%),(IF(U990="Golden",(M990*25%),(IF(U990="Classic",(M990*15%),(IF(U990="Wethaq",(M990*28%),IF(U990="Alwataniya",(M990*21%))*0)))))))))</f>
        <v>0</v>
      </c>
      <c r="AR990" s="43">
        <f t="shared" si="448"/>
        <v>0</v>
      </c>
      <c r="AS990" s="43">
        <f t="shared" si="449"/>
        <v>0</v>
      </c>
      <c r="AT990" s="48">
        <f t="shared" si="753"/>
        <v>0</v>
      </c>
      <c r="AU990" s="49">
        <f t="shared" si="800"/>
        <v>-4154</v>
      </c>
      <c r="AV990" s="48"/>
      <c r="AW990" s="34">
        <f t="shared" si="540"/>
        <v>50000</v>
      </c>
      <c r="AX990" s="50">
        <f t="shared" si="757"/>
        <v>-4489</v>
      </c>
      <c r="AY990" s="43"/>
      <c r="AZ990" s="47"/>
      <c r="BA990" s="48">
        <f t="shared" si="801"/>
        <v>-8308</v>
      </c>
      <c r="BB990" s="27"/>
      <c r="BC990" s="27"/>
      <c r="BD990" s="51"/>
      <c r="BE990" s="52"/>
      <c r="BF990" s="27"/>
      <c r="BG990" s="58" t="s">
        <v>2973</v>
      </c>
      <c r="BH990" s="53" t="str">
        <f t="shared" si="803"/>
        <v>#REF!</v>
      </c>
      <c r="BI990" s="27"/>
      <c r="BJ990" s="27"/>
      <c r="BK990" s="27" t="s">
        <v>76</v>
      </c>
      <c r="BL990" s="27"/>
    </row>
    <row r="991" ht="14.25" customHeight="1">
      <c r="A991" s="26" t="s">
        <v>1634</v>
      </c>
      <c r="B991" s="26" t="s">
        <v>69</v>
      </c>
      <c r="C991" s="26" t="s">
        <v>70</v>
      </c>
      <c r="D991" s="26" t="s">
        <v>71</v>
      </c>
      <c r="E991" s="99" t="s">
        <v>3218</v>
      </c>
      <c r="F991" s="26" t="s">
        <v>3219</v>
      </c>
      <c r="G991" s="29">
        <v>45179.0</v>
      </c>
      <c r="H991" s="30">
        <v>45179.0</v>
      </c>
      <c r="I991" s="30">
        <v>45544.0</v>
      </c>
      <c r="J991" s="31">
        <v>0.0</v>
      </c>
      <c r="K991" s="26" t="s">
        <v>475</v>
      </c>
      <c r="L991" s="89">
        <v>45225.0</v>
      </c>
      <c r="M991" s="33">
        <v>32800.0</v>
      </c>
      <c r="N991" s="34">
        <v>35000.0</v>
      </c>
      <c r="O991" s="27" t="s">
        <v>76</v>
      </c>
      <c r="P991" s="35" t="s">
        <v>77</v>
      </c>
      <c r="Q991" s="35">
        <v>0.0</v>
      </c>
      <c r="R991" s="36">
        <v>45179.0</v>
      </c>
      <c r="S991" s="35" t="s">
        <v>78</v>
      </c>
      <c r="T991" s="54" t="s">
        <v>79</v>
      </c>
      <c r="U991" s="37" t="s">
        <v>69</v>
      </c>
      <c r="V991" s="38"/>
      <c r="W991" s="38"/>
      <c r="X991" s="27"/>
      <c r="Y991" s="39"/>
      <c r="Z991" s="39"/>
      <c r="AA991" s="39"/>
      <c r="AB991" s="27"/>
      <c r="AC991" s="27">
        <f t="shared" si="619"/>
        <v>0</v>
      </c>
      <c r="AD991" s="41"/>
      <c r="AE991" s="196">
        <v>45657.0</v>
      </c>
      <c r="AF991" s="189">
        <v>40000.0</v>
      </c>
      <c r="AG991" s="190">
        <f>(AF991*16.54%)-((AF991*16.54%)*5%)</f>
        <v>6285.2</v>
      </c>
      <c r="AH991" s="29"/>
      <c r="AI991" s="29"/>
      <c r="AJ991" s="40">
        <v>0.1654</v>
      </c>
      <c r="AK991" s="29">
        <v>45307.0</v>
      </c>
      <c r="AL991" s="27"/>
      <c r="AM991" s="44"/>
      <c r="AN991" s="47"/>
      <c r="AO991" s="149">
        <f t="shared" si="804"/>
        <v>4101.92</v>
      </c>
      <c r="AP991" s="71">
        <v>45308.0</v>
      </c>
      <c r="AQ991" s="43">
        <f t="shared" si="805"/>
        <v>0</v>
      </c>
      <c r="AR991" s="43">
        <f t="shared" si="448"/>
        <v>0</v>
      </c>
      <c r="AS991" s="43">
        <f t="shared" si="449"/>
        <v>0</v>
      </c>
      <c r="AT991" s="48">
        <f t="shared" si="753"/>
        <v>0</v>
      </c>
      <c r="AU991" s="49">
        <f t="shared" si="800"/>
        <v>-4101.92</v>
      </c>
      <c r="AV991" s="48"/>
      <c r="AW991" s="34">
        <f t="shared" si="540"/>
        <v>-10657</v>
      </c>
      <c r="AX991" s="50">
        <f t="shared" si="757"/>
        <v>-43473.72</v>
      </c>
      <c r="AY991" s="43"/>
      <c r="AZ991" s="47"/>
      <c r="BA991" s="48">
        <f t="shared" si="801"/>
        <v>-8203.84</v>
      </c>
      <c r="BB991" s="27"/>
      <c r="BC991" s="27"/>
      <c r="BD991" s="51"/>
      <c r="BE991" s="52"/>
      <c r="BF991" s="27"/>
      <c r="BG991" s="58" t="s">
        <v>2973</v>
      </c>
      <c r="BH991" s="53" t="str">
        <f>'[1]2023'!Q1305</f>
        <v>#REF!</v>
      </c>
      <c r="BI991" s="27"/>
      <c r="BJ991" s="27"/>
      <c r="BK991" s="27" t="s">
        <v>76</v>
      </c>
      <c r="BL991" s="27"/>
    </row>
    <row r="992" ht="14.25" customHeight="1">
      <c r="A992" s="26" t="s">
        <v>55</v>
      </c>
      <c r="B992" s="26" t="s">
        <v>56</v>
      </c>
      <c r="C992" s="26" t="s">
        <v>57</v>
      </c>
      <c r="D992" s="26" t="s">
        <v>81</v>
      </c>
      <c r="E992" s="27" t="s">
        <v>3220</v>
      </c>
      <c r="F992" s="28" t="s">
        <v>3221</v>
      </c>
      <c r="G992" s="29">
        <v>45179.0</v>
      </c>
      <c r="H992" s="30">
        <v>45179.0</v>
      </c>
      <c r="I992" s="30">
        <v>45544.0</v>
      </c>
      <c r="J992" s="31" t="s">
        <v>3222</v>
      </c>
      <c r="K992" s="26" t="s">
        <v>475</v>
      </c>
      <c r="L992" s="32" t="s">
        <v>497</v>
      </c>
      <c r="M992" s="33">
        <v>7960.0</v>
      </c>
      <c r="N992" s="34">
        <v>8610.44</v>
      </c>
      <c r="O992" s="27" t="s">
        <v>76</v>
      </c>
      <c r="P992" s="35" t="s">
        <v>89</v>
      </c>
      <c r="Q992" s="35">
        <v>0.0</v>
      </c>
      <c r="R992" s="36">
        <v>45179.0</v>
      </c>
      <c r="S992" s="35" t="s">
        <v>86</v>
      </c>
      <c r="T992" s="35">
        <v>0.0</v>
      </c>
      <c r="U992" s="37" t="s">
        <v>812</v>
      </c>
      <c r="V992" s="38">
        <v>300000.0</v>
      </c>
      <c r="W992" s="78">
        <v>29250.0</v>
      </c>
      <c r="X992" s="27">
        <v>2015.0</v>
      </c>
      <c r="Y992" s="79" t="s">
        <v>3223</v>
      </c>
      <c r="Z992" s="79" t="s">
        <v>3224</v>
      </c>
      <c r="AA992" s="39">
        <v>771564.0</v>
      </c>
      <c r="AB992" s="27"/>
      <c r="AC992" s="27">
        <f t="shared" si="619"/>
        <v>0</v>
      </c>
      <c r="AD992" s="41">
        <f t="shared" ref="AD992:AD994" si="806">IF(AND(S992="0",O992="Paid"),(M992*15%)-AC992,0)</f>
        <v>1194</v>
      </c>
      <c r="AE992" s="42"/>
      <c r="AF992" s="27"/>
      <c r="AG992" s="43">
        <f t="shared" ref="AG992:AG993" si="807">IF(O992="Paid",IF(A992="Alwataniya",(M992*21%)-((M992*21%)*5%),IF((A992="GIG"),(M992*25%)-((M992*25%)*5%),IF((A992="Allianz"),(M992*27%)-((M992*27%)*5%),0))),0)</f>
        <v>2041.74</v>
      </c>
      <c r="AH992" s="29"/>
      <c r="AI992" s="29"/>
      <c r="AJ992" s="29"/>
      <c r="AK992" s="29"/>
      <c r="AL992" s="27"/>
      <c r="AM992" s="44"/>
      <c r="AN992" s="68"/>
      <c r="AO992" s="46"/>
      <c r="AP992" s="47"/>
      <c r="AQ992" s="43">
        <f t="shared" ref="AQ992:AQ993" si="808">IF(U992="Motor Plus",(M992*27%),IF(U992="Motor One",(M992*22%),(IF(U992="Golden",(M992*25%),(IF(U992="Classic",(M992*15%),(IF(U992="Wethaq",(M992*28%),IF(U992="Alwataniya",(M992*21%))*0))))))))</f>
        <v>0</v>
      </c>
      <c r="AR992" s="43">
        <f t="shared" si="448"/>
        <v>0</v>
      </c>
      <c r="AS992" s="43">
        <f t="shared" si="449"/>
        <v>0</v>
      </c>
      <c r="AT992" s="48">
        <f t="shared" si="753"/>
        <v>0</v>
      </c>
      <c r="AU992" s="49">
        <f t="shared" si="800"/>
        <v>0</v>
      </c>
      <c r="AV992" s="48"/>
      <c r="AW992" s="34">
        <f t="shared" si="540"/>
        <v>7416.44</v>
      </c>
      <c r="AX992" s="50">
        <f t="shared" si="757"/>
        <v>847.74</v>
      </c>
      <c r="AY992" s="43"/>
      <c r="AZ992" s="47"/>
      <c r="BA992" s="48">
        <f t="shared" si="801"/>
        <v>0</v>
      </c>
      <c r="BB992" s="27"/>
      <c r="BC992" s="27"/>
      <c r="BD992" s="51"/>
      <c r="BE992" s="52"/>
      <c r="BF992" s="27"/>
      <c r="BG992" s="53">
        <v>0.0</v>
      </c>
      <c r="BH992" s="53" t="str">
        <f>'[1]2023'!Q1340</f>
        <v>#REF!</v>
      </c>
      <c r="BI992" s="27"/>
      <c r="BJ992" s="27"/>
      <c r="BK992" s="27" t="s">
        <v>76</v>
      </c>
      <c r="BL992" s="27"/>
    </row>
    <row r="993" ht="14.25" customHeight="1">
      <c r="A993" s="26" t="s">
        <v>55</v>
      </c>
      <c r="B993" s="26" t="s">
        <v>56</v>
      </c>
      <c r="C993" s="26" t="s">
        <v>57</v>
      </c>
      <c r="D993" s="26" t="s">
        <v>81</v>
      </c>
      <c r="E993" s="27" t="s">
        <v>3225</v>
      </c>
      <c r="F993" s="28" t="s">
        <v>3226</v>
      </c>
      <c r="G993" s="29">
        <v>45179.0</v>
      </c>
      <c r="H993" s="30">
        <v>45179.0</v>
      </c>
      <c r="I993" s="30">
        <v>45544.0</v>
      </c>
      <c r="J993" s="31" t="s">
        <v>3227</v>
      </c>
      <c r="K993" s="26" t="s">
        <v>475</v>
      </c>
      <c r="L993" s="32" t="s">
        <v>3107</v>
      </c>
      <c r="M993" s="33">
        <v>22100.0</v>
      </c>
      <c r="N993" s="34">
        <v>23655.4</v>
      </c>
      <c r="O993" s="27" t="s">
        <v>76</v>
      </c>
      <c r="P993" s="35" t="s">
        <v>89</v>
      </c>
      <c r="Q993" s="35" t="s">
        <v>108</v>
      </c>
      <c r="R993" s="36">
        <v>45179.0</v>
      </c>
      <c r="S993" s="35" t="s">
        <v>86</v>
      </c>
      <c r="T993" s="35">
        <v>0.0</v>
      </c>
      <c r="U993" s="37" t="s">
        <v>67</v>
      </c>
      <c r="V993" s="38">
        <v>850000.0</v>
      </c>
      <c r="W993" s="78">
        <v>10535.0</v>
      </c>
      <c r="X993" s="27">
        <v>2021.0</v>
      </c>
      <c r="Y993" s="79" t="s">
        <v>764</v>
      </c>
      <c r="Z993" s="79" t="s">
        <v>3228</v>
      </c>
      <c r="AA993" s="39"/>
      <c r="AB993" s="27"/>
      <c r="AC993" s="27">
        <f t="shared" si="619"/>
        <v>0</v>
      </c>
      <c r="AD993" s="41">
        <f t="shared" si="806"/>
        <v>3315</v>
      </c>
      <c r="AE993" s="42"/>
      <c r="AF993" s="27" t="s">
        <v>1312</v>
      </c>
      <c r="AG993" s="43">
        <f t="shared" si="807"/>
        <v>5668.65</v>
      </c>
      <c r="AH993" s="29"/>
      <c r="AI993" s="29"/>
      <c r="AJ993" s="29"/>
      <c r="AK993" s="29"/>
      <c r="AL993" s="27"/>
      <c r="AM993" s="44"/>
      <c r="AN993" s="47"/>
      <c r="AO993" s="46"/>
      <c r="AP993" s="47"/>
      <c r="AQ993" s="43">
        <f t="shared" si="808"/>
        <v>5967</v>
      </c>
      <c r="AR993" s="43">
        <f t="shared" si="448"/>
        <v>298.35</v>
      </c>
      <c r="AS993" s="43">
        <f t="shared" si="449"/>
        <v>1044.225</v>
      </c>
      <c r="AT993" s="48">
        <f t="shared" si="753"/>
        <v>4624.425</v>
      </c>
      <c r="AU993" s="49">
        <f t="shared" si="800"/>
        <v>4624.425</v>
      </c>
      <c r="AV993" s="48"/>
      <c r="AW993" s="34">
        <f t="shared" si="540"/>
        <v>20340.4</v>
      </c>
      <c r="AX993" s="50">
        <f t="shared" si="757"/>
        <v>1309.425</v>
      </c>
      <c r="AY993" s="43"/>
      <c r="AZ993" s="47"/>
      <c r="BA993" s="48">
        <f t="shared" si="801"/>
        <v>4624.425</v>
      </c>
      <c r="BB993" s="27"/>
      <c r="BC993" s="27"/>
      <c r="BD993" s="51"/>
      <c r="BE993" s="52"/>
      <c r="BF993" s="27"/>
      <c r="BG993" s="53">
        <v>0.0</v>
      </c>
      <c r="BH993" s="53" t="str">
        <f>'[1]2023'!Q1363</f>
        <v>#REF!</v>
      </c>
      <c r="BI993" s="27"/>
      <c r="BJ993" s="27"/>
      <c r="BK993" s="27" t="s">
        <v>76</v>
      </c>
      <c r="BL993" s="27"/>
    </row>
    <row r="994" ht="14.25" customHeight="1">
      <c r="A994" s="26" t="s">
        <v>1634</v>
      </c>
      <c r="B994" s="26" t="s">
        <v>69</v>
      </c>
      <c r="C994" s="26" t="s">
        <v>70</v>
      </c>
      <c r="D994" s="26" t="s">
        <v>71</v>
      </c>
      <c r="E994" s="99" t="s">
        <v>3229</v>
      </c>
      <c r="F994" s="26" t="s">
        <v>3219</v>
      </c>
      <c r="G994" s="29">
        <v>45179.0</v>
      </c>
      <c r="H994" s="30">
        <v>45179.0</v>
      </c>
      <c r="I994" s="30">
        <v>45544.0</v>
      </c>
      <c r="J994" s="31">
        <v>0.0</v>
      </c>
      <c r="K994" s="26" t="s">
        <v>475</v>
      </c>
      <c r="L994" s="89">
        <v>45316.0</v>
      </c>
      <c r="M994" s="33"/>
      <c r="N994" s="34"/>
      <c r="O994" s="27" t="s">
        <v>76</v>
      </c>
      <c r="P994" s="35" t="s">
        <v>77</v>
      </c>
      <c r="Q994" s="35">
        <v>0.0</v>
      </c>
      <c r="R994" s="36">
        <v>45179.0</v>
      </c>
      <c r="S994" s="35" t="s">
        <v>78</v>
      </c>
      <c r="T994" s="54" t="s">
        <v>79</v>
      </c>
      <c r="U994" s="37" t="s">
        <v>69</v>
      </c>
      <c r="V994" s="38"/>
      <c r="W994" s="38"/>
      <c r="X994" s="27"/>
      <c r="Y994" s="39"/>
      <c r="Z994" s="39"/>
      <c r="AA994" s="39"/>
      <c r="AB994" s="27"/>
      <c r="AC994" s="27">
        <f t="shared" si="619"/>
        <v>0</v>
      </c>
      <c r="AD994" s="41">
        <f t="shared" si="806"/>
        <v>0</v>
      </c>
      <c r="AE994" s="42"/>
      <c r="AF994" s="189">
        <v>40000.0</v>
      </c>
      <c r="AG994" s="190">
        <f>(AF994*17.34%)-((AF994*17.34%)*5%)</f>
        <v>6589.2</v>
      </c>
      <c r="AH994" s="29"/>
      <c r="AI994" s="29"/>
      <c r="AJ994" s="40">
        <v>0.1734</v>
      </c>
      <c r="AK994" s="29">
        <v>45384.0</v>
      </c>
      <c r="AL994" s="27"/>
      <c r="AM994" s="44"/>
      <c r="AN994" s="47"/>
      <c r="AO994" s="149">
        <f>((AF994*AJ994)-((AF994*AJ994)*22.5%))*80%</f>
        <v>4300.32</v>
      </c>
      <c r="AP994" s="71">
        <v>45326.0</v>
      </c>
      <c r="AQ994" s="43">
        <f>IF(O994="Paid",IF(U994="Motor Plus",(M994*27%),IF(U994="Motor One",(M994*22%),(IF(U994="Golden",(M994*25%),(IF(U994="Classic",(M994*15%),(IF(U994="Wethaq",(M994*28%),IF(U994="Alwataniya",(M994*21%))*0)))))))))</f>
        <v>0</v>
      </c>
      <c r="AR994" s="43">
        <f t="shared" si="448"/>
        <v>0</v>
      </c>
      <c r="AS994" s="43">
        <f t="shared" si="449"/>
        <v>0</v>
      </c>
      <c r="AT994" s="48">
        <f t="shared" si="753"/>
        <v>0</v>
      </c>
      <c r="AU994" s="49">
        <f t="shared" si="800"/>
        <v>-4300.32</v>
      </c>
      <c r="AV994" s="48"/>
      <c r="AW994" s="34">
        <f t="shared" si="540"/>
        <v>0</v>
      </c>
      <c r="AX994" s="50">
        <f t="shared" si="757"/>
        <v>2288.88</v>
      </c>
      <c r="AY994" s="43"/>
      <c r="AZ994" s="47"/>
      <c r="BA994" s="48">
        <f t="shared" si="801"/>
        <v>-8600.64</v>
      </c>
      <c r="BB994" s="27"/>
      <c r="BC994" s="27"/>
      <c r="BD994" s="51"/>
      <c r="BE994" s="52"/>
      <c r="BF994" s="27"/>
      <c r="BG994" s="53">
        <v>0.0</v>
      </c>
      <c r="BH994" s="53" t="str">
        <f>'[1]2023'!Q1713</f>
        <v>#REF!</v>
      </c>
      <c r="BI994" s="27"/>
      <c r="BJ994" s="27"/>
      <c r="BK994" s="27" t="s">
        <v>1102</v>
      </c>
      <c r="BL994" s="27"/>
    </row>
    <row r="995" ht="14.25" customHeight="1">
      <c r="A995" s="26" t="s">
        <v>111</v>
      </c>
      <c r="B995" s="26" t="s">
        <v>56</v>
      </c>
      <c r="C995" s="26" t="s">
        <v>57</v>
      </c>
      <c r="D995" s="26" t="s">
        <v>71</v>
      </c>
      <c r="E995" s="27">
        <v>1530.0</v>
      </c>
      <c r="F995" s="28" t="s">
        <v>3230</v>
      </c>
      <c r="G995" s="29">
        <v>45180.0</v>
      </c>
      <c r="H995" s="30">
        <v>45180.0</v>
      </c>
      <c r="I995" s="30">
        <v>45545.0</v>
      </c>
      <c r="J995" s="31" t="s">
        <v>3231</v>
      </c>
      <c r="K995" s="26" t="s">
        <v>475</v>
      </c>
      <c r="L995" s="32" t="s">
        <v>75</v>
      </c>
      <c r="M995" s="33">
        <v>20530.26</v>
      </c>
      <c r="N995" s="34">
        <v>22100.0</v>
      </c>
      <c r="O995" s="27" t="s">
        <v>76</v>
      </c>
      <c r="P995" s="35" t="s">
        <v>89</v>
      </c>
      <c r="Q995" s="35" t="s">
        <v>90</v>
      </c>
      <c r="R995" s="36">
        <v>45189.0</v>
      </c>
      <c r="S995" s="35" t="s">
        <v>78</v>
      </c>
      <c r="T995" s="35">
        <v>0.0</v>
      </c>
      <c r="U995" s="37" t="s">
        <v>115</v>
      </c>
      <c r="V995" s="38">
        <v>850000.0</v>
      </c>
      <c r="W995" s="38"/>
      <c r="X995" s="27"/>
      <c r="Y995" s="39"/>
      <c r="Z995" s="39" t="s">
        <v>3232</v>
      </c>
      <c r="AA995" s="39"/>
      <c r="AB995" s="27"/>
      <c r="AC995" s="27">
        <f t="shared" si="619"/>
        <v>0</v>
      </c>
      <c r="AD995" s="109">
        <f>M995*15%</f>
        <v>3079.539</v>
      </c>
      <c r="AE995" s="197" t="s">
        <v>791</v>
      </c>
      <c r="AF995" s="34">
        <f>AT995-AM995-AD995</f>
        <v>898.198875</v>
      </c>
      <c r="AG995" s="43">
        <f>IF(O995="Paid",IF(A995="Alwataniya",(M995*21%)-((M995*21%)*5%),IF((A995="GIG"),(M995*25%)-((M995*25%)*5%),IF((A995="Allianz"),(M995*27%)-((M995*27%)*20%),0))),0)</f>
        <v>4875.93675</v>
      </c>
      <c r="AH995" s="29" t="s">
        <v>3209</v>
      </c>
      <c r="AI995" s="29">
        <v>44967.0</v>
      </c>
      <c r="AJ995" s="29"/>
      <c r="AK995" s="29">
        <v>44936.0</v>
      </c>
      <c r="AL995" s="27"/>
      <c r="AM995" s="44"/>
      <c r="AN995" s="47"/>
      <c r="AO995" s="46"/>
      <c r="AP995" s="47"/>
      <c r="AQ995" s="43">
        <f t="shared" ref="AQ995:AQ997" si="809">IF(U995="Motor Plus",(M995*27%),IF(U995="Motor One",(M995*22%),(IF(U995="Golden",(M995*25%),(IF(U995="Classic",(M995*15%),(IF(U995="Wethaq",(M995*28%),IF(U995="Alwataniya",(M995*21%))*0))))))))</f>
        <v>5132.565</v>
      </c>
      <c r="AR995" s="43">
        <f t="shared" si="448"/>
        <v>256.62825</v>
      </c>
      <c r="AS995" s="43">
        <f t="shared" si="449"/>
        <v>898.198875</v>
      </c>
      <c r="AT995" s="48">
        <f t="shared" si="753"/>
        <v>3977.737875</v>
      </c>
      <c r="AU995" s="49">
        <f t="shared" si="800"/>
        <v>3977.737875</v>
      </c>
      <c r="AV995" s="48"/>
      <c r="AW995" s="27" t="str">
        <f t="shared" si="540"/>
        <v>#VALUE!</v>
      </c>
      <c r="AX995" s="50" t="str">
        <f t="shared" si="757"/>
        <v>#VALUE!</v>
      </c>
      <c r="AY995" s="43"/>
      <c r="AZ995" s="47"/>
      <c r="BA995" s="48">
        <f t="shared" si="801"/>
        <v>3977.737875</v>
      </c>
      <c r="BB995" s="27"/>
      <c r="BC995" s="27"/>
      <c r="BD995" s="51"/>
      <c r="BE995" s="52"/>
      <c r="BF995" s="27"/>
      <c r="BG995" s="58" t="s">
        <v>3233</v>
      </c>
      <c r="BH995" s="53" t="str">
        <f>'[1]2023'!Q1284</f>
        <v>#REF!</v>
      </c>
      <c r="BI995" s="27"/>
      <c r="BJ995" s="27"/>
      <c r="BK995" s="27" t="s">
        <v>76</v>
      </c>
      <c r="BL995" s="27"/>
    </row>
    <row r="996" ht="14.25" customHeight="1">
      <c r="A996" s="26" t="s">
        <v>111</v>
      </c>
      <c r="B996" s="26" t="s">
        <v>56</v>
      </c>
      <c r="C996" s="26" t="s">
        <v>57</v>
      </c>
      <c r="D996" s="26" t="s">
        <v>58</v>
      </c>
      <c r="E996" s="191" t="s">
        <v>3234</v>
      </c>
      <c r="F996" s="28" t="s">
        <v>3235</v>
      </c>
      <c r="G996" s="29">
        <v>45180.0</v>
      </c>
      <c r="H996" s="30">
        <v>45180.0</v>
      </c>
      <c r="I996" s="30">
        <v>45545.0</v>
      </c>
      <c r="J996" s="31" t="s">
        <v>3236</v>
      </c>
      <c r="K996" s="26" t="s">
        <v>475</v>
      </c>
      <c r="L996" s="32" t="s">
        <v>63</v>
      </c>
      <c r="M996" s="33">
        <v>0.0</v>
      </c>
      <c r="N996" s="116">
        <v>50.0</v>
      </c>
      <c r="O996" s="27" t="s">
        <v>76</v>
      </c>
      <c r="P996" s="35" t="s">
        <v>142</v>
      </c>
      <c r="Q996" s="35" t="s">
        <v>108</v>
      </c>
      <c r="R996" s="36">
        <v>45189.0</v>
      </c>
      <c r="S996" s="35" t="s">
        <v>86</v>
      </c>
      <c r="T996" s="35">
        <v>0.0</v>
      </c>
      <c r="U996" s="37" t="s">
        <v>115</v>
      </c>
      <c r="V996" s="38"/>
      <c r="W996" s="38"/>
      <c r="X996" s="27"/>
      <c r="Y996" s="39"/>
      <c r="Z996" s="39"/>
      <c r="AA996" s="39"/>
      <c r="AB996" s="27"/>
      <c r="AC996" s="27">
        <f t="shared" si="619"/>
        <v>0</v>
      </c>
      <c r="AD996" s="41">
        <f t="shared" ref="AD996:AD1017" si="810">IF(AND(S996="0",O996="Paid"),(M996*15%)-AC996,0)</f>
        <v>0</v>
      </c>
      <c r="AE996" s="42"/>
      <c r="AF996" s="27" t="s">
        <v>63</v>
      </c>
      <c r="AG996" s="117" t="s">
        <v>63</v>
      </c>
      <c r="AH996" s="117" t="s">
        <v>63</v>
      </c>
      <c r="AI996" s="117" t="s">
        <v>63</v>
      </c>
      <c r="AJ996" s="29"/>
      <c r="AK996" s="29" t="s">
        <v>63</v>
      </c>
      <c r="AL996" s="27"/>
      <c r="AM996" s="44"/>
      <c r="AN996" s="47"/>
      <c r="AO996" s="46"/>
      <c r="AP996" s="47"/>
      <c r="AQ996" s="43">
        <f t="shared" si="809"/>
        <v>0</v>
      </c>
      <c r="AR996" s="43">
        <f t="shared" si="448"/>
        <v>0</v>
      </c>
      <c r="AS996" s="43">
        <f t="shared" si="449"/>
        <v>0</v>
      </c>
      <c r="AT996" s="48">
        <f t="shared" si="753"/>
        <v>0</v>
      </c>
      <c r="AU996" s="49">
        <f t="shared" si="800"/>
        <v>0</v>
      </c>
      <c r="AV996" s="48"/>
      <c r="AW996" s="34">
        <f t="shared" si="540"/>
        <v>50</v>
      </c>
      <c r="AX996" s="50"/>
      <c r="AY996" s="43"/>
      <c r="AZ996" s="47"/>
      <c r="BA996" s="48">
        <f t="shared" si="801"/>
        <v>0</v>
      </c>
      <c r="BB996" s="27"/>
      <c r="BC996" s="27"/>
      <c r="BD996" s="51"/>
      <c r="BE996" s="52"/>
      <c r="BF996" s="27"/>
      <c r="BG996" s="53">
        <v>0.0</v>
      </c>
      <c r="BH996" s="53" t="str">
        <f>'[1]2023'!Q1286</f>
        <v>#REF!</v>
      </c>
      <c r="BI996" s="27"/>
      <c r="BJ996" s="27"/>
      <c r="BK996" s="27" t="s">
        <v>76</v>
      </c>
      <c r="BL996" s="27"/>
    </row>
    <row r="997" ht="14.25" customHeight="1">
      <c r="A997" s="26" t="s">
        <v>111</v>
      </c>
      <c r="B997" s="26" t="s">
        <v>56</v>
      </c>
      <c r="C997" s="26" t="s">
        <v>57</v>
      </c>
      <c r="D997" s="26" t="s">
        <v>71</v>
      </c>
      <c r="E997" s="27" t="s">
        <v>3237</v>
      </c>
      <c r="F997" s="28" t="s">
        <v>3238</v>
      </c>
      <c r="G997" s="29">
        <v>45180.0</v>
      </c>
      <c r="H997" s="30">
        <v>45180.0</v>
      </c>
      <c r="I997" s="30">
        <v>45545.0</v>
      </c>
      <c r="J997" s="88" t="s">
        <v>461</v>
      </c>
      <c r="K997" s="26" t="s">
        <v>475</v>
      </c>
      <c r="L997" s="32" t="s">
        <v>75</v>
      </c>
      <c r="M997" s="33">
        <v>21752.0</v>
      </c>
      <c r="N997" s="34">
        <v>23400.0</v>
      </c>
      <c r="O997" s="27" t="s">
        <v>76</v>
      </c>
      <c r="P997" s="35" t="s">
        <v>430</v>
      </c>
      <c r="Q997" s="35" t="s">
        <v>114</v>
      </c>
      <c r="R997" s="36">
        <v>45189.0</v>
      </c>
      <c r="S997" s="35" t="s">
        <v>78</v>
      </c>
      <c r="T997" s="35">
        <v>0.0</v>
      </c>
      <c r="U997" s="37" t="s">
        <v>115</v>
      </c>
      <c r="V997" s="38">
        <v>900000.0</v>
      </c>
      <c r="W997" s="78">
        <v>118572.0</v>
      </c>
      <c r="X997" s="27">
        <v>2022.0</v>
      </c>
      <c r="Y997" s="39">
        <v>5.0</v>
      </c>
      <c r="Z997" s="39" t="s">
        <v>3239</v>
      </c>
      <c r="AA997" s="39"/>
      <c r="AB997" s="27"/>
      <c r="AC997" s="27">
        <f t="shared" si="619"/>
        <v>0</v>
      </c>
      <c r="AD997" s="41">
        <f t="shared" si="810"/>
        <v>0</v>
      </c>
      <c r="AE997" s="42"/>
      <c r="AF997" s="27"/>
      <c r="AG997" s="43">
        <f>IF(O997="Paid",IF(A997="Alwataniya",(M997*21%)-((M997*21%)*5%),IF((A997="GIG"),(M997*25%)-((M997*25%)*5%),IF((A997="Allianz"),(M997*27%)-((M997*27%)*20%),0))),0)</f>
        <v>5166.1</v>
      </c>
      <c r="AH997" s="29">
        <v>45148.0</v>
      </c>
      <c r="AI997" s="29">
        <v>45240.0</v>
      </c>
      <c r="AJ997" s="55">
        <v>0.25</v>
      </c>
      <c r="AK997" s="29">
        <v>45240.0</v>
      </c>
      <c r="AL997" s="27"/>
      <c r="AM997" s="44"/>
      <c r="AN997" s="47"/>
      <c r="AO997" s="46">
        <f>((M997*AJ997)-((M997*AJ997)*22.5%))*70%</f>
        <v>2950.115</v>
      </c>
      <c r="AP997" s="47" t="s">
        <v>1325</v>
      </c>
      <c r="AQ997" s="43">
        <f t="shared" si="809"/>
        <v>5438</v>
      </c>
      <c r="AR997" s="43">
        <f t="shared" si="448"/>
        <v>271.9</v>
      </c>
      <c r="AS997" s="43">
        <f t="shared" si="449"/>
        <v>951.65</v>
      </c>
      <c r="AT997" s="48">
        <f t="shared" si="753"/>
        <v>4214.45</v>
      </c>
      <c r="AU997" s="49">
        <f t="shared" si="800"/>
        <v>1264.335</v>
      </c>
      <c r="AV997" s="48"/>
      <c r="AW997" s="34">
        <f t="shared" si="540"/>
        <v>23400</v>
      </c>
      <c r="AX997" s="50">
        <f t="shared" ref="AX997:AX1287" si="811">IF(O997="Paid",AG997-AS997-AM997-AO997-AD997-AE997-AV997-AL997,0)</f>
        <v>1264.335</v>
      </c>
      <c r="AY997" s="43"/>
      <c r="AZ997" s="47"/>
      <c r="BA997" s="48">
        <f t="shared" si="801"/>
        <v>-1685.78</v>
      </c>
      <c r="BB997" s="27"/>
      <c r="BC997" s="27"/>
      <c r="BD997" s="51"/>
      <c r="BE997" s="52"/>
      <c r="BF997" s="27"/>
      <c r="BG997" s="58" t="s">
        <v>3240</v>
      </c>
      <c r="BH997" s="53" t="str">
        <f>'[1]2023'!Q1404</f>
        <v>#REF!</v>
      </c>
      <c r="BI997" s="27"/>
      <c r="BJ997" s="27"/>
      <c r="BK997" s="27" t="s">
        <v>76</v>
      </c>
      <c r="BL997" s="27"/>
    </row>
    <row r="998" ht="14.25" customHeight="1">
      <c r="A998" s="26" t="s">
        <v>55</v>
      </c>
      <c r="B998" s="26" t="s">
        <v>56</v>
      </c>
      <c r="C998" s="26" t="s">
        <v>57</v>
      </c>
      <c r="D998" s="26" t="s">
        <v>58</v>
      </c>
      <c r="E998" s="27" t="s">
        <v>3241</v>
      </c>
      <c r="F998" s="28" t="s">
        <v>3242</v>
      </c>
      <c r="G998" s="29">
        <v>45181.0</v>
      </c>
      <c r="H998" s="30">
        <v>45181.0</v>
      </c>
      <c r="I998" s="30">
        <v>45546.0</v>
      </c>
      <c r="J998" s="31">
        <v>0.0</v>
      </c>
      <c r="K998" s="26" t="s">
        <v>475</v>
      </c>
      <c r="L998" s="32" t="s">
        <v>63</v>
      </c>
      <c r="M998" s="33">
        <v>0.0</v>
      </c>
      <c r="N998" s="34">
        <v>3626.0</v>
      </c>
      <c r="O998" s="27" t="s">
        <v>64</v>
      </c>
      <c r="P998" s="35">
        <v>0.0</v>
      </c>
      <c r="Q998" s="35">
        <v>0.0</v>
      </c>
      <c r="R998" s="36">
        <v>45181.0</v>
      </c>
      <c r="S998" s="35" t="s">
        <v>86</v>
      </c>
      <c r="T998" s="35">
        <v>0.0</v>
      </c>
      <c r="U998" s="37">
        <v>0.0</v>
      </c>
      <c r="V998" s="38"/>
      <c r="W998" s="38"/>
      <c r="X998" s="27"/>
      <c r="Y998" s="39"/>
      <c r="Z998" s="39"/>
      <c r="AA998" s="39"/>
      <c r="AB998" s="27"/>
      <c r="AC998" s="27">
        <f t="shared" si="619"/>
        <v>0</v>
      </c>
      <c r="AD998" s="41">
        <f t="shared" si="810"/>
        <v>0</v>
      </c>
      <c r="AE998" s="42"/>
      <c r="AF998" s="27"/>
      <c r="AG998" s="43">
        <f t="shared" ref="AG998:AG999" si="812">IF(O998="Paid",IF(A998="Alwataniya",(M998*21%)-((M998*21%)*5%),IF((A998="GIG"),(M998*25%)-((M998*25%)*5%),IF((A998="Allianz"),(M998*27%)-((M998*27%)*5%),0))),0)</f>
        <v>0</v>
      </c>
      <c r="AH998" s="29"/>
      <c r="AI998" s="29"/>
      <c r="AJ998" s="29"/>
      <c r="AK998" s="29"/>
      <c r="AL998" s="27"/>
      <c r="AM998" s="44"/>
      <c r="AN998" s="47"/>
      <c r="AO998" s="46"/>
      <c r="AP998" s="47"/>
      <c r="AQ998" s="43" t="b">
        <f t="shared" ref="AQ998:AQ999" si="813">IF(O998="Paid",IF(U998="Motor Plus",(M998*27%),IF(U998="Motor One",(M998*22%),(IF(U998="Golden",(M998*25%),(IF(U998="Classic",(M998*15%),(IF(U998="Wethaq",(M998*28%),IF(U998="Alwataniya",(M998*21%))*0)))))))))</f>
        <v>0</v>
      </c>
      <c r="AR998" s="43">
        <f t="shared" si="448"/>
        <v>0</v>
      </c>
      <c r="AS998" s="43">
        <f t="shared" si="449"/>
        <v>0</v>
      </c>
      <c r="AT998" s="48">
        <f t="shared" si="753"/>
        <v>0</v>
      </c>
      <c r="AU998" s="49">
        <f t="shared" si="800"/>
        <v>0</v>
      </c>
      <c r="AV998" s="48"/>
      <c r="AW998" s="34">
        <f t="shared" si="540"/>
        <v>3626</v>
      </c>
      <c r="AX998" s="50">
        <f t="shared" si="811"/>
        <v>0</v>
      </c>
      <c r="AY998" s="43"/>
      <c r="AZ998" s="47"/>
      <c r="BA998" s="48">
        <f t="shared" si="801"/>
        <v>0</v>
      </c>
      <c r="BB998" s="27"/>
      <c r="BC998" s="27"/>
      <c r="BD998" s="51"/>
      <c r="BE998" s="52"/>
      <c r="BF998" s="27"/>
      <c r="BG998" s="53">
        <v>0.0</v>
      </c>
      <c r="BH998" s="53" t="str">
        <f>'[1]2023'!Q1239</f>
        <v>#REF!</v>
      </c>
      <c r="BI998" s="27"/>
      <c r="BJ998" s="27"/>
      <c r="BK998" s="27" t="s">
        <v>64</v>
      </c>
      <c r="BL998" s="27"/>
    </row>
    <row r="999" ht="14.25" customHeight="1">
      <c r="A999" s="26" t="s">
        <v>55</v>
      </c>
      <c r="B999" s="26" t="s">
        <v>56</v>
      </c>
      <c r="C999" s="26" t="s">
        <v>57</v>
      </c>
      <c r="D999" s="26" t="s">
        <v>81</v>
      </c>
      <c r="E999" s="27" t="s">
        <v>3243</v>
      </c>
      <c r="F999" s="28" t="s">
        <v>3244</v>
      </c>
      <c r="G999" s="29">
        <v>45181.0</v>
      </c>
      <c r="H999" s="30">
        <v>45181.0</v>
      </c>
      <c r="I999" s="30">
        <v>45546.0</v>
      </c>
      <c r="J999" s="31" t="s">
        <v>3245</v>
      </c>
      <c r="K999" s="26" t="s">
        <v>475</v>
      </c>
      <c r="L999" s="32" t="s">
        <v>63</v>
      </c>
      <c r="M999" s="33">
        <v>0.0</v>
      </c>
      <c r="N999" s="34">
        <v>0.0</v>
      </c>
      <c r="O999" s="27" t="s">
        <v>64</v>
      </c>
      <c r="P999" s="35">
        <v>0.0</v>
      </c>
      <c r="Q999" s="35">
        <v>0.0</v>
      </c>
      <c r="R999" s="36">
        <v>45181.0</v>
      </c>
      <c r="S999" s="35" t="s">
        <v>86</v>
      </c>
      <c r="T999" s="35">
        <v>0.0</v>
      </c>
      <c r="U999" s="37">
        <v>0.0</v>
      </c>
      <c r="V999" s="38"/>
      <c r="W999" s="38"/>
      <c r="X999" s="27"/>
      <c r="Y999" s="39"/>
      <c r="Z999" s="39"/>
      <c r="AA999" s="39"/>
      <c r="AB999" s="27"/>
      <c r="AC999" s="27">
        <f t="shared" si="619"/>
        <v>0</v>
      </c>
      <c r="AD999" s="41">
        <f t="shared" si="810"/>
        <v>0</v>
      </c>
      <c r="AE999" s="42"/>
      <c r="AF999" s="27"/>
      <c r="AG999" s="43">
        <f t="shared" si="812"/>
        <v>0</v>
      </c>
      <c r="AH999" s="29"/>
      <c r="AI999" s="29"/>
      <c r="AJ999" s="29"/>
      <c r="AK999" s="29"/>
      <c r="AL999" s="27"/>
      <c r="AM999" s="44"/>
      <c r="AN999" s="47"/>
      <c r="AO999" s="46"/>
      <c r="AP999" s="47"/>
      <c r="AQ999" s="43" t="b">
        <f t="shared" si="813"/>
        <v>0</v>
      </c>
      <c r="AR999" s="43">
        <f t="shared" si="448"/>
        <v>0</v>
      </c>
      <c r="AS999" s="43">
        <f t="shared" si="449"/>
        <v>0</v>
      </c>
      <c r="AT999" s="48">
        <f t="shared" si="753"/>
        <v>0</v>
      </c>
      <c r="AU999" s="49">
        <f t="shared" si="800"/>
        <v>0</v>
      </c>
      <c r="AV999" s="48"/>
      <c r="AW999" s="34">
        <f t="shared" si="540"/>
        <v>0</v>
      </c>
      <c r="AX999" s="50">
        <f t="shared" si="811"/>
        <v>0</v>
      </c>
      <c r="AY999" s="43"/>
      <c r="AZ999" s="47"/>
      <c r="BA999" s="48">
        <f t="shared" si="801"/>
        <v>0</v>
      </c>
      <c r="BB999" s="27"/>
      <c r="BC999" s="27"/>
      <c r="BD999" s="51"/>
      <c r="BE999" s="52"/>
      <c r="BF999" s="27"/>
      <c r="BG999" s="58" t="s">
        <v>2592</v>
      </c>
      <c r="BH999" s="53" t="str">
        <f>'[1]2023'!Q1288</f>
        <v>#REF!</v>
      </c>
      <c r="BI999" s="27"/>
      <c r="BJ999" s="27"/>
      <c r="BK999" s="27" t="s">
        <v>64</v>
      </c>
      <c r="BL999" s="27"/>
    </row>
    <row r="1000" ht="14.25" customHeight="1">
      <c r="A1000" s="26" t="s">
        <v>68</v>
      </c>
      <c r="B1000" s="26" t="s">
        <v>56</v>
      </c>
      <c r="C1000" s="26" t="s">
        <v>57</v>
      </c>
      <c r="D1000" s="26" t="s">
        <v>71</v>
      </c>
      <c r="E1000" s="27" t="s">
        <v>3246</v>
      </c>
      <c r="F1000" s="28" t="s">
        <v>3247</v>
      </c>
      <c r="G1000" s="29">
        <v>45181.0</v>
      </c>
      <c r="H1000" s="30">
        <v>45181.0</v>
      </c>
      <c r="I1000" s="30">
        <v>45546.0</v>
      </c>
      <c r="J1000" s="31" t="s">
        <v>3248</v>
      </c>
      <c r="K1000" s="26" t="s">
        <v>475</v>
      </c>
      <c r="L1000" s="32" t="s">
        <v>2836</v>
      </c>
      <c r="M1000" s="33">
        <v>37403.84</v>
      </c>
      <c r="N1000" s="34">
        <v>40000.0</v>
      </c>
      <c r="O1000" s="27" t="s">
        <v>76</v>
      </c>
      <c r="P1000" s="35" t="s">
        <v>430</v>
      </c>
      <c r="Q1000" s="35">
        <v>0.0</v>
      </c>
      <c r="R1000" s="36">
        <v>45200.0</v>
      </c>
      <c r="S1000" s="35" t="s">
        <v>1103</v>
      </c>
      <c r="T1000" s="35">
        <v>0.0</v>
      </c>
      <c r="U1000" s="37" t="s">
        <v>68</v>
      </c>
      <c r="V1000" s="38">
        <v>2000000.0</v>
      </c>
      <c r="W1000" s="38"/>
      <c r="X1000" s="27"/>
      <c r="Y1000" s="39"/>
      <c r="Z1000" s="79" t="s">
        <v>3249</v>
      </c>
      <c r="AA1000" s="39"/>
      <c r="AB1000" s="27"/>
      <c r="AC1000" s="27">
        <f t="shared" si="619"/>
        <v>0</v>
      </c>
      <c r="AD1000" s="41">
        <f t="shared" si="810"/>
        <v>0</v>
      </c>
      <c r="AE1000" s="42"/>
      <c r="AF1000" s="27"/>
      <c r="AG1000" s="43">
        <f>M1000*28%-((M1000*28%)*5%)</f>
        <v>9949.42144</v>
      </c>
      <c r="AH1000" s="29"/>
      <c r="AI1000" s="29" t="s">
        <v>1324</v>
      </c>
      <c r="AJ1000" s="55">
        <v>0.28</v>
      </c>
      <c r="AK1000" s="29" t="s">
        <v>1325</v>
      </c>
      <c r="AL1000" s="27"/>
      <c r="AM1000" s="44">
        <f>IF((BD1000&lt;=2),AU1000*10%,(IF((BD1000=3),AU1000*20%,IF((BD1000=4),AU1000*20%,IF((BD1000&gt;=5),AU1000*30%,(IF((BD1000="lead"),AU1000*30%,0)))))))</f>
        <v>1623.326656</v>
      </c>
      <c r="AN1000" s="57">
        <v>44995.0</v>
      </c>
      <c r="AO1000" s="46"/>
      <c r="AP1000" s="47"/>
      <c r="AQ1000" s="43">
        <f t="shared" ref="AQ1000:AQ1009" si="814">IF(U1000="Motor Plus",(M1000*27%),IF(U1000="Motor One",(M1000*22%),(IF(U1000="Golden",(M1000*25%),(IF(U1000="Classic",(M1000*15%),(IF(U1000="Wethaq",(M1000*28%),IF(U1000="Alwataniya",(M1000*21%))*0))))))))</f>
        <v>10473.0752</v>
      </c>
      <c r="AR1000" s="43">
        <f t="shared" si="448"/>
        <v>523.65376</v>
      </c>
      <c r="AS1000" s="43">
        <f t="shared" si="449"/>
        <v>1832.78816</v>
      </c>
      <c r="AT1000" s="48">
        <f t="shared" si="753"/>
        <v>8116.63328</v>
      </c>
      <c r="AU1000" s="49">
        <f t="shared" si="800"/>
        <v>8116.63328</v>
      </c>
      <c r="AV1000" s="106">
        <f>AU1000*10%</f>
        <v>811.663328</v>
      </c>
      <c r="AW1000" s="34">
        <f t="shared" si="540"/>
        <v>40000</v>
      </c>
      <c r="AX1000" s="50">
        <f t="shared" si="811"/>
        <v>5681.643296</v>
      </c>
      <c r="AY1000" s="43"/>
      <c r="AZ1000" s="47"/>
      <c r="BA1000" s="48">
        <f t="shared" si="801"/>
        <v>6493.306624</v>
      </c>
      <c r="BB1000" s="27"/>
      <c r="BC1000" s="27"/>
      <c r="BD1000" s="51">
        <v>3.0</v>
      </c>
      <c r="BE1000" s="52"/>
      <c r="BF1000" s="27"/>
      <c r="BG1000" s="53">
        <v>0.0</v>
      </c>
      <c r="BH1000" s="53" t="str">
        <f>'[1]2023'!Q1310</f>
        <v>#REF!</v>
      </c>
      <c r="BI1000" s="27"/>
      <c r="BJ1000" s="27"/>
      <c r="BK1000" s="27" t="s">
        <v>76</v>
      </c>
      <c r="BL1000" s="27"/>
    </row>
    <row r="1001" ht="14.25" customHeight="1">
      <c r="A1001" s="26" t="s">
        <v>55</v>
      </c>
      <c r="B1001" s="26" t="s">
        <v>56</v>
      </c>
      <c r="C1001" s="26" t="s">
        <v>57</v>
      </c>
      <c r="D1001" s="26" t="s">
        <v>81</v>
      </c>
      <c r="E1001" s="27" t="s">
        <v>3250</v>
      </c>
      <c r="F1001" s="28" t="s">
        <v>3251</v>
      </c>
      <c r="G1001" s="29" t="s">
        <v>3252</v>
      </c>
      <c r="H1001" s="30">
        <v>45182.0</v>
      </c>
      <c r="I1001" s="30">
        <v>45547.0</v>
      </c>
      <c r="J1001" s="31">
        <v>0.0</v>
      </c>
      <c r="K1001" s="26" t="s">
        <v>475</v>
      </c>
      <c r="L1001" s="32" t="s">
        <v>1996</v>
      </c>
      <c r="M1001" s="33">
        <v>4783.25</v>
      </c>
      <c r="N1001" s="34">
        <v>5230.38</v>
      </c>
      <c r="O1001" s="27" t="s">
        <v>76</v>
      </c>
      <c r="P1001" s="35" t="s">
        <v>89</v>
      </c>
      <c r="Q1001" s="35">
        <v>0.0</v>
      </c>
      <c r="R1001" s="36" t="e">
        <v>#VALUE!</v>
      </c>
      <c r="S1001" s="35" t="s">
        <v>86</v>
      </c>
      <c r="T1001" s="35">
        <v>0.0</v>
      </c>
      <c r="U1001" s="37" t="s">
        <v>812</v>
      </c>
      <c r="V1001" s="38"/>
      <c r="W1001" s="38"/>
      <c r="X1001" s="27"/>
      <c r="Y1001" s="39"/>
      <c r="Z1001" s="39"/>
      <c r="AA1001" s="39"/>
      <c r="AB1001" s="27"/>
      <c r="AC1001" s="27">
        <f t="shared" si="619"/>
        <v>0</v>
      </c>
      <c r="AD1001" s="41">
        <f t="shared" si="810"/>
        <v>717.4875</v>
      </c>
      <c r="AE1001" s="42"/>
      <c r="AF1001" s="27"/>
      <c r="AG1001" s="43">
        <f t="shared" ref="AG1001:AG1004" si="815">IF(O1001="Paid",IF(A1001="Alwataniya",(M1001*21%)-((M1001*21%)*5%),IF((A1001="GIG"),(M1001*25%)-((M1001*25%)*5%),IF((A1001="Allianz"),(M1001*27%)-((M1001*27%)*5%),0))),0)</f>
        <v>1226.903625</v>
      </c>
      <c r="AH1001" s="29"/>
      <c r="AI1001" s="29"/>
      <c r="AJ1001" s="29"/>
      <c r="AK1001" s="29"/>
      <c r="AL1001" s="27"/>
      <c r="AM1001" s="27"/>
      <c r="AN1001" s="47"/>
      <c r="AO1001" s="46"/>
      <c r="AP1001" s="47"/>
      <c r="AQ1001" s="43">
        <f t="shared" si="814"/>
        <v>0</v>
      </c>
      <c r="AR1001" s="43">
        <f t="shared" si="448"/>
        <v>0</v>
      </c>
      <c r="AS1001" s="43">
        <f t="shared" si="449"/>
        <v>0</v>
      </c>
      <c r="AT1001" s="48">
        <f t="shared" si="753"/>
        <v>0</v>
      </c>
      <c r="AU1001" s="49">
        <f t="shared" si="800"/>
        <v>0</v>
      </c>
      <c r="AV1001" s="48"/>
      <c r="AW1001" s="34">
        <f t="shared" si="540"/>
        <v>4512.8925</v>
      </c>
      <c r="AX1001" s="50">
        <f t="shared" si="811"/>
        <v>509.416125</v>
      </c>
      <c r="AY1001" s="43"/>
      <c r="AZ1001" s="47"/>
      <c r="BA1001" s="48">
        <f t="shared" si="801"/>
        <v>0</v>
      </c>
      <c r="BB1001" s="27"/>
      <c r="BC1001" s="27"/>
      <c r="BD1001" s="51"/>
      <c r="BE1001" s="52"/>
      <c r="BF1001" s="27"/>
      <c r="BG1001" s="53">
        <v>0.0</v>
      </c>
      <c r="BH1001" s="53" t="str">
        <f>'[1]2023'!Q1202</f>
        <v>#REF!</v>
      </c>
      <c r="BI1001" s="27"/>
      <c r="BJ1001" s="27"/>
      <c r="BK1001" s="27" t="s">
        <v>76</v>
      </c>
      <c r="BL1001" s="27"/>
    </row>
    <row r="1002" ht="14.25" customHeight="1">
      <c r="A1002" s="26" t="s">
        <v>55</v>
      </c>
      <c r="B1002" s="26" t="s">
        <v>56</v>
      </c>
      <c r="C1002" s="26" t="s">
        <v>57</v>
      </c>
      <c r="D1002" s="26" t="s">
        <v>81</v>
      </c>
      <c r="E1002" s="27" t="s">
        <v>3253</v>
      </c>
      <c r="F1002" s="28" t="s">
        <v>3254</v>
      </c>
      <c r="G1002" s="29" t="s">
        <v>3252</v>
      </c>
      <c r="H1002" s="30">
        <v>45182.0</v>
      </c>
      <c r="I1002" s="30">
        <v>45547.0</v>
      </c>
      <c r="J1002" s="31">
        <v>0.0</v>
      </c>
      <c r="K1002" s="26" t="s">
        <v>475</v>
      </c>
      <c r="L1002" s="73" t="s">
        <v>926</v>
      </c>
      <c r="M1002" s="33">
        <v>29426.25</v>
      </c>
      <c r="N1002" s="34">
        <v>31450.53</v>
      </c>
      <c r="O1002" s="27" t="s">
        <v>76</v>
      </c>
      <c r="P1002" s="35" t="s">
        <v>142</v>
      </c>
      <c r="Q1002" s="35" t="s">
        <v>90</v>
      </c>
      <c r="R1002" s="36" t="e">
        <v>#VALUE!</v>
      </c>
      <c r="S1002" s="35" t="s">
        <v>86</v>
      </c>
      <c r="T1002" s="35">
        <v>0.0</v>
      </c>
      <c r="U1002" s="37" t="s">
        <v>67</v>
      </c>
      <c r="V1002" s="38"/>
      <c r="W1002" s="38"/>
      <c r="X1002" s="27"/>
      <c r="Y1002" s="39"/>
      <c r="Z1002" s="79" t="s">
        <v>208</v>
      </c>
      <c r="AA1002" s="39"/>
      <c r="AB1002" s="27"/>
      <c r="AC1002" s="27">
        <f t="shared" si="619"/>
        <v>0</v>
      </c>
      <c r="AD1002" s="41">
        <f t="shared" si="810"/>
        <v>4413.9375</v>
      </c>
      <c r="AE1002" s="42"/>
      <c r="AF1002" s="29">
        <v>44967.0</v>
      </c>
      <c r="AG1002" s="43">
        <f t="shared" si="815"/>
        <v>7547.833125</v>
      </c>
      <c r="AH1002" s="29"/>
      <c r="AI1002" s="29"/>
      <c r="AJ1002" s="29"/>
      <c r="AK1002" s="29"/>
      <c r="AL1002" s="27"/>
      <c r="AM1002" s="27"/>
      <c r="AN1002" s="47"/>
      <c r="AO1002" s="46"/>
      <c r="AP1002" s="47"/>
      <c r="AQ1002" s="43">
        <f t="shared" si="814"/>
        <v>7945.0875</v>
      </c>
      <c r="AR1002" s="43">
        <f t="shared" si="448"/>
        <v>397.254375</v>
      </c>
      <c r="AS1002" s="43">
        <f t="shared" si="449"/>
        <v>1390.390313</v>
      </c>
      <c r="AT1002" s="48">
        <f t="shared" si="753"/>
        <v>6157.442813</v>
      </c>
      <c r="AU1002" s="49">
        <f t="shared" si="800"/>
        <v>6157.442813</v>
      </c>
      <c r="AV1002" s="48"/>
      <c r="AW1002" s="34">
        <f t="shared" si="540"/>
        <v>27036.5925</v>
      </c>
      <c r="AX1002" s="50">
        <f t="shared" si="811"/>
        <v>1743.505313</v>
      </c>
      <c r="AY1002" s="43"/>
      <c r="AZ1002" s="47"/>
      <c r="BA1002" s="48">
        <f t="shared" si="801"/>
        <v>6157.442813</v>
      </c>
      <c r="BB1002" s="27"/>
      <c r="BC1002" s="27"/>
      <c r="BD1002" s="51"/>
      <c r="BE1002" s="52"/>
      <c r="BF1002" s="27"/>
      <c r="BG1002" s="53">
        <v>0.0</v>
      </c>
      <c r="BH1002" s="53" t="str">
        <f>'[1]2023'!Q1224</f>
        <v>#REF!</v>
      </c>
      <c r="BI1002" s="27"/>
      <c r="BJ1002" s="27"/>
      <c r="BK1002" s="27" t="s">
        <v>76</v>
      </c>
      <c r="BL1002" s="27"/>
    </row>
    <row r="1003" ht="14.25" customHeight="1">
      <c r="A1003" s="26" t="s">
        <v>55</v>
      </c>
      <c r="B1003" s="26" t="s">
        <v>56</v>
      </c>
      <c r="C1003" s="26" t="s">
        <v>57</v>
      </c>
      <c r="D1003" s="26" t="s">
        <v>81</v>
      </c>
      <c r="E1003" s="27" t="s">
        <v>3255</v>
      </c>
      <c r="F1003" s="28" t="s">
        <v>3256</v>
      </c>
      <c r="G1003" s="29" t="s">
        <v>3252</v>
      </c>
      <c r="H1003" s="30">
        <v>45182.0</v>
      </c>
      <c r="I1003" s="30">
        <v>45547.0</v>
      </c>
      <c r="J1003" s="31">
        <v>0.0</v>
      </c>
      <c r="K1003" s="26" t="s">
        <v>475</v>
      </c>
      <c r="L1003" s="102">
        <v>45025.0</v>
      </c>
      <c r="M1003" s="33">
        <v>111650.0</v>
      </c>
      <c r="N1003" s="34">
        <v>118936.6</v>
      </c>
      <c r="O1003" s="27" t="s">
        <v>76</v>
      </c>
      <c r="P1003" s="35" t="s">
        <v>89</v>
      </c>
      <c r="Q1003" s="35" t="s">
        <v>108</v>
      </c>
      <c r="R1003" s="36" t="e">
        <v>#VALUE!</v>
      </c>
      <c r="S1003" s="35" t="s">
        <v>86</v>
      </c>
      <c r="T1003" s="35">
        <v>0.0</v>
      </c>
      <c r="U1003" s="37" t="s">
        <v>67</v>
      </c>
      <c r="V1003" s="38"/>
      <c r="W1003" s="38"/>
      <c r="X1003" s="27"/>
      <c r="Y1003" s="39"/>
      <c r="Z1003" s="39"/>
      <c r="AA1003" s="39"/>
      <c r="AB1003" s="27"/>
      <c r="AC1003" s="27">
        <f t="shared" si="619"/>
        <v>0</v>
      </c>
      <c r="AD1003" s="41">
        <f t="shared" si="810"/>
        <v>16747.5</v>
      </c>
      <c r="AE1003" s="42"/>
      <c r="AF1003" s="27" t="s">
        <v>1312</v>
      </c>
      <c r="AG1003" s="43">
        <f t="shared" si="815"/>
        <v>28638.225</v>
      </c>
      <c r="AH1003" s="29"/>
      <c r="AI1003" s="29"/>
      <c r="AJ1003" s="29"/>
      <c r="AK1003" s="29"/>
      <c r="AL1003" s="27"/>
      <c r="AM1003" s="27"/>
      <c r="AN1003" s="47"/>
      <c r="AO1003" s="46"/>
      <c r="AP1003" s="47"/>
      <c r="AQ1003" s="43">
        <f t="shared" si="814"/>
        <v>30145.5</v>
      </c>
      <c r="AR1003" s="43">
        <f t="shared" si="448"/>
        <v>1507.275</v>
      </c>
      <c r="AS1003" s="43">
        <f t="shared" si="449"/>
        <v>5275.4625</v>
      </c>
      <c r="AT1003" s="48">
        <f t="shared" si="753"/>
        <v>23362.7625</v>
      </c>
      <c r="AU1003" s="49">
        <f t="shared" si="800"/>
        <v>23362.7625</v>
      </c>
      <c r="AV1003" s="48"/>
      <c r="AW1003" s="34">
        <f t="shared" si="540"/>
        <v>102189.1</v>
      </c>
      <c r="AX1003" s="50">
        <f t="shared" si="811"/>
        <v>6615.2625</v>
      </c>
      <c r="AY1003" s="43"/>
      <c r="AZ1003" s="47"/>
      <c r="BA1003" s="48">
        <f t="shared" si="801"/>
        <v>23362.7625</v>
      </c>
      <c r="BB1003" s="27"/>
      <c r="BC1003" s="27"/>
      <c r="BD1003" s="51"/>
      <c r="BE1003" s="52"/>
      <c r="BF1003" s="27"/>
      <c r="BG1003" s="53">
        <v>0.0</v>
      </c>
      <c r="BH1003" s="53" t="str">
        <f>'[1]2023'!Q1264</f>
        <v>#REF!</v>
      </c>
      <c r="BI1003" s="27"/>
      <c r="BJ1003" s="27"/>
      <c r="BK1003" s="27" t="s">
        <v>76</v>
      </c>
      <c r="BL1003" s="27"/>
    </row>
    <row r="1004" ht="14.25" customHeight="1">
      <c r="A1004" s="26" t="s">
        <v>55</v>
      </c>
      <c r="B1004" s="26" t="s">
        <v>56</v>
      </c>
      <c r="C1004" s="26" t="s">
        <v>57</v>
      </c>
      <c r="D1004" s="26" t="s">
        <v>81</v>
      </c>
      <c r="E1004" s="27" t="s">
        <v>3257</v>
      </c>
      <c r="F1004" s="28" t="s">
        <v>3258</v>
      </c>
      <c r="G1004" s="29">
        <v>45182.0</v>
      </c>
      <c r="H1004" s="30">
        <v>45182.0</v>
      </c>
      <c r="I1004" s="30">
        <v>45547.0</v>
      </c>
      <c r="J1004" s="31" t="s">
        <v>3259</v>
      </c>
      <c r="K1004" s="26" t="s">
        <v>475</v>
      </c>
      <c r="L1004" s="192">
        <v>45270.0</v>
      </c>
      <c r="M1004" s="33">
        <v>29942.5</v>
      </c>
      <c r="N1004" s="34">
        <v>31999.83</v>
      </c>
      <c r="O1004" s="27" t="s">
        <v>76</v>
      </c>
      <c r="P1004" s="35" t="s">
        <v>162</v>
      </c>
      <c r="Q1004" s="35" t="s">
        <v>85</v>
      </c>
      <c r="R1004" s="36">
        <v>45182.0</v>
      </c>
      <c r="S1004" s="35" t="s">
        <v>86</v>
      </c>
      <c r="T1004" s="35">
        <v>0.0</v>
      </c>
      <c r="U1004" s="37" t="s">
        <v>67</v>
      </c>
      <c r="V1004" s="38"/>
      <c r="W1004" s="38"/>
      <c r="X1004" s="27"/>
      <c r="Y1004" s="39"/>
      <c r="Z1004" s="39"/>
      <c r="AA1004" s="39"/>
      <c r="AB1004" s="27"/>
      <c r="AC1004" s="27">
        <f t="shared" si="619"/>
        <v>0</v>
      </c>
      <c r="AD1004" s="41">
        <f t="shared" si="810"/>
        <v>4491.375</v>
      </c>
      <c r="AE1004" s="42"/>
      <c r="AF1004" s="29">
        <v>44995.0</v>
      </c>
      <c r="AG1004" s="43">
        <f t="shared" si="815"/>
        <v>7680.25125</v>
      </c>
      <c r="AH1004" s="29"/>
      <c r="AI1004" s="29"/>
      <c r="AJ1004" s="29"/>
      <c r="AK1004" s="29"/>
      <c r="AL1004" s="27"/>
      <c r="AM1004" s="44"/>
      <c r="AN1004" s="47"/>
      <c r="AO1004" s="46"/>
      <c r="AP1004" s="47"/>
      <c r="AQ1004" s="43">
        <f t="shared" si="814"/>
        <v>8084.475</v>
      </c>
      <c r="AR1004" s="43">
        <f t="shared" si="448"/>
        <v>404.22375</v>
      </c>
      <c r="AS1004" s="43">
        <f t="shared" si="449"/>
        <v>1414.783125</v>
      </c>
      <c r="AT1004" s="48">
        <f t="shared" si="753"/>
        <v>6265.468125</v>
      </c>
      <c r="AU1004" s="49">
        <f t="shared" si="800"/>
        <v>6265.468125</v>
      </c>
      <c r="AV1004" s="48"/>
      <c r="AW1004" s="34">
        <f t="shared" si="540"/>
        <v>27508.455</v>
      </c>
      <c r="AX1004" s="50">
        <f t="shared" si="811"/>
        <v>1774.093125</v>
      </c>
      <c r="AY1004" s="43"/>
      <c r="AZ1004" s="47"/>
      <c r="BA1004" s="48">
        <f t="shared" si="801"/>
        <v>6265.468125</v>
      </c>
      <c r="BB1004" s="27"/>
      <c r="BC1004" s="27"/>
      <c r="BD1004" s="51"/>
      <c r="BE1004" s="52"/>
      <c r="BF1004" s="27"/>
      <c r="BG1004" s="53">
        <v>0.0</v>
      </c>
      <c r="BH1004" s="53" t="str">
        <f>'[1]2023'!Q1283</f>
        <v>#REF!</v>
      </c>
      <c r="BI1004" s="27"/>
      <c r="BJ1004" s="27"/>
      <c r="BK1004" s="27" t="s">
        <v>76</v>
      </c>
      <c r="BL1004" s="27"/>
    </row>
    <row r="1005" ht="14.25" customHeight="1">
      <c r="A1005" s="26" t="s">
        <v>111</v>
      </c>
      <c r="B1005" s="26" t="s">
        <v>56</v>
      </c>
      <c r="C1005" s="26" t="s">
        <v>57</v>
      </c>
      <c r="D1005" s="26" t="s">
        <v>71</v>
      </c>
      <c r="E1005" s="27" t="s">
        <v>3260</v>
      </c>
      <c r="F1005" s="28" t="s">
        <v>3261</v>
      </c>
      <c r="G1005" s="29">
        <v>45182.0</v>
      </c>
      <c r="H1005" s="30">
        <v>45182.0</v>
      </c>
      <c r="I1005" s="30">
        <v>45547.0</v>
      </c>
      <c r="J1005" s="31" t="s">
        <v>3262</v>
      </c>
      <c r="K1005" s="26" t="s">
        <v>475</v>
      </c>
      <c r="L1005" s="32" t="s">
        <v>497</v>
      </c>
      <c r="M1005" s="33">
        <v>33970.11</v>
      </c>
      <c r="N1005" s="34">
        <v>36400.0</v>
      </c>
      <c r="O1005" s="27" t="s">
        <v>76</v>
      </c>
      <c r="P1005" s="35">
        <v>0.0</v>
      </c>
      <c r="Q1005" s="35" t="s">
        <v>114</v>
      </c>
      <c r="R1005" s="36">
        <v>45191.0</v>
      </c>
      <c r="S1005" s="35" t="s">
        <v>1103</v>
      </c>
      <c r="T1005" s="35">
        <v>0.0</v>
      </c>
      <c r="U1005" s="37" t="s">
        <v>115</v>
      </c>
      <c r="V1005" s="38">
        <v>1400000.0</v>
      </c>
      <c r="W1005" s="38"/>
      <c r="X1005" s="27"/>
      <c r="Y1005" s="39"/>
      <c r="Z1005" s="79" t="s">
        <v>3263</v>
      </c>
      <c r="AA1005" s="39"/>
      <c r="AB1005" s="27"/>
      <c r="AC1005" s="27">
        <f t="shared" si="619"/>
        <v>0</v>
      </c>
      <c r="AD1005" s="41">
        <f t="shared" si="810"/>
        <v>0</v>
      </c>
      <c r="AE1005" s="42"/>
      <c r="AF1005" s="27"/>
      <c r="AG1005" s="43">
        <f>IF(O1005="Paid",IF(A1005="Alwataniya",(M1005*21%)-((M1005*21%)*5%),IF((A1005="GIG"),(M1005*25%)-((M1005*25%)*5%),IF((A1005="Allianz"),(M1005*27%)-((M1005*27%)*20%),0))),0)</f>
        <v>8067.901125</v>
      </c>
      <c r="AH1005" s="29" t="s">
        <v>1053</v>
      </c>
      <c r="AI1005" s="29">
        <v>44967.0</v>
      </c>
      <c r="AJ1005" s="29"/>
      <c r="AK1005" s="29">
        <v>44936.0</v>
      </c>
      <c r="AL1005" s="27"/>
      <c r="AM1005" s="44">
        <f t="shared" ref="AM1005:AM1006" si="816">IF((BD1005&lt;=2),AU1005*10%,(IF((BD1005=3),AU1005*20%,IF((BD1005=4),AU1005*20%,IF((BD1005&gt;=5),AU1005*30%,(IF((BD1005="lead"),AU1005*30%,0)))))))</f>
        <v>1316.341763</v>
      </c>
      <c r="AN1005" s="57">
        <v>44995.0</v>
      </c>
      <c r="AO1005" s="46"/>
      <c r="AP1005" s="47"/>
      <c r="AQ1005" s="43">
        <f t="shared" si="814"/>
        <v>8492.5275</v>
      </c>
      <c r="AR1005" s="43">
        <f t="shared" si="448"/>
        <v>424.626375</v>
      </c>
      <c r="AS1005" s="43">
        <f t="shared" si="449"/>
        <v>1486.192313</v>
      </c>
      <c r="AT1005" s="48">
        <f t="shared" si="753"/>
        <v>6581.708813</v>
      </c>
      <c r="AU1005" s="49">
        <f t="shared" si="800"/>
        <v>6581.708813</v>
      </c>
      <c r="AV1005" s="106">
        <f t="shared" ref="AV1005:AV1006" si="817">AU1005*10%</f>
        <v>658.1708813</v>
      </c>
      <c r="AW1005" s="34">
        <f t="shared" si="540"/>
        <v>36400</v>
      </c>
      <c r="AX1005" s="50">
        <f t="shared" si="811"/>
        <v>4607.196169</v>
      </c>
      <c r="AY1005" s="43"/>
      <c r="AZ1005" s="47"/>
      <c r="BA1005" s="48">
        <f t="shared" si="801"/>
        <v>5265.36705</v>
      </c>
      <c r="BB1005" s="27"/>
      <c r="BC1005" s="27"/>
      <c r="BD1005" s="51">
        <v>3.0</v>
      </c>
      <c r="BE1005" s="52"/>
      <c r="BF1005" s="27"/>
      <c r="BG1005" s="53">
        <v>0.0</v>
      </c>
      <c r="BH1005" s="53" t="str">
        <f>'[1]2023'!Q1301</f>
        <v>#REF!</v>
      </c>
      <c r="BI1005" s="27"/>
      <c r="BJ1005" s="27"/>
      <c r="BK1005" s="27" t="s">
        <v>76</v>
      </c>
      <c r="BL1005" s="27"/>
    </row>
    <row r="1006" ht="14.25" customHeight="1">
      <c r="A1006" s="26" t="s">
        <v>111</v>
      </c>
      <c r="B1006" s="26" t="s">
        <v>56</v>
      </c>
      <c r="C1006" s="26" t="s">
        <v>57</v>
      </c>
      <c r="D1006" s="26" t="s">
        <v>71</v>
      </c>
      <c r="E1006" s="27" t="s">
        <v>3264</v>
      </c>
      <c r="F1006" s="28" t="s">
        <v>3265</v>
      </c>
      <c r="G1006" s="29">
        <v>45182.0</v>
      </c>
      <c r="H1006" s="30">
        <v>45182.0</v>
      </c>
      <c r="I1006" s="30">
        <v>45547.0</v>
      </c>
      <c r="J1006" s="31" t="s">
        <v>3266</v>
      </c>
      <c r="K1006" s="26" t="s">
        <v>475</v>
      </c>
      <c r="L1006" s="32" t="s">
        <v>496</v>
      </c>
      <c r="M1006" s="33">
        <v>17095.11</v>
      </c>
      <c r="N1006" s="34">
        <v>18445.0</v>
      </c>
      <c r="O1006" s="27" t="s">
        <v>76</v>
      </c>
      <c r="P1006" s="35" t="s">
        <v>430</v>
      </c>
      <c r="Q1006" s="35" t="s">
        <v>114</v>
      </c>
      <c r="R1006" s="36">
        <v>45191.0</v>
      </c>
      <c r="S1006" s="35" t="s">
        <v>1103</v>
      </c>
      <c r="T1006" s="35">
        <v>0.0</v>
      </c>
      <c r="U1006" s="37" t="s">
        <v>149</v>
      </c>
      <c r="V1006" s="38">
        <v>850000.0</v>
      </c>
      <c r="W1006" s="38"/>
      <c r="X1006" s="27"/>
      <c r="Y1006" s="39"/>
      <c r="Z1006" s="79" t="s">
        <v>3267</v>
      </c>
      <c r="AA1006" s="39"/>
      <c r="AB1006" s="27"/>
      <c r="AC1006" s="27">
        <f t="shared" si="619"/>
        <v>0</v>
      </c>
      <c r="AD1006" s="41">
        <f t="shared" si="810"/>
        <v>0</v>
      </c>
      <c r="AE1006" s="42"/>
      <c r="AF1006" s="27"/>
      <c r="AG1006" s="43">
        <f>IF(O1006="Paid",IF(A1006="Alwataniya",(M1006*21%)-((M1006*21%)*5%),IF((A1006="GIG"),(M1006*15%)-((M1006*15%)*5%),IF((A1006="Allianz"),(M1006*27%)-((M1006*27%)*20%),0))),0)</f>
        <v>2436.053175</v>
      </c>
      <c r="AH1006" s="29" t="s">
        <v>3127</v>
      </c>
      <c r="AI1006" s="29" t="s">
        <v>3107</v>
      </c>
      <c r="AJ1006" s="29"/>
      <c r="AK1006" s="29" t="s">
        <v>1053</v>
      </c>
      <c r="AL1006" s="27"/>
      <c r="AM1006" s="44">
        <f t="shared" si="816"/>
        <v>397.4613075</v>
      </c>
      <c r="AN1006" s="57">
        <v>44995.0</v>
      </c>
      <c r="AO1006" s="46"/>
      <c r="AP1006" s="47"/>
      <c r="AQ1006" s="43">
        <f t="shared" si="814"/>
        <v>2564.2665</v>
      </c>
      <c r="AR1006" s="43">
        <f t="shared" si="448"/>
        <v>128.213325</v>
      </c>
      <c r="AS1006" s="43">
        <f t="shared" si="449"/>
        <v>448.7466375</v>
      </c>
      <c r="AT1006" s="48">
        <f t="shared" si="753"/>
        <v>1987.306538</v>
      </c>
      <c r="AU1006" s="49">
        <f t="shared" si="800"/>
        <v>1987.306538</v>
      </c>
      <c r="AV1006" s="106">
        <f t="shared" si="817"/>
        <v>198.7306538</v>
      </c>
      <c r="AW1006" s="34">
        <f t="shared" si="540"/>
        <v>18445</v>
      </c>
      <c r="AX1006" s="50">
        <f t="shared" si="811"/>
        <v>1391.114576</v>
      </c>
      <c r="AY1006" s="43"/>
      <c r="AZ1006" s="47"/>
      <c r="BA1006" s="48">
        <f t="shared" si="801"/>
        <v>1589.84523</v>
      </c>
      <c r="BB1006" s="27"/>
      <c r="BC1006" s="27"/>
      <c r="BD1006" s="51">
        <v>3.0</v>
      </c>
      <c r="BE1006" s="52"/>
      <c r="BF1006" s="27"/>
      <c r="BG1006" s="58" t="s">
        <v>3268</v>
      </c>
      <c r="BH1006" s="53" t="str">
        <f>'[1]2023'!Q1317</f>
        <v>#REF!</v>
      </c>
      <c r="BI1006" s="27"/>
      <c r="BJ1006" s="27"/>
      <c r="BK1006" s="27" t="s">
        <v>76</v>
      </c>
      <c r="BL1006" s="27"/>
    </row>
    <row r="1007" ht="14.25" customHeight="1">
      <c r="A1007" s="26" t="s">
        <v>68</v>
      </c>
      <c r="B1007" s="26" t="s">
        <v>56</v>
      </c>
      <c r="C1007" s="26" t="s">
        <v>57</v>
      </c>
      <c r="D1007" s="26" t="s">
        <v>71</v>
      </c>
      <c r="E1007" s="27" t="s">
        <v>3269</v>
      </c>
      <c r="F1007" s="28" t="s">
        <v>3270</v>
      </c>
      <c r="G1007" s="29">
        <v>45182.0</v>
      </c>
      <c r="H1007" s="30">
        <v>45182.0</v>
      </c>
      <c r="I1007" s="30">
        <v>45547.0</v>
      </c>
      <c r="J1007" s="31" t="s">
        <v>3271</v>
      </c>
      <c r="K1007" s="26" t="s">
        <v>475</v>
      </c>
      <c r="L1007" s="32" t="s">
        <v>496</v>
      </c>
      <c r="M1007" s="33">
        <v>26182.69</v>
      </c>
      <c r="N1007" s="34">
        <v>28000.0</v>
      </c>
      <c r="O1007" s="27" t="s">
        <v>76</v>
      </c>
      <c r="P1007" s="35" t="s">
        <v>430</v>
      </c>
      <c r="Q1007" s="35">
        <v>0.0</v>
      </c>
      <c r="R1007" s="36">
        <v>45201.0</v>
      </c>
      <c r="S1007" s="35" t="s">
        <v>66</v>
      </c>
      <c r="T1007" s="35">
        <v>0.0</v>
      </c>
      <c r="U1007" s="37" t="s">
        <v>68</v>
      </c>
      <c r="V1007" s="38">
        <v>1400000.0</v>
      </c>
      <c r="W1007" s="38"/>
      <c r="X1007" s="27"/>
      <c r="Y1007" s="39"/>
      <c r="Z1007" s="79" t="s">
        <v>3272</v>
      </c>
      <c r="AA1007" s="39"/>
      <c r="AB1007" s="27"/>
      <c r="AC1007" s="27">
        <f t="shared" si="619"/>
        <v>0</v>
      </c>
      <c r="AD1007" s="41">
        <f t="shared" si="810"/>
        <v>0</v>
      </c>
      <c r="AE1007" s="42"/>
      <c r="AF1007" s="27"/>
      <c r="AG1007" s="43">
        <f>M1007*28%-((M1007*28%)*5%)</f>
        <v>6964.59554</v>
      </c>
      <c r="AH1007" s="29"/>
      <c r="AI1007" s="29" t="s">
        <v>1324</v>
      </c>
      <c r="AJ1007" s="55">
        <v>0.28</v>
      </c>
      <c r="AK1007" s="29" t="s">
        <v>1325</v>
      </c>
      <c r="AL1007" s="27"/>
      <c r="AM1007" s="76">
        <f>((M1007*28%)-AC1007-((M1007*28%)*22.5%))*30%</f>
        <v>1704.493119</v>
      </c>
      <c r="AN1007" s="63" t="s">
        <v>1730</v>
      </c>
      <c r="AO1007" s="46"/>
      <c r="AP1007" s="47"/>
      <c r="AQ1007" s="43">
        <f t="shared" si="814"/>
        <v>7331.1532</v>
      </c>
      <c r="AR1007" s="43">
        <f t="shared" si="448"/>
        <v>366.55766</v>
      </c>
      <c r="AS1007" s="43">
        <f t="shared" si="449"/>
        <v>1282.95181</v>
      </c>
      <c r="AT1007" s="48">
        <f t="shared" si="753"/>
        <v>5681.64373</v>
      </c>
      <c r="AU1007" s="49">
        <f t="shared" si="800"/>
        <v>5681.64373</v>
      </c>
      <c r="AV1007" s="48"/>
      <c r="AW1007" s="34">
        <f t="shared" si="540"/>
        <v>28000</v>
      </c>
      <c r="AX1007" s="50">
        <f t="shared" si="811"/>
        <v>3977.150611</v>
      </c>
      <c r="AY1007" s="43"/>
      <c r="AZ1007" s="47"/>
      <c r="BA1007" s="48">
        <f t="shared" si="801"/>
        <v>3977.150611</v>
      </c>
      <c r="BB1007" s="27"/>
      <c r="BC1007" s="27"/>
      <c r="BD1007" s="51"/>
      <c r="BE1007" s="52"/>
      <c r="BF1007" s="27"/>
      <c r="BG1007" s="53">
        <v>0.0</v>
      </c>
      <c r="BH1007" s="53" t="str">
        <f>'[1]2023'!Q1320</f>
        <v>#REF!</v>
      </c>
      <c r="BI1007" s="27"/>
      <c r="BJ1007" s="27"/>
      <c r="BK1007" s="27" t="s">
        <v>76</v>
      </c>
      <c r="BL1007" s="27"/>
    </row>
    <row r="1008" ht="14.25" customHeight="1">
      <c r="A1008" s="26" t="s">
        <v>55</v>
      </c>
      <c r="B1008" s="26" t="s">
        <v>56</v>
      </c>
      <c r="C1008" s="26" t="s">
        <v>57</v>
      </c>
      <c r="D1008" s="26" t="s">
        <v>58</v>
      </c>
      <c r="E1008" s="27" t="s">
        <v>3273</v>
      </c>
      <c r="F1008" s="28" t="s">
        <v>3274</v>
      </c>
      <c r="G1008" s="29">
        <v>45182.0</v>
      </c>
      <c r="H1008" s="30">
        <v>45182.0</v>
      </c>
      <c r="I1008" s="30">
        <v>45547.0</v>
      </c>
      <c r="J1008" s="31">
        <v>0.0</v>
      </c>
      <c r="K1008" s="26" t="s">
        <v>475</v>
      </c>
      <c r="L1008" s="32" t="s">
        <v>3275</v>
      </c>
      <c r="M1008" s="33">
        <v>13056.13</v>
      </c>
      <c r="N1008" s="34">
        <v>13826.45</v>
      </c>
      <c r="O1008" s="27" t="s">
        <v>76</v>
      </c>
      <c r="P1008" s="35" t="s">
        <v>89</v>
      </c>
      <c r="Q1008" s="35" t="s">
        <v>108</v>
      </c>
      <c r="R1008" s="36">
        <v>45182.0</v>
      </c>
      <c r="S1008" s="35" t="s">
        <v>66</v>
      </c>
      <c r="T1008" s="35">
        <v>0.0</v>
      </c>
      <c r="U1008" s="37" t="s">
        <v>67</v>
      </c>
      <c r="V1008" s="38">
        <v>1700000.0</v>
      </c>
      <c r="W1008" s="78">
        <v>54259.0</v>
      </c>
      <c r="X1008" s="27"/>
      <c r="Y1008" s="39"/>
      <c r="Z1008" s="79" t="s">
        <v>476</v>
      </c>
      <c r="AA1008" s="39"/>
      <c r="AB1008" s="27"/>
      <c r="AC1008" s="27">
        <f t="shared" si="619"/>
        <v>0</v>
      </c>
      <c r="AD1008" s="41">
        <f t="shared" si="810"/>
        <v>0</v>
      </c>
      <c r="AE1008" s="42"/>
      <c r="AF1008" s="27"/>
      <c r="AG1008" s="43">
        <f t="shared" ref="AG1008:AG1010" si="818">IF(O1008="Paid",IF(A1008="Alwataniya",(M1008*21%)-((M1008*21%)*5%),IF((A1008="GIG"),(M1008*25%)-((M1008*25%)*5%),IF((A1008="Allianz"),(M1008*27%)-((M1008*27%)*5%),0))),0)</f>
        <v>3348.897345</v>
      </c>
      <c r="AH1008" s="29"/>
      <c r="AI1008" s="29"/>
      <c r="AJ1008" s="29"/>
      <c r="AK1008" s="29"/>
      <c r="AL1008" s="27"/>
      <c r="AM1008" s="44">
        <f>IF((BD1008&lt;=2),AU1008*10%,(IF((BD1008=3),AU1008*20%,IF((BD1008=4),AU1008*20%,IF((BD1008&gt;=5),AU1008*30%,(IF((BD1008="lead"),AU1008*30%,0)))))))</f>
        <v>273.1995203</v>
      </c>
      <c r="AN1008" s="68"/>
      <c r="AO1008" s="46"/>
      <c r="AP1008" s="47"/>
      <c r="AQ1008" s="43">
        <f t="shared" si="814"/>
        <v>3525.1551</v>
      </c>
      <c r="AR1008" s="43">
        <f t="shared" si="448"/>
        <v>176.257755</v>
      </c>
      <c r="AS1008" s="43">
        <f t="shared" si="449"/>
        <v>616.9021425</v>
      </c>
      <c r="AT1008" s="48">
        <f t="shared" si="753"/>
        <v>2731.995203</v>
      </c>
      <c r="AU1008" s="49">
        <f t="shared" si="800"/>
        <v>2731.995203</v>
      </c>
      <c r="AV1008" s="48"/>
      <c r="AW1008" s="34">
        <f t="shared" si="540"/>
        <v>13826.45</v>
      </c>
      <c r="AX1008" s="50">
        <f t="shared" si="811"/>
        <v>2458.795682</v>
      </c>
      <c r="AY1008" s="43"/>
      <c r="AZ1008" s="47"/>
      <c r="BA1008" s="48">
        <f t="shared" si="801"/>
        <v>2458.795682</v>
      </c>
      <c r="BB1008" s="27"/>
      <c r="BC1008" s="27"/>
      <c r="BD1008" s="51"/>
      <c r="BE1008" s="52"/>
      <c r="BF1008" s="27"/>
      <c r="BG1008" s="58" t="s">
        <v>562</v>
      </c>
      <c r="BH1008" s="53" t="str">
        <f>'[1]2023'!Q1323</f>
        <v>#REF!</v>
      </c>
      <c r="BI1008" s="27"/>
      <c r="BJ1008" s="27"/>
      <c r="BK1008" s="27" t="s">
        <v>76</v>
      </c>
      <c r="BL1008" s="27"/>
    </row>
    <row r="1009" ht="14.25" customHeight="1">
      <c r="A1009" s="26" t="s">
        <v>55</v>
      </c>
      <c r="B1009" s="26" t="s">
        <v>56</v>
      </c>
      <c r="C1009" s="26" t="s">
        <v>57</v>
      </c>
      <c r="D1009" s="26" t="s">
        <v>81</v>
      </c>
      <c r="E1009" s="27" t="s">
        <v>3276</v>
      </c>
      <c r="F1009" s="28" t="s">
        <v>3277</v>
      </c>
      <c r="G1009" s="29">
        <v>45182.0</v>
      </c>
      <c r="H1009" s="30">
        <v>45182.0</v>
      </c>
      <c r="I1009" s="30">
        <v>45547.0</v>
      </c>
      <c r="J1009" s="31" t="s">
        <v>3278</v>
      </c>
      <c r="K1009" s="26" t="s">
        <v>475</v>
      </c>
      <c r="L1009" s="192">
        <v>45270.0</v>
      </c>
      <c r="M1009" s="33">
        <v>26550.0</v>
      </c>
      <c r="N1009" s="34">
        <v>28390.2</v>
      </c>
      <c r="O1009" s="27" t="s">
        <v>76</v>
      </c>
      <c r="P1009" s="35" t="s">
        <v>142</v>
      </c>
      <c r="Q1009" s="35" t="s">
        <v>90</v>
      </c>
      <c r="R1009" s="36">
        <v>45182.0</v>
      </c>
      <c r="S1009" s="35" t="s">
        <v>86</v>
      </c>
      <c r="T1009" s="35">
        <v>0.0</v>
      </c>
      <c r="U1009" s="37" t="s">
        <v>67</v>
      </c>
      <c r="V1009" s="38">
        <v>1500000.0</v>
      </c>
      <c r="W1009" s="78">
        <v>2395.0</v>
      </c>
      <c r="X1009" s="27">
        <v>2021.0</v>
      </c>
      <c r="Y1009" s="79" t="s">
        <v>2641</v>
      </c>
      <c r="Z1009" s="79" t="s">
        <v>208</v>
      </c>
      <c r="AA1009" s="39">
        <v>2676384.0</v>
      </c>
      <c r="AB1009" s="27"/>
      <c r="AC1009" s="27">
        <f t="shared" si="619"/>
        <v>0</v>
      </c>
      <c r="AD1009" s="41">
        <f t="shared" si="810"/>
        <v>3982.5</v>
      </c>
      <c r="AE1009" s="42"/>
      <c r="AF1009" s="29">
        <v>45240.0</v>
      </c>
      <c r="AG1009" s="43">
        <f t="shared" si="818"/>
        <v>6810.075</v>
      </c>
      <c r="AH1009" s="29"/>
      <c r="AI1009" s="29"/>
      <c r="AJ1009" s="29"/>
      <c r="AK1009" s="29"/>
      <c r="AL1009" s="27"/>
      <c r="AM1009" s="44"/>
      <c r="AN1009" s="47"/>
      <c r="AO1009" s="46"/>
      <c r="AP1009" s="47"/>
      <c r="AQ1009" s="43">
        <f t="shared" si="814"/>
        <v>7168.5</v>
      </c>
      <c r="AR1009" s="43">
        <f t="shared" si="448"/>
        <v>358.425</v>
      </c>
      <c r="AS1009" s="43">
        <f t="shared" si="449"/>
        <v>1254.4875</v>
      </c>
      <c r="AT1009" s="48">
        <f t="shared" si="753"/>
        <v>5555.5875</v>
      </c>
      <c r="AU1009" s="49">
        <f t="shared" si="800"/>
        <v>5555.5875</v>
      </c>
      <c r="AV1009" s="48"/>
      <c r="AW1009" s="34">
        <f t="shared" si="540"/>
        <v>24407.7</v>
      </c>
      <c r="AX1009" s="50">
        <f t="shared" si="811"/>
        <v>1573.0875</v>
      </c>
      <c r="AY1009" s="43"/>
      <c r="AZ1009" s="47"/>
      <c r="BA1009" s="48">
        <f t="shared" si="801"/>
        <v>5555.5875</v>
      </c>
      <c r="BB1009" s="27"/>
      <c r="BC1009" s="27"/>
      <c r="BD1009" s="51"/>
      <c r="BE1009" s="52"/>
      <c r="BF1009" s="27"/>
      <c r="BG1009" s="53">
        <v>0.0</v>
      </c>
      <c r="BH1009" s="53" t="str">
        <f>'[1]2023'!Q1393</f>
        <v>#REF!</v>
      </c>
      <c r="BI1009" s="27"/>
      <c r="BJ1009" s="27"/>
      <c r="BK1009" s="27" t="s">
        <v>76</v>
      </c>
      <c r="BL1009" s="27"/>
    </row>
    <row r="1010" ht="14.25" customHeight="1">
      <c r="A1010" s="26" t="s">
        <v>55</v>
      </c>
      <c r="B1010" s="26" t="s">
        <v>56</v>
      </c>
      <c r="C1010" s="26" t="s">
        <v>57</v>
      </c>
      <c r="D1010" s="26" t="s">
        <v>81</v>
      </c>
      <c r="E1010" s="27" t="s">
        <v>3279</v>
      </c>
      <c r="F1010" s="198" t="s">
        <v>3280</v>
      </c>
      <c r="G1010" s="29">
        <v>45182.0</v>
      </c>
      <c r="H1010" s="30">
        <v>45182.0</v>
      </c>
      <c r="I1010" s="30">
        <v>45547.0</v>
      </c>
      <c r="J1010" s="31" t="s">
        <v>3281</v>
      </c>
      <c r="K1010" s="26" t="s">
        <v>475</v>
      </c>
      <c r="L1010" s="89">
        <v>45265.0</v>
      </c>
      <c r="M1010" s="33">
        <v>27300.0</v>
      </c>
      <c r="N1010" s="34">
        <v>29188.2</v>
      </c>
      <c r="O1010" s="27" t="s">
        <v>76</v>
      </c>
      <c r="P1010" s="35" t="s">
        <v>89</v>
      </c>
      <c r="Q1010" s="35">
        <v>0.0</v>
      </c>
      <c r="R1010" s="36">
        <v>45182.0</v>
      </c>
      <c r="S1010" s="35" t="s">
        <v>86</v>
      </c>
      <c r="T1010" s="35">
        <v>0.0</v>
      </c>
      <c r="U1010" s="37">
        <v>0.0</v>
      </c>
      <c r="V1010" s="38"/>
      <c r="W1010" s="78"/>
      <c r="X1010" s="27"/>
      <c r="Y1010" s="39"/>
      <c r="Z1010" s="39"/>
      <c r="AA1010" s="39"/>
      <c r="AB1010" s="27"/>
      <c r="AC1010" s="27">
        <f t="shared" si="619"/>
        <v>0</v>
      </c>
      <c r="AD1010" s="41">
        <f t="shared" si="810"/>
        <v>4095</v>
      </c>
      <c r="AE1010" s="42"/>
      <c r="AF1010" s="27"/>
      <c r="AG1010" s="43">
        <f t="shared" si="818"/>
        <v>7002.45</v>
      </c>
      <c r="AH1010" s="29"/>
      <c r="AI1010" s="29"/>
      <c r="AJ1010" s="29"/>
      <c r="AK1010" s="29"/>
      <c r="AL1010" s="27"/>
      <c r="AM1010" s="44"/>
      <c r="AN1010" s="47"/>
      <c r="AO1010" s="46"/>
      <c r="AP1010" s="47"/>
      <c r="AQ1010" s="43">
        <f t="shared" ref="AQ1010:AQ1011" si="819">IF(O1010="Paid",IF(U1010="Motor Plus",(M1010*27%),IF(U1010="Motor One",(M1010*22%),(IF(U1010="Golden",(M1010*25%),(IF(U1010="Classic",(M1010*15%),(IF(U1010="Wethaq",(M1010*28%),IF(U1010="Alwataniya",(M1010*21%))*0)))))))))</f>
        <v>0</v>
      </c>
      <c r="AR1010" s="43">
        <f t="shared" si="448"/>
        <v>0</v>
      </c>
      <c r="AS1010" s="43">
        <f t="shared" si="449"/>
        <v>0</v>
      </c>
      <c r="AT1010" s="48">
        <f t="shared" si="753"/>
        <v>0</v>
      </c>
      <c r="AU1010" s="49">
        <f t="shared" si="800"/>
        <v>0</v>
      </c>
      <c r="AV1010" s="48"/>
      <c r="AW1010" s="34">
        <f t="shared" si="540"/>
        <v>25093.2</v>
      </c>
      <c r="AX1010" s="50">
        <f t="shared" si="811"/>
        <v>2907.45</v>
      </c>
      <c r="AY1010" s="43"/>
      <c r="AZ1010" s="47"/>
      <c r="BA1010" s="48">
        <f t="shared" si="801"/>
        <v>0</v>
      </c>
      <c r="BB1010" s="27"/>
      <c r="BC1010" s="27"/>
      <c r="BD1010" s="51"/>
      <c r="BE1010" s="52"/>
      <c r="BF1010" s="27"/>
      <c r="BG1010" s="58" t="s">
        <v>3008</v>
      </c>
      <c r="BH1010" s="53" t="str">
        <f>'[1]2023'!Q1425</f>
        <v>#REF!</v>
      </c>
      <c r="BI1010" s="27"/>
      <c r="BJ1010" s="27"/>
      <c r="BK1010" s="27" t="s">
        <v>76</v>
      </c>
      <c r="BL1010" s="27"/>
    </row>
    <row r="1011" ht="14.25" customHeight="1">
      <c r="A1011" s="26" t="s">
        <v>111</v>
      </c>
      <c r="B1011" s="26" t="s">
        <v>56</v>
      </c>
      <c r="C1011" s="26" t="s">
        <v>57</v>
      </c>
      <c r="D1011" s="26" t="s">
        <v>71</v>
      </c>
      <c r="E1011" s="27" t="s">
        <v>3282</v>
      </c>
      <c r="F1011" s="28" t="s">
        <v>3283</v>
      </c>
      <c r="G1011" s="29">
        <v>45183.0</v>
      </c>
      <c r="H1011" s="30">
        <v>45183.0</v>
      </c>
      <c r="I1011" s="30">
        <v>45548.0</v>
      </c>
      <c r="J1011" s="31" t="s">
        <v>3284</v>
      </c>
      <c r="K1011" s="26" t="s">
        <v>475</v>
      </c>
      <c r="L1011" s="32" t="s">
        <v>63</v>
      </c>
      <c r="M1011" s="33">
        <v>20154.32</v>
      </c>
      <c r="N1011" s="34">
        <v>21700.0</v>
      </c>
      <c r="O1011" s="27" t="s">
        <v>64</v>
      </c>
      <c r="P1011" s="35">
        <v>0.0</v>
      </c>
      <c r="Q1011" s="35" t="s">
        <v>114</v>
      </c>
      <c r="R1011" s="36">
        <v>45192.0</v>
      </c>
      <c r="S1011" s="35" t="s">
        <v>676</v>
      </c>
      <c r="T1011" s="35">
        <v>0.0</v>
      </c>
      <c r="U1011" s="37" t="s">
        <v>149</v>
      </c>
      <c r="V1011" s="38">
        <v>1000000.0</v>
      </c>
      <c r="W1011" s="38"/>
      <c r="X1011" s="27"/>
      <c r="Y1011" s="39"/>
      <c r="Z1011" s="79" t="s">
        <v>3285</v>
      </c>
      <c r="AA1011" s="39"/>
      <c r="AB1011" s="27"/>
      <c r="AC1011" s="27">
        <f t="shared" si="619"/>
        <v>0</v>
      </c>
      <c r="AD1011" s="41">
        <f t="shared" si="810"/>
        <v>0</v>
      </c>
      <c r="AE1011" s="42"/>
      <c r="AF1011" s="27"/>
      <c r="AG1011" s="43">
        <f>IF(O1011="Paid",IF(A1011="Alwataniya",(M1011*21%)-((M1011*21%)*5%),IF((A1011="GIG"),(M1011*25%)-((M1011*25%)*5%),IF((A1011="Allianz"),(M1011*27%)-((M1011*27%)*20%),0))),0)</f>
        <v>0</v>
      </c>
      <c r="AH1011" s="29"/>
      <c r="AI1011" s="29"/>
      <c r="AJ1011" s="29"/>
      <c r="AK1011" s="29"/>
      <c r="AL1011" s="27"/>
      <c r="AM1011" s="44"/>
      <c r="AN1011" s="47"/>
      <c r="AO1011" s="46"/>
      <c r="AP1011" s="47"/>
      <c r="AQ1011" s="43" t="b">
        <f t="shared" si="819"/>
        <v>0</v>
      </c>
      <c r="AR1011" s="43">
        <f t="shared" si="448"/>
        <v>0</v>
      </c>
      <c r="AS1011" s="43">
        <f t="shared" si="449"/>
        <v>0</v>
      </c>
      <c r="AT1011" s="48">
        <f t="shared" si="753"/>
        <v>0</v>
      </c>
      <c r="AU1011" s="49">
        <f t="shared" si="800"/>
        <v>0</v>
      </c>
      <c r="AV1011" s="48"/>
      <c r="AW1011" s="34">
        <f t="shared" si="540"/>
        <v>21700</v>
      </c>
      <c r="AX1011" s="50">
        <f t="shared" si="811"/>
        <v>0</v>
      </c>
      <c r="AY1011" s="43"/>
      <c r="AZ1011" s="47"/>
      <c r="BA1011" s="48">
        <f t="shared" si="801"/>
        <v>0</v>
      </c>
      <c r="BB1011" s="27"/>
      <c r="BC1011" s="27"/>
      <c r="BD1011" s="51"/>
      <c r="BE1011" s="52"/>
      <c r="BF1011" s="27"/>
      <c r="BG1011" s="58" t="s">
        <v>3286</v>
      </c>
      <c r="BH1011" s="53" t="str">
        <f>'[1]2023'!Q1312</f>
        <v>#REF!</v>
      </c>
      <c r="BI1011" s="27"/>
      <c r="BJ1011" s="27"/>
      <c r="BK1011" s="27" t="s">
        <v>64</v>
      </c>
      <c r="BL1011" s="27"/>
    </row>
    <row r="1012" ht="14.25" customHeight="1">
      <c r="A1012" s="26" t="s">
        <v>68</v>
      </c>
      <c r="B1012" s="26" t="s">
        <v>56</v>
      </c>
      <c r="C1012" s="26" t="s">
        <v>57</v>
      </c>
      <c r="D1012" s="26" t="s">
        <v>71</v>
      </c>
      <c r="E1012" s="27" t="s">
        <v>3287</v>
      </c>
      <c r="F1012" s="28" t="s">
        <v>3288</v>
      </c>
      <c r="G1012" s="29">
        <v>45183.0</v>
      </c>
      <c r="H1012" s="30">
        <v>45183.0</v>
      </c>
      <c r="I1012" s="30">
        <v>45548.0</v>
      </c>
      <c r="J1012" s="31" t="s">
        <v>3289</v>
      </c>
      <c r="K1012" s="26" t="s">
        <v>475</v>
      </c>
      <c r="L1012" s="32" t="s">
        <v>3209</v>
      </c>
      <c r="M1012" s="33">
        <v>50374.52</v>
      </c>
      <c r="N1012" s="34">
        <v>54000.0</v>
      </c>
      <c r="O1012" s="27" t="s">
        <v>76</v>
      </c>
      <c r="P1012" s="35" t="s">
        <v>430</v>
      </c>
      <c r="Q1012" s="35">
        <v>0.0</v>
      </c>
      <c r="R1012" s="36">
        <v>45202.0</v>
      </c>
      <c r="S1012" s="35" t="s">
        <v>66</v>
      </c>
      <c r="T1012" s="35">
        <v>0.0</v>
      </c>
      <c r="U1012" s="37" t="s">
        <v>68</v>
      </c>
      <c r="V1012" s="38">
        <v>3000000.0</v>
      </c>
      <c r="W1012" s="38"/>
      <c r="X1012" s="27"/>
      <c r="Y1012" s="39"/>
      <c r="Z1012" s="79" t="s">
        <v>3290</v>
      </c>
      <c r="AA1012" s="39"/>
      <c r="AB1012" s="27"/>
      <c r="AC1012" s="27">
        <f t="shared" si="619"/>
        <v>0</v>
      </c>
      <c r="AD1012" s="41">
        <f t="shared" si="810"/>
        <v>0</v>
      </c>
      <c r="AE1012" s="42"/>
      <c r="AF1012" s="27"/>
      <c r="AG1012" s="43">
        <f>M1012*28%-((M1012*28%)*5%)</f>
        <v>13399.62232</v>
      </c>
      <c r="AH1012" s="29"/>
      <c r="AI1012" s="29" t="s">
        <v>1324</v>
      </c>
      <c r="AJ1012" s="55">
        <v>0.28</v>
      </c>
      <c r="AK1012" s="29" t="s">
        <v>1325</v>
      </c>
      <c r="AL1012" s="27"/>
      <c r="AM1012" s="46">
        <f>((M1012*28%)-AC1012-((M1012*28%)*22.5%))*30%</f>
        <v>3279.381252</v>
      </c>
      <c r="AN1012" s="63" t="s">
        <v>1730</v>
      </c>
      <c r="AO1012" s="46"/>
      <c r="AP1012" s="47"/>
      <c r="AQ1012" s="43">
        <f t="shared" ref="AQ1012:AQ1013" si="820">IF(U1012="Motor Plus",(M1012*27%),IF(U1012="Motor One",(M1012*22%),(IF(U1012="Golden",(M1012*25%),(IF(U1012="Classic",(M1012*15%),(IF(U1012="Wethaq",(M1012*28%),IF(U1012="Alwataniya",(M1012*21%))*0))))))))</f>
        <v>14104.8656</v>
      </c>
      <c r="AR1012" s="43">
        <f t="shared" si="448"/>
        <v>705.24328</v>
      </c>
      <c r="AS1012" s="43">
        <f t="shared" si="449"/>
        <v>2468.35148</v>
      </c>
      <c r="AT1012" s="48">
        <f t="shared" si="753"/>
        <v>10931.27084</v>
      </c>
      <c r="AU1012" s="49">
        <f t="shared" si="800"/>
        <v>10931.27084</v>
      </c>
      <c r="AV1012" s="48"/>
      <c r="AW1012" s="34">
        <f t="shared" si="540"/>
        <v>54000</v>
      </c>
      <c r="AX1012" s="50">
        <f t="shared" si="811"/>
        <v>7651.889588</v>
      </c>
      <c r="AY1012" s="43"/>
      <c r="AZ1012" s="47"/>
      <c r="BA1012" s="48">
        <f t="shared" si="801"/>
        <v>7651.889588</v>
      </c>
      <c r="BB1012" s="27"/>
      <c r="BC1012" s="27"/>
      <c r="BD1012" s="51"/>
      <c r="BE1012" s="52"/>
      <c r="BF1012" s="27"/>
      <c r="BG1012" s="53">
        <v>0.0</v>
      </c>
      <c r="BH1012" s="53" t="str">
        <f>'[1]2023'!Q1318</f>
        <v>#REF!</v>
      </c>
      <c r="BI1012" s="27"/>
      <c r="BJ1012" s="27"/>
      <c r="BK1012" s="27" t="s">
        <v>76</v>
      </c>
      <c r="BL1012" s="27"/>
    </row>
    <row r="1013" ht="14.25" customHeight="1">
      <c r="A1013" s="26" t="s">
        <v>55</v>
      </c>
      <c r="B1013" s="26" t="s">
        <v>56</v>
      </c>
      <c r="C1013" s="26" t="s">
        <v>57</v>
      </c>
      <c r="D1013" s="26" t="s">
        <v>81</v>
      </c>
      <c r="E1013" s="27" t="s">
        <v>3291</v>
      </c>
      <c r="F1013" s="28" t="s">
        <v>3292</v>
      </c>
      <c r="G1013" s="29">
        <v>45183.0</v>
      </c>
      <c r="H1013" s="30">
        <v>45183.0</v>
      </c>
      <c r="I1013" s="30">
        <v>45548.0</v>
      </c>
      <c r="J1013" s="31" t="s">
        <v>3293</v>
      </c>
      <c r="K1013" s="26" t="s">
        <v>475</v>
      </c>
      <c r="L1013" s="32" t="s">
        <v>3294</v>
      </c>
      <c r="M1013" s="33">
        <v>27600.0</v>
      </c>
      <c r="N1013" s="34">
        <v>29507.4</v>
      </c>
      <c r="O1013" s="27" t="s">
        <v>76</v>
      </c>
      <c r="P1013" s="35" t="s">
        <v>95</v>
      </c>
      <c r="Q1013" s="35" t="s">
        <v>108</v>
      </c>
      <c r="R1013" s="36">
        <v>45183.0</v>
      </c>
      <c r="S1013" s="35" t="s">
        <v>86</v>
      </c>
      <c r="T1013" s="35">
        <v>0.0</v>
      </c>
      <c r="U1013" s="37" t="s">
        <v>67</v>
      </c>
      <c r="V1013" s="38">
        <v>800000.0</v>
      </c>
      <c r="W1013" s="78">
        <v>196820.0</v>
      </c>
      <c r="X1013" s="27">
        <v>2017.0</v>
      </c>
      <c r="Y1013" s="79" t="s">
        <v>3295</v>
      </c>
      <c r="Z1013" s="79" t="s">
        <v>1155</v>
      </c>
      <c r="AA1013" s="39"/>
      <c r="AB1013" s="27"/>
      <c r="AC1013" s="27">
        <f t="shared" si="619"/>
        <v>0</v>
      </c>
      <c r="AD1013" s="41">
        <f t="shared" si="810"/>
        <v>4140</v>
      </c>
      <c r="AE1013" s="42"/>
      <c r="AF1013" s="27" t="s">
        <v>3296</v>
      </c>
      <c r="AG1013" s="43">
        <f>IF(O1013="Paid",IF(A1013="Alwataniya",(M1013*21%)-((M1013*21%)*5%),IF((A1013="GIG"),(M1013*25%)-((M1013*25%)*5%),IF((A1013="Allianz"),(M1013*27%)-((M1013*27%)*5%),0))),0)</f>
        <v>7079.4</v>
      </c>
      <c r="AH1013" s="29"/>
      <c r="AI1013" s="29"/>
      <c r="AJ1013" s="29"/>
      <c r="AK1013" s="29"/>
      <c r="AL1013" s="27"/>
      <c r="AM1013" s="27"/>
      <c r="AN1013" s="47"/>
      <c r="AO1013" s="76"/>
      <c r="AP1013" s="47"/>
      <c r="AQ1013" s="43">
        <f t="shared" si="820"/>
        <v>7452</v>
      </c>
      <c r="AR1013" s="43">
        <f t="shared" si="448"/>
        <v>372.6</v>
      </c>
      <c r="AS1013" s="43">
        <f t="shared" si="449"/>
        <v>1304.1</v>
      </c>
      <c r="AT1013" s="48">
        <f t="shared" si="753"/>
        <v>5775.3</v>
      </c>
      <c r="AU1013" s="49">
        <f t="shared" si="800"/>
        <v>5775.3</v>
      </c>
      <c r="AV1013" s="48"/>
      <c r="AW1013" s="34">
        <f t="shared" si="540"/>
        <v>25367.4</v>
      </c>
      <c r="AX1013" s="50">
        <f t="shared" si="811"/>
        <v>1635.3</v>
      </c>
      <c r="AY1013" s="43"/>
      <c r="AZ1013" s="47"/>
      <c r="BA1013" s="48">
        <f t="shared" si="801"/>
        <v>5775.3</v>
      </c>
      <c r="BB1013" s="27"/>
      <c r="BC1013" s="27"/>
      <c r="BD1013" s="51"/>
      <c r="BE1013" s="52"/>
      <c r="BF1013" s="27"/>
      <c r="BG1013" s="53">
        <v>0.0</v>
      </c>
      <c r="BH1013" s="53" t="str">
        <f>'[1]2023'!Q1368</f>
        <v>#REF!</v>
      </c>
      <c r="BI1013" s="27"/>
      <c r="BJ1013" s="27"/>
      <c r="BK1013" s="27" t="s">
        <v>76</v>
      </c>
      <c r="BL1013" s="27"/>
    </row>
    <row r="1014" ht="14.25" customHeight="1">
      <c r="A1014" s="26" t="s">
        <v>55</v>
      </c>
      <c r="B1014" s="26" t="s">
        <v>56</v>
      </c>
      <c r="C1014" s="26" t="s">
        <v>57</v>
      </c>
      <c r="D1014" s="26" t="s">
        <v>81</v>
      </c>
      <c r="E1014" s="27" t="s">
        <v>3297</v>
      </c>
      <c r="F1014" s="26" t="s">
        <v>3298</v>
      </c>
      <c r="G1014" s="29">
        <v>45183.0</v>
      </c>
      <c r="H1014" s="30">
        <v>45183.0</v>
      </c>
      <c r="I1014" s="30">
        <v>45548.0</v>
      </c>
      <c r="J1014" s="31">
        <v>0.0</v>
      </c>
      <c r="K1014" s="26" t="s">
        <v>3299</v>
      </c>
      <c r="L1014" s="32"/>
      <c r="M1014" s="33"/>
      <c r="N1014" s="34"/>
      <c r="O1014" s="27" t="s">
        <v>64</v>
      </c>
      <c r="P1014" s="35">
        <v>0.0</v>
      </c>
      <c r="Q1014" s="35">
        <v>0.0</v>
      </c>
      <c r="R1014" s="36">
        <v>45183.0</v>
      </c>
      <c r="S1014" s="35" t="s">
        <v>86</v>
      </c>
      <c r="T1014" s="35">
        <v>0.0</v>
      </c>
      <c r="U1014" s="37">
        <v>0.0</v>
      </c>
      <c r="V1014" s="38"/>
      <c r="W1014" s="78"/>
      <c r="X1014" s="27"/>
      <c r="Y1014" s="39"/>
      <c r="Z1014" s="39"/>
      <c r="AA1014" s="39"/>
      <c r="AB1014" s="27"/>
      <c r="AC1014" s="27">
        <f t="shared" si="619"/>
        <v>0</v>
      </c>
      <c r="AD1014" s="41">
        <f t="shared" si="810"/>
        <v>0</v>
      </c>
      <c r="AE1014" s="42"/>
      <c r="AF1014" s="27"/>
      <c r="AG1014" s="43">
        <f>IF(O1014="Paid",IF(A1014="Wethaq",(M1014*28%)-((M1014*28%)*5%),IF((A1014="GIG"),(M1014*25%)-((M1014*25%)*5%),IF((A1014="Allianz"),(M1014*27%)-((M1014*27%)*20%),0))),0)</f>
        <v>0</v>
      </c>
      <c r="AH1014" s="29"/>
      <c r="AI1014" s="29"/>
      <c r="AJ1014" s="29"/>
      <c r="AK1014" s="29"/>
      <c r="AL1014" s="27"/>
      <c r="AM1014" s="27"/>
      <c r="AN1014" s="47"/>
      <c r="AO1014" s="76"/>
      <c r="AP1014" s="47"/>
      <c r="AQ1014" s="43" t="b">
        <f>IF(O1014="Paid",IF(U1014="Motor Plus",(M1014*27%),IF(U1014="Motor One",(M1014*22%),(IF(U1014="Golden",(M1014*25%),(IF(U1014="Classic",(M1014*15%),(IF(U1014="Wethaq",(M1014*28%),IF(U1014="Alwataniya",(M1014*21%))*0)))))))))</f>
        <v>0</v>
      </c>
      <c r="AR1014" s="43">
        <f t="shared" si="448"/>
        <v>0</v>
      </c>
      <c r="AS1014" s="43">
        <f t="shared" si="449"/>
        <v>0</v>
      </c>
      <c r="AT1014" s="48">
        <f t="shared" si="753"/>
        <v>0</v>
      </c>
      <c r="AU1014" s="49">
        <f t="shared" si="800"/>
        <v>0</v>
      </c>
      <c r="AV1014" s="48"/>
      <c r="AW1014" s="34">
        <f t="shared" si="540"/>
        <v>0</v>
      </c>
      <c r="AX1014" s="50">
        <f t="shared" si="811"/>
        <v>0</v>
      </c>
      <c r="AY1014" s="43"/>
      <c r="AZ1014" s="47"/>
      <c r="BA1014" s="48">
        <f t="shared" si="801"/>
        <v>0</v>
      </c>
      <c r="BB1014" s="27"/>
      <c r="BC1014" s="27"/>
      <c r="BD1014" s="51"/>
      <c r="BE1014" s="52"/>
      <c r="BF1014" s="27"/>
      <c r="BG1014" s="53">
        <v>0.0</v>
      </c>
      <c r="BH1014" s="53" t="str">
        <f>'[1]2023'!Q1673</f>
        <v>#REF!</v>
      </c>
      <c r="BI1014" s="27"/>
      <c r="BJ1014" s="27"/>
      <c r="BK1014" s="27" t="s">
        <v>64</v>
      </c>
      <c r="BL1014" s="27"/>
    </row>
    <row r="1015" ht="14.25" customHeight="1">
      <c r="A1015" s="26" t="s">
        <v>55</v>
      </c>
      <c r="B1015" s="26" t="s">
        <v>56</v>
      </c>
      <c r="C1015" s="26" t="s">
        <v>57</v>
      </c>
      <c r="D1015" s="26" t="s">
        <v>81</v>
      </c>
      <c r="E1015" s="27" t="s">
        <v>3300</v>
      </c>
      <c r="F1015" s="28" t="s">
        <v>3301</v>
      </c>
      <c r="G1015" s="29">
        <v>45184.0</v>
      </c>
      <c r="H1015" s="30">
        <v>45184.0</v>
      </c>
      <c r="I1015" s="30">
        <v>45549.0</v>
      </c>
      <c r="J1015" s="31" t="s">
        <v>3302</v>
      </c>
      <c r="K1015" s="26" t="s">
        <v>475</v>
      </c>
      <c r="L1015" s="32" t="s">
        <v>1312</v>
      </c>
      <c r="M1015" s="33">
        <v>33187.5</v>
      </c>
      <c r="N1015" s="34">
        <v>35454.81</v>
      </c>
      <c r="O1015" s="27" t="s">
        <v>76</v>
      </c>
      <c r="P1015" s="35" t="s">
        <v>77</v>
      </c>
      <c r="Q1015" s="35" t="s">
        <v>90</v>
      </c>
      <c r="R1015" s="36">
        <v>45184.0</v>
      </c>
      <c r="S1015" s="35" t="s">
        <v>86</v>
      </c>
      <c r="T1015" s="35">
        <v>0.0</v>
      </c>
      <c r="U1015" s="37" t="s">
        <v>67</v>
      </c>
      <c r="V1015" s="38">
        <v>1500000.0</v>
      </c>
      <c r="W1015" s="38">
        <v>1146.0</v>
      </c>
      <c r="X1015" s="27">
        <v>2020.0</v>
      </c>
      <c r="Y1015" s="79" t="s">
        <v>2641</v>
      </c>
      <c r="Z1015" s="79" t="s">
        <v>476</v>
      </c>
      <c r="AA1015" s="39">
        <v>2548358.0</v>
      </c>
      <c r="AB1015" s="27"/>
      <c r="AC1015" s="27">
        <f t="shared" si="619"/>
        <v>0</v>
      </c>
      <c r="AD1015" s="41">
        <f t="shared" si="810"/>
        <v>4978.125</v>
      </c>
      <c r="AE1015" s="42"/>
      <c r="AF1015" s="27"/>
      <c r="AG1015" s="43">
        <f t="shared" ref="AG1015:AG1016" si="821">IF(O1015="Paid",IF(A1015="Alwataniya",(M1015*21%)-((M1015*21%)*5%),IF((A1015="GIG"),(M1015*25%)-((M1015*25%)*5%),IF((A1015="Allianz"),(M1015*27%)-((M1015*27%)*5%),0))),0)</f>
        <v>8512.59375</v>
      </c>
      <c r="AH1015" s="29"/>
      <c r="AI1015" s="29"/>
      <c r="AJ1015" s="29"/>
      <c r="AK1015" s="29"/>
      <c r="AL1015" s="27"/>
      <c r="AM1015" s="27"/>
      <c r="AN1015" s="47"/>
      <c r="AO1015" s="76"/>
      <c r="AP1015" s="47"/>
      <c r="AQ1015" s="43">
        <f t="shared" ref="AQ1015:AQ1016" si="822">IF(U1015="Motor Plus",(M1015*27%),IF(U1015="Motor One",(M1015*22%),(IF(U1015="Golden",(M1015*25%),(IF(U1015="Classic",(M1015*15%),(IF(U1015="Wethaq",(M1015*28%),IF(U1015="Alwataniya",(M1015*21%))*0))))))))</f>
        <v>8960.625</v>
      </c>
      <c r="AR1015" s="43">
        <f t="shared" si="448"/>
        <v>448.03125</v>
      </c>
      <c r="AS1015" s="43">
        <f t="shared" si="449"/>
        <v>1568.109375</v>
      </c>
      <c r="AT1015" s="48">
        <f t="shared" si="753"/>
        <v>6944.484375</v>
      </c>
      <c r="AU1015" s="49">
        <f t="shared" si="800"/>
        <v>6944.484375</v>
      </c>
      <c r="AV1015" s="48"/>
      <c r="AW1015" s="34">
        <f t="shared" si="540"/>
        <v>30476.685</v>
      </c>
      <c r="AX1015" s="50">
        <f t="shared" si="811"/>
        <v>1966.359375</v>
      </c>
      <c r="AY1015" s="43"/>
      <c r="AZ1015" s="47"/>
      <c r="BA1015" s="48">
        <f t="shared" si="801"/>
        <v>6944.484375</v>
      </c>
      <c r="BB1015" s="27"/>
      <c r="BC1015" s="27"/>
      <c r="BD1015" s="51"/>
      <c r="BE1015" s="52"/>
      <c r="BF1015" s="27"/>
      <c r="BG1015" s="53">
        <v>0.0</v>
      </c>
      <c r="BH1015" s="53" t="str">
        <f>'[1]2023'!Q1289</f>
        <v>#REF!</v>
      </c>
      <c r="BI1015" s="27"/>
      <c r="BJ1015" s="27"/>
      <c r="BK1015" s="27" t="s">
        <v>76</v>
      </c>
      <c r="BL1015" s="64" t="s">
        <v>3303</v>
      </c>
    </row>
    <row r="1016" ht="14.25" customHeight="1">
      <c r="A1016" s="26" t="s">
        <v>55</v>
      </c>
      <c r="B1016" s="26" t="s">
        <v>56</v>
      </c>
      <c r="C1016" s="26" t="s">
        <v>57</v>
      </c>
      <c r="D1016" s="26" t="s">
        <v>81</v>
      </c>
      <c r="E1016" s="27" t="s">
        <v>3304</v>
      </c>
      <c r="F1016" s="28" t="s">
        <v>3305</v>
      </c>
      <c r="G1016" s="29">
        <v>45184.0</v>
      </c>
      <c r="H1016" s="30">
        <v>45184.0</v>
      </c>
      <c r="I1016" s="30">
        <v>45549.0</v>
      </c>
      <c r="J1016" s="31" t="s">
        <v>3306</v>
      </c>
      <c r="K1016" s="26" t="s">
        <v>475</v>
      </c>
      <c r="L1016" s="32" t="s">
        <v>2836</v>
      </c>
      <c r="M1016" s="33">
        <v>24780.0</v>
      </c>
      <c r="N1016" s="34">
        <v>26506.92</v>
      </c>
      <c r="O1016" s="27" t="s">
        <v>76</v>
      </c>
      <c r="P1016" s="35" t="s">
        <v>122</v>
      </c>
      <c r="Q1016" s="35" t="s">
        <v>90</v>
      </c>
      <c r="R1016" s="36">
        <v>45184.0</v>
      </c>
      <c r="S1016" s="35" t="s">
        <v>86</v>
      </c>
      <c r="T1016" s="35">
        <v>0.0</v>
      </c>
      <c r="U1016" s="37" t="s">
        <v>67</v>
      </c>
      <c r="V1016" s="38"/>
      <c r="W1016" s="38"/>
      <c r="X1016" s="27"/>
      <c r="Y1016" s="39"/>
      <c r="Z1016" s="79" t="s">
        <v>407</v>
      </c>
      <c r="AA1016" s="39"/>
      <c r="AB1016" s="27"/>
      <c r="AC1016" s="27">
        <f t="shared" si="619"/>
        <v>0</v>
      </c>
      <c r="AD1016" s="41">
        <f t="shared" si="810"/>
        <v>3717</v>
      </c>
      <c r="AE1016" s="42"/>
      <c r="AF1016" s="27"/>
      <c r="AG1016" s="43">
        <f t="shared" si="821"/>
        <v>6356.07</v>
      </c>
      <c r="AH1016" s="29"/>
      <c r="AI1016" s="29"/>
      <c r="AJ1016" s="29"/>
      <c r="AK1016" s="29"/>
      <c r="AL1016" s="27"/>
      <c r="AM1016" s="44"/>
      <c r="AN1016" s="68"/>
      <c r="AO1016" s="46"/>
      <c r="AP1016" s="47"/>
      <c r="AQ1016" s="43">
        <f t="shared" si="822"/>
        <v>6690.6</v>
      </c>
      <c r="AR1016" s="43">
        <f t="shared" si="448"/>
        <v>334.53</v>
      </c>
      <c r="AS1016" s="43">
        <f t="shared" si="449"/>
        <v>1170.855</v>
      </c>
      <c r="AT1016" s="48">
        <f t="shared" si="753"/>
        <v>5185.215</v>
      </c>
      <c r="AU1016" s="49">
        <f t="shared" si="800"/>
        <v>5185.215</v>
      </c>
      <c r="AV1016" s="48"/>
      <c r="AW1016" s="34">
        <f t="shared" si="540"/>
        <v>22789.92</v>
      </c>
      <c r="AX1016" s="50">
        <f t="shared" si="811"/>
        <v>1468.215</v>
      </c>
      <c r="AY1016" s="43"/>
      <c r="AZ1016" s="47"/>
      <c r="BA1016" s="48">
        <f t="shared" si="801"/>
        <v>5185.215</v>
      </c>
      <c r="BB1016" s="27"/>
      <c r="BC1016" s="27"/>
      <c r="BD1016" s="51"/>
      <c r="BE1016" s="52"/>
      <c r="BF1016" s="27"/>
      <c r="BG1016" s="53">
        <v>0.0</v>
      </c>
      <c r="BH1016" s="53" t="str">
        <f>'[1]2023'!Q1297</f>
        <v>#REF!</v>
      </c>
      <c r="BI1016" s="27"/>
      <c r="BJ1016" s="27"/>
      <c r="BK1016" s="27" t="s">
        <v>76</v>
      </c>
      <c r="BL1016" s="27"/>
    </row>
    <row r="1017" ht="14.25" customHeight="1">
      <c r="A1017" s="26" t="s">
        <v>1634</v>
      </c>
      <c r="B1017" s="26" t="s">
        <v>69</v>
      </c>
      <c r="C1017" s="26" t="s">
        <v>57</v>
      </c>
      <c r="D1017" s="26" t="s">
        <v>71</v>
      </c>
      <c r="E1017" s="99" t="s">
        <v>3307</v>
      </c>
      <c r="F1017" s="26" t="s">
        <v>3308</v>
      </c>
      <c r="G1017" s="29">
        <v>45184.0</v>
      </c>
      <c r="H1017" s="30">
        <v>45184.0</v>
      </c>
      <c r="I1017" s="30">
        <v>45549.0</v>
      </c>
      <c r="J1017" s="31">
        <v>0.0</v>
      </c>
      <c r="K1017" s="26" t="s">
        <v>475</v>
      </c>
      <c r="L1017" s="89">
        <v>45225.0</v>
      </c>
      <c r="M1017" s="33">
        <v>14400.0</v>
      </c>
      <c r="N1017" s="34">
        <v>15420.0</v>
      </c>
      <c r="O1017" s="27" t="s">
        <v>76</v>
      </c>
      <c r="P1017" s="35" t="s">
        <v>77</v>
      </c>
      <c r="Q1017" s="35">
        <v>0.0</v>
      </c>
      <c r="R1017" s="36">
        <v>45184.0</v>
      </c>
      <c r="S1017" s="35" t="s">
        <v>78</v>
      </c>
      <c r="T1017" s="54" t="s">
        <v>79</v>
      </c>
      <c r="U1017" s="37" t="s">
        <v>69</v>
      </c>
      <c r="V1017" s="38">
        <v>3.855E7</v>
      </c>
      <c r="W1017" s="78"/>
      <c r="X1017" s="27"/>
      <c r="Y1017" s="39"/>
      <c r="Z1017" s="39"/>
      <c r="AA1017" s="39"/>
      <c r="AB1017" s="27"/>
      <c r="AC1017" s="27">
        <f t="shared" si="619"/>
        <v>0</v>
      </c>
      <c r="AD1017" s="41">
        <f t="shared" si="810"/>
        <v>0</v>
      </c>
      <c r="AE1017" s="42"/>
      <c r="AF1017" s="189">
        <v>4000.0</v>
      </c>
      <c r="AG1017" s="190">
        <f>(AF1017*16.77%)-((AF1017*16.77%)*5%)</f>
        <v>637.26</v>
      </c>
      <c r="AH1017" s="29"/>
      <c r="AI1017" s="29" t="s">
        <v>3309</v>
      </c>
      <c r="AJ1017" s="40">
        <v>0.1677</v>
      </c>
      <c r="AK1017" s="199" t="s">
        <v>3049</v>
      </c>
      <c r="AL1017" s="27">
        <f>AF1017*AJ1017</f>
        <v>670.8</v>
      </c>
      <c r="AM1017" s="44"/>
      <c r="AN1017" s="47"/>
      <c r="AO1017" s="149">
        <f>((AF1017*AJ1017)-((AF1017*AJ1017)*22.5%))*80%</f>
        <v>415.896</v>
      </c>
      <c r="AP1017" s="71">
        <v>45294.0</v>
      </c>
      <c r="AQ1017" s="43">
        <f>IF(O1017="Paid",IF(U1017="Motor Plus",(M1017*27%),IF(U1017="Motor One",(M1017*22%),(IF(U1017="Golden",(M1017*25%),(IF(U1017="Classic",(M1017*15%),(IF(U1017="Wethaq",(M1017*28%),IF(U1017="Alwataniya",(M1017*21%))*0)))))))))</f>
        <v>0</v>
      </c>
      <c r="AR1017" s="43">
        <f t="shared" si="448"/>
        <v>0</v>
      </c>
      <c r="AS1017" s="43">
        <f t="shared" si="449"/>
        <v>0</v>
      </c>
      <c r="AT1017" s="48">
        <f t="shared" si="753"/>
        <v>0</v>
      </c>
      <c r="AU1017" s="49">
        <f t="shared" si="800"/>
        <v>-415.896</v>
      </c>
      <c r="AV1017" s="48"/>
      <c r="AW1017" s="34">
        <f t="shared" si="540"/>
        <v>15420</v>
      </c>
      <c r="AX1017" s="50">
        <f t="shared" si="811"/>
        <v>-449.436</v>
      </c>
      <c r="AY1017" s="43"/>
      <c r="AZ1017" s="47"/>
      <c r="BA1017" s="48">
        <f t="shared" si="801"/>
        <v>-831.792</v>
      </c>
      <c r="BB1017" s="27"/>
      <c r="BC1017" s="27"/>
      <c r="BD1017" s="51"/>
      <c r="BE1017" s="52"/>
      <c r="BF1017" s="27"/>
      <c r="BG1017" s="58" t="s">
        <v>2973</v>
      </c>
      <c r="BH1017" s="53" t="str">
        <f>'[1]2023'!Q1409</f>
        <v>#REF!</v>
      </c>
      <c r="BI1017" s="27"/>
      <c r="BJ1017" s="27"/>
      <c r="BK1017" s="27" t="s">
        <v>76</v>
      </c>
      <c r="BL1017" s="27"/>
    </row>
    <row r="1018" ht="14.25" customHeight="1">
      <c r="A1018" s="26" t="s">
        <v>55</v>
      </c>
      <c r="B1018" s="26" t="s">
        <v>56</v>
      </c>
      <c r="C1018" s="26" t="s">
        <v>57</v>
      </c>
      <c r="D1018" s="26" t="s">
        <v>81</v>
      </c>
      <c r="E1018" s="27" t="s">
        <v>3310</v>
      </c>
      <c r="F1018" s="28" t="s">
        <v>3311</v>
      </c>
      <c r="G1018" s="29" t="s">
        <v>3312</v>
      </c>
      <c r="H1018" s="30">
        <v>45185.0</v>
      </c>
      <c r="I1018" s="30">
        <v>45550.0</v>
      </c>
      <c r="J1018" s="31">
        <v>0.0</v>
      </c>
      <c r="K1018" s="26" t="s">
        <v>475</v>
      </c>
      <c r="L1018" s="69">
        <v>44935.0</v>
      </c>
      <c r="M1018" s="33">
        <v>23600.0</v>
      </c>
      <c r="N1018" s="34">
        <v>25251.4</v>
      </c>
      <c r="O1018" s="27" t="s">
        <v>76</v>
      </c>
      <c r="P1018" s="35" t="s">
        <v>122</v>
      </c>
      <c r="Q1018" s="35" t="s">
        <v>65</v>
      </c>
      <c r="R1018" s="36" t="e">
        <v>#VALUE!</v>
      </c>
      <c r="S1018" s="35" t="s">
        <v>86</v>
      </c>
      <c r="T1018" s="35">
        <v>0.0</v>
      </c>
      <c r="U1018" s="37" t="s">
        <v>67</v>
      </c>
      <c r="V1018" s="38"/>
      <c r="W1018" s="38"/>
      <c r="X1018" s="27"/>
      <c r="Y1018" s="39"/>
      <c r="Z1018" s="39"/>
      <c r="AA1018" s="39"/>
      <c r="AB1018" s="27"/>
      <c r="AC1018" s="27">
        <f t="shared" si="619"/>
        <v>0</v>
      </c>
      <c r="AD1018" s="41"/>
      <c r="AE1018" s="42"/>
      <c r="AF1018" s="27"/>
      <c r="AG1018" s="43">
        <f>IF(O1018="Paid",IF(A1018="Alwataniya",(M1018*21%)-((M1018*21%)*5%),IF((A1018="GIG"),(M1018*25%)-((M1018*25%)*5%),IF((A1018="Allianz"),(M1018*27%)-((M1018*27%)*5%),0))),0)</f>
        <v>6053.4</v>
      </c>
      <c r="AH1018" s="29"/>
      <c r="AI1018" s="29"/>
      <c r="AJ1018" s="29"/>
      <c r="AK1018" s="29"/>
      <c r="AL1018" s="27"/>
      <c r="AM1018" s="44"/>
      <c r="AN1018" s="47"/>
      <c r="AO1018" s="46"/>
      <c r="AP1018" s="47"/>
      <c r="AQ1018" s="43">
        <f t="shared" ref="AQ1018:AQ1020" si="823">IF(U1018="Motor Plus",(M1018*27%),IF(U1018="Motor One",(M1018*22%),(IF(U1018="Golden",(M1018*25%),(IF(U1018="Classic",(M1018*15%),(IF(U1018="Wethaq",(M1018*28%),IF(U1018="Alwataniya",(M1018*21%))*0))))))))</f>
        <v>6372</v>
      </c>
      <c r="AR1018" s="43">
        <f t="shared" si="448"/>
        <v>318.6</v>
      </c>
      <c r="AS1018" s="43">
        <f t="shared" si="449"/>
        <v>1115.1</v>
      </c>
      <c r="AT1018" s="48">
        <f t="shared" si="753"/>
        <v>4938.3</v>
      </c>
      <c r="AU1018" s="49">
        <f t="shared" si="800"/>
        <v>4938.3</v>
      </c>
      <c r="AV1018" s="48"/>
      <c r="AW1018" s="34">
        <f t="shared" si="540"/>
        <v>25251.4</v>
      </c>
      <c r="AX1018" s="50">
        <f t="shared" si="811"/>
        <v>4938.3</v>
      </c>
      <c r="AY1018" s="43"/>
      <c r="AZ1018" s="47"/>
      <c r="BA1018" s="48">
        <f t="shared" si="801"/>
        <v>4938.3</v>
      </c>
      <c r="BB1018" s="27"/>
      <c r="BC1018" s="27"/>
      <c r="BD1018" s="51"/>
      <c r="BE1018" s="52"/>
      <c r="BF1018" s="27"/>
      <c r="BG1018" s="53">
        <v>0.0</v>
      </c>
      <c r="BH1018" s="53" t="str">
        <f>'[1]2023'!Q1258</f>
        <v>#REF!</v>
      </c>
      <c r="BI1018" s="27"/>
      <c r="BJ1018" s="27"/>
      <c r="BK1018" s="27" t="s">
        <v>76</v>
      </c>
      <c r="BL1018" s="27"/>
    </row>
    <row r="1019" ht="14.25" customHeight="1">
      <c r="A1019" s="26" t="s">
        <v>181</v>
      </c>
      <c r="B1019" s="26" t="s">
        <v>56</v>
      </c>
      <c r="C1019" s="26" t="s">
        <v>57</v>
      </c>
      <c r="D1019" s="26" t="s">
        <v>71</v>
      </c>
      <c r="E1019" s="27" t="s">
        <v>3313</v>
      </c>
      <c r="F1019" s="28" t="s">
        <v>3314</v>
      </c>
      <c r="G1019" s="29">
        <v>45185.0</v>
      </c>
      <c r="H1019" s="30">
        <v>45185.0</v>
      </c>
      <c r="I1019" s="30">
        <v>45550.0</v>
      </c>
      <c r="J1019" s="31" t="s">
        <v>3315</v>
      </c>
      <c r="K1019" s="26" t="s">
        <v>475</v>
      </c>
      <c r="L1019" s="32" t="s">
        <v>75</v>
      </c>
      <c r="M1019" s="33">
        <v>11332.8</v>
      </c>
      <c r="N1019" s="34">
        <v>12240.0</v>
      </c>
      <c r="O1019" s="27" t="s">
        <v>76</v>
      </c>
      <c r="P1019" s="35" t="s">
        <v>430</v>
      </c>
      <c r="Q1019" s="35">
        <v>0.0</v>
      </c>
      <c r="R1019" s="36">
        <v>45185.0</v>
      </c>
      <c r="S1019" s="35" t="s">
        <v>78</v>
      </c>
      <c r="T1019" s="35">
        <v>0.0</v>
      </c>
      <c r="U1019" s="37" t="s">
        <v>181</v>
      </c>
      <c r="V1019" s="38">
        <v>750000.0</v>
      </c>
      <c r="W1019" s="38"/>
      <c r="X1019" s="27"/>
      <c r="Y1019" s="39"/>
      <c r="Z1019" s="79" t="s">
        <v>3316</v>
      </c>
      <c r="AA1019" s="39"/>
      <c r="AB1019" s="27"/>
      <c r="AC1019" s="27">
        <f t="shared" si="619"/>
        <v>0</v>
      </c>
      <c r="AD1019" s="41">
        <f t="shared" ref="AD1019:AD1021" si="824">IF(AND(S1019="0",O1019="Paid"),(M1019*15%)-AC1019,0)</f>
        <v>0</v>
      </c>
      <c r="AE1019" s="42"/>
      <c r="AF1019" s="27"/>
      <c r="AG1019" s="43">
        <f>IF(O1019="Paid",IF(A1019="Alwataniya",(M1019*21%)-((M1019*21%)*5%),IF((A1019="GIG"),(M1019*25%)-((M1019*25%)*5%),IF((A1019="Allianz"),(M1019*27%)-((M1019*27%)*20%),0))),0)</f>
        <v>2260.8936</v>
      </c>
      <c r="AH1019" s="29"/>
      <c r="AI1019" s="29" t="s">
        <v>3107</v>
      </c>
      <c r="AJ1019" s="29"/>
      <c r="AK1019" s="29" t="s">
        <v>1053</v>
      </c>
      <c r="AL1019" s="27"/>
      <c r="AM1019" s="44"/>
      <c r="AN1019" s="47"/>
      <c r="AO1019" s="46"/>
      <c r="AP1019" s="47"/>
      <c r="AQ1019" s="43">
        <f t="shared" si="823"/>
        <v>0</v>
      </c>
      <c r="AR1019" s="43">
        <f t="shared" si="448"/>
        <v>0</v>
      </c>
      <c r="AS1019" s="43">
        <f t="shared" si="449"/>
        <v>0</v>
      </c>
      <c r="AT1019" s="48">
        <f t="shared" si="753"/>
        <v>0</v>
      </c>
      <c r="AU1019" s="49">
        <f t="shared" si="800"/>
        <v>0</v>
      </c>
      <c r="AV1019" s="48"/>
      <c r="AW1019" s="34">
        <f t="shared" si="540"/>
        <v>12240</v>
      </c>
      <c r="AX1019" s="50">
        <f t="shared" si="811"/>
        <v>2260.8936</v>
      </c>
      <c r="AY1019" s="43"/>
      <c r="AZ1019" s="47"/>
      <c r="BA1019" s="48">
        <f t="shared" si="801"/>
        <v>0</v>
      </c>
      <c r="BB1019" s="27"/>
      <c r="BC1019" s="27"/>
      <c r="BD1019" s="51"/>
      <c r="BE1019" s="52"/>
      <c r="BF1019" s="27"/>
      <c r="BG1019" s="58" t="s">
        <v>562</v>
      </c>
      <c r="BH1019" s="53" t="str">
        <f>'[1]2023'!Q1322</f>
        <v>#REF!</v>
      </c>
      <c r="BI1019" s="27"/>
      <c r="BJ1019" s="27"/>
      <c r="BK1019" s="27" t="s">
        <v>76</v>
      </c>
      <c r="BL1019" s="27"/>
    </row>
    <row r="1020" ht="14.25" customHeight="1">
      <c r="A1020" s="26" t="s">
        <v>55</v>
      </c>
      <c r="B1020" s="26" t="s">
        <v>56</v>
      </c>
      <c r="C1020" s="26" t="s">
        <v>57</v>
      </c>
      <c r="D1020" s="26" t="s">
        <v>81</v>
      </c>
      <c r="E1020" s="27" t="s">
        <v>3317</v>
      </c>
      <c r="F1020" s="28" t="s">
        <v>757</v>
      </c>
      <c r="G1020" s="29">
        <v>45185.0</v>
      </c>
      <c r="H1020" s="30">
        <v>45185.0</v>
      </c>
      <c r="I1020" s="30">
        <v>45550.0</v>
      </c>
      <c r="J1020" s="31" t="s">
        <v>3318</v>
      </c>
      <c r="K1020" s="26" t="s">
        <v>475</v>
      </c>
      <c r="L1020" s="32" t="s">
        <v>1053</v>
      </c>
      <c r="M1020" s="33">
        <v>55515.63</v>
      </c>
      <c r="N1020" s="34">
        <v>59209.63</v>
      </c>
      <c r="O1020" s="27" t="s">
        <v>76</v>
      </c>
      <c r="P1020" s="35" t="s">
        <v>89</v>
      </c>
      <c r="Q1020" s="35" t="s">
        <v>108</v>
      </c>
      <c r="R1020" s="36">
        <v>45185.0</v>
      </c>
      <c r="S1020" s="35" t="s">
        <v>86</v>
      </c>
      <c r="T1020" s="35">
        <v>0.0</v>
      </c>
      <c r="U1020" s="37" t="s">
        <v>67</v>
      </c>
      <c r="V1020" s="38">
        <v>1700000.0</v>
      </c>
      <c r="W1020" s="78">
        <v>5055818.0</v>
      </c>
      <c r="X1020" s="27">
        <v>2021.0</v>
      </c>
      <c r="Y1020" s="79" t="s">
        <v>3319</v>
      </c>
      <c r="Z1020" s="79" t="s">
        <v>3320</v>
      </c>
      <c r="AA1020" s="39"/>
      <c r="AB1020" s="27"/>
      <c r="AC1020" s="27">
        <f t="shared" si="619"/>
        <v>0</v>
      </c>
      <c r="AD1020" s="41">
        <f t="shared" si="824"/>
        <v>8327.3445</v>
      </c>
      <c r="AE1020" s="42"/>
      <c r="AF1020" s="27" t="s">
        <v>1312</v>
      </c>
      <c r="AG1020" s="43">
        <f>IF(O1020="Paid",IF(A1020="Alwataniya",(M1020*21%)-((M1020*21%)*5%),IF((A1020="GIG"),(M1020*25%)-((M1020*25%)*5%),IF((A1020="Allianz"),(M1020*27%)-((M1020*27%)*5%),0))),0)</f>
        <v>14239.7591</v>
      </c>
      <c r="AH1020" s="29"/>
      <c r="AI1020" s="29"/>
      <c r="AJ1020" s="29"/>
      <c r="AK1020" s="29"/>
      <c r="AL1020" s="27"/>
      <c r="AM1020" s="44"/>
      <c r="AN1020" s="47"/>
      <c r="AO1020" s="46"/>
      <c r="AP1020" s="47"/>
      <c r="AQ1020" s="43">
        <f t="shared" si="823"/>
        <v>14989.2201</v>
      </c>
      <c r="AR1020" s="43">
        <f t="shared" si="448"/>
        <v>749.461005</v>
      </c>
      <c r="AS1020" s="43">
        <f t="shared" si="449"/>
        <v>2623.113518</v>
      </c>
      <c r="AT1020" s="48">
        <f t="shared" si="753"/>
        <v>11616.64558</v>
      </c>
      <c r="AU1020" s="49">
        <f t="shared" si="800"/>
        <v>11616.64558</v>
      </c>
      <c r="AV1020" s="48"/>
      <c r="AW1020" s="34">
        <f t="shared" si="540"/>
        <v>50882.2855</v>
      </c>
      <c r="AX1020" s="50">
        <f t="shared" si="811"/>
        <v>3289.301078</v>
      </c>
      <c r="AY1020" s="43"/>
      <c r="AZ1020" s="47"/>
      <c r="BA1020" s="48">
        <f t="shared" si="801"/>
        <v>11616.64558</v>
      </c>
      <c r="BB1020" s="27"/>
      <c r="BC1020" s="27"/>
      <c r="BD1020" s="51"/>
      <c r="BE1020" s="52"/>
      <c r="BF1020" s="27"/>
      <c r="BG1020" s="53">
        <v>0.0</v>
      </c>
      <c r="BH1020" s="53" t="str">
        <f>'[1]2023'!Q1352</f>
        <v>#REF!</v>
      </c>
      <c r="BI1020" s="27"/>
      <c r="BJ1020" s="27"/>
      <c r="BK1020" s="27" t="s">
        <v>76</v>
      </c>
      <c r="BL1020" s="27"/>
    </row>
    <row r="1021" ht="14.25" customHeight="1">
      <c r="A1021" s="26" t="s">
        <v>55</v>
      </c>
      <c r="B1021" s="26" t="s">
        <v>56</v>
      </c>
      <c r="C1021" s="26" t="s">
        <v>57</v>
      </c>
      <c r="D1021" s="26" t="s">
        <v>81</v>
      </c>
      <c r="E1021" s="27" t="s">
        <v>3321</v>
      </c>
      <c r="F1021" s="26" t="s">
        <v>3322</v>
      </c>
      <c r="G1021" s="29">
        <v>45185.0</v>
      </c>
      <c r="H1021" s="30">
        <v>45185.0</v>
      </c>
      <c r="I1021" s="30">
        <v>45550.0</v>
      </c>
      <c r="J1021" s="31">
        <v>0.0</v>
      </c>
      <c r="K1021" s="26" t="s">
        <v>3299</v>
      </c>
      <c r="L1021" s="32"/>
      <c r="M1021" s="33"/>
      <c r="N1021" s="34"/>
      <c r="O1021" s="27" t="s">
        <v>64</v>
      </c>
      <c r="P1021" s="35">
        <v>0.0</v>
      </c>
      <c r="Q1021" s="35">
        <v>0.0</v>
      </c>
      <c r="R1021" s="36">
        <v>45185.0</v>
      </c>
      <c r="S1021" s="35" t="s">
        <v>86</v>
      </c>
      <c r="T1021" s="35">
        <v>0.0</v>
      </c>
      <c r="U1021" s="37">
        <v>0.0</v>
      </c>
      <c r="V1021" s="38"/>
      <c r="W1021" s="78"/>
      <c r="X1021" s="27"/>
      <c r="Y1021" s="39"/>
      <c r="Z1021" s="39"/>
      <c r="AA1021" s="39"/>
      <c r="AB1021" s="27"/>
      <c r="AC1021" s="27">
        <f t="shared" si="619"/>
        <v>0</v>
      </c>
      <c r="AD1021" s="41">
        <f t="shared" si="824"/>
        <v>0</v>
      </c>
      <c r="AE1021" s="42"/>
      <c r="AF1021" s="27"/>
      <c r="AG1021" s="43">
        <f t="shared" ref="AG1021:AG1022" si="825">IF(O1021="Paid",IF(A1021="Wethaq",(M1021*28%)-((M1021*28%)*5%),IF((A1021="GIG"),(M1021*25%)-((M1021*25%)*5%),IF((A1021="Allianz"),(M1021*27%)-((M1021*27%)*20%),0))),0)</f>
        <v>0</v>
      </c>
      <c r="AH1021" s="29"/>
      <c r="AI1021" s="29"/>
      <c r="AJ1021" s="29"/>
      <c r="AK1021" s="29"/>
      <c r="AL1021" s="27"/>
      <c r="AM1021" s="44"/>
      <c r="AN1021" s="47"/>
      <c r="AO1021" s="46"/>
      <c r="AP1021" s="47"/>
      <c r="AQ1021" s="43" t="b">
        <f t="shared" ref="AQ1021:AQ1022" si="826">IF(O1021="Paid",IF(U1021="Motor Plus",(M1021*27%),IF(U1021="Motor One",(M1021*22%),(IF(U1021="Golden",(M1021*25%),(IF(U1021="Classic",(M1021*15%),(IF(U1021="Wethaq",(M1021*28%),IF(U1021="Alwataniya",(M1021*21%))*0)))))))))</f>
        <v>0</v>
      </c>
      <c r="AR1021" s="43">
        <f t="shared" si="448"/>
        <v>0</v>
      </c>
      <c r="AS1021" s="43">
        <f t="shared" si="449"/>
        <v>0</v>
      </c>
      <c r="AT1021" s="48">
        <f t="shared" si="753"/>
        <v>0</v>
      </c>
      <c r="AU1021" s="49">
        <f t="shared" si="800"/>
        <v>0</v>
      </c>
      <c r="AV1021" s="48"/>
      <c r="AW1021" s="34">
        <f t="shared" si="540"/>
        <v>0</v>
      </c>
      <c r="AX1021" s="50">
        <f t="shared" si="811"/>
        <v>0</v>
      </c>
      <c r="AY1021" s="43"/>
      <c r="AZ1021" s="47"/>
      <c r="BA1021" s="48">
        <f t="shared" si="801"/>
        <v>0</v>
      </c>
      <c r="BB1021" s="27"/>
      <c r="BC1021" s="27"/>
      <c r="BD1021" s="51"/>
      <c r="BE1021" s="52"/>
      <c r="BF1021" s="27"/>
      <c r="BG1021" s="53">
        <v>0.0</v>
      </c>
      <c r="BH1021" s="53" t="str">
        <f>'[1]2023'!Q1668</f>
        <v>#REF!</v>
      </c>
      <c r="BI1021" s="27"/>
      <c r="BJ1021" s="27"/>
      <c r="BK1021" s="27" t="s">
        <v>64</v>
      </c>
      <c r="BL1021" s="27"/>
    </row>
    <row r="1022" ht="14.25" customHeight="1">
      <c r="A1022" s="26" t="s">
        <v>55</v>
      </c>
      <c r="B1022" s="26" t="s">
        <v>56</v>
      </c>
      <c r="C1022" s="26" t="s">
        <v>57</v>
      </c>
      <c r="D1022" s="26" t="s">
        <v>81</v>
      </c>
      <c r="E1022" s="80" t="s">
        <v>3323</v>
      </c>
      <c r="F1022" s="28" t="s">
        <v>3324</v>
      </c>
      <c r="G1022" s="29">
        <v>45185.0</v>
      </c>
      <c r="H1022" s="30">
        <v>45185.0</v>
      </c>
      <c r="I1022" s="30">
        <v>45550.0</v>
      </c>
      <c r="J1022" s="31" t="s">
        <v>3325</v>
      </c>
      <c r="K1022" s="26" t="s">
        <v>3299</v>
      </c>
      <c r="L1022" s="89">
        <v>45278.0</v>
      </c>
      <c r="M1022" s="33">
        <v>85728.0</v>
      </c>
      <c r="N1022" s="34">
        <v>91355.6</v>
      </c>
      <c r="O1022" s="27" t="s">
        <v>76</v>
      </c>
      <c r="P1022" s="35" t="s">
        <v>122</v>
      </c>
      <c r="Q1022" s="35" t="s">
        <v>108</v>
      </c>
      <c r="R1022" s="36">
        <v>0.0</v>
      </c>
      <c r="S1022" s="35" t="s">
        <v>86</v>
      </c>
      <c r="T1022" s="35">
        <v>0.0</v>
      </c>
      <c r="U1022" s="37">
        <v>0.0</v>
      </c>
      <c r="V1022" s="38">
        <v>2400000.0</v>
      </c>
      <c r="W1022" s="78">
        <v>142092.0</v>
      </c>
      <c r="X1022" s="27">
        <v>2020.0</v>
      </c>
      <c r="Y1022" s="39" t="s">
        <v>3326</v>
      </c>
      <c r="Z1022" s="79" t="s">
        <v>2851</v>
      </c>
      <c r="AA1022" s="39"/>
      <c r="AB1022" s="27"/>
      <c r="AC1022" s="27">
        <f t="shared" si="619"/>
        <v>0</v>
      </c>
      <c r="AD1022" s="41"/>
      <c r="AE1022" s="42"/>
      <c r="AF1022" s="77" t="s">
        <v>3327</v>
      </c>
      <c r="AG1022" s="43">
        <f t="shared" si="825"/>
        <v>18517.248</v>
      </c>
      <c r="AH1022" s="29"/>
      <c r="AI1022" s="29"/>
      <c r="AJ1022" s="29"/>
      <c r="AK1022" s="29"/>
      <c r="AL1022" s="27"/>
      <c r="AM1022" s="44"/>
      <c r="AN1022" s="47"/>
      <c r="AO1022" s="46"/>
      <c r="AP1022" s="47"/>
      <c r="AQ1022" s="43">
        <f t="shared" si="826"/>
        <v>0</v>
      </c>
      <c r="AR1022" s="43">
        <f t="shared" si="448"/>
        <v>0</v>
      </c>
      <c r="AS1022" s="43">
        <f t="shared" si="449"/>
        <v>0</v>
      </c>
      <c r="AT1022" s="48">
        <f t="shared" si="753"/>
        <v>0</v>
      </c>
      <c r="AU1022" s="49">
        <f t="shared" si="800"/>
        <v>0</v>
      </c>
      <c r="AV1022" s="48"/>
      <c r="AW1022" s="34">
        <f t="shared" si="540"/>
        <v>91355.6</v>
      </c>
      <c r="AX1022" s="50">
        <f t="shared" si="811"/>
        <v>18517.248</v>
      </c>
      <c r="AY1022" s="43"/>
      <c r="AZ1022" s="47"/>
      <c r="BA1022" s="48">
        <f t="shared" si="801"/>
        <v>0</v>
      </c>
      <c r="BB1022" s="27"/>
      <c r="BC1022" s="27"/>
      <c r="BD1022" s="51"/>
      <c r="BE1022" s="52"/>
      <c r="BF1022" s="27"/>
      <c r="BG1022" s="53">
        <v>0.0</v>
      </c>
      <c r="BH1022" s="53" t="str">
        <f>'[1]2023'!Q1684</f>
        <v>#REF!</v>
      </c>
      <c r="BI1022" s="27"/>
      <c r="BJ1022" s="27"/>
      <c r="BK1022" s="27" t="s">
        <v>1102</v>
      </c>
      <c r="BL1022" s="27"/>
    </row>
    <row r="1023" ht="14.25" customHeight="1">
      <c r="A1023" s="26" t="s">
        <v>55</v>
      </c>
      <c r="B1023" s="26" t="s">
        <v>56</v>
      </c>
      <c r="C1023" s="26" t="s">
        <v>57</v>
      </c>
      <c r="D1023" s="26" t="s">
        <v>81</v>
      </c>
      <c r="E1023" s="27" t="s">
        <v>3328</v>
      </c>
      <c r="F1023" s="28" t="s">
        <v>3329</v>
      </c>
      <c r="G1023" s="29">
        <v>45186.0</v>
      </c>
      <c r="H1023" s="30">
        <v>45186.0</v>
      </c>
      <c r="I1023" s="30">
        <v>45551.0</v>
      </c>
      <c r="J1023" s="31" t="s">
        <v>3330</v>
      </c>
      <c r="K1023" s="26" t="s">
        <v>475</v>
      </c>
      <c r="L1023" s="69">
        <v>44995.0</v>
      </c>
      <c r="M1023" s="33">
        <v>17550.0</v>
      </c>
      <c r="N1023" s="34">
        <v>18814.2</v>
      </c>
      <c r="O1023" s="27" t="s">
        <v>76</v>
      </c>
      <c r="P1023" s="35" t="s">
        <v>89</v>
      </c>
      <c r="Q1023" s="35" t="s">
        <v>65</v>
      </c>
      <c r="R1023" s="36">
        <v>45186.0</v>
      </c>
      <c r="S1023" s="35" t="s">
        <v>86</v>
      </c>
      <c r="T1023" s="35">
        <v>0.0</v>
      </c>
      <c r="U1023" s="37" t="s">
        <v>67</v>
      </c>
      <c r="V1023" s="38">
        <v>900000.0</v>
      </c>
      <c r="W1023" s="38">
        <v>986.0</v>
      </c>
      <c r="X1023" s="27">
        <v>2018.0</v>
      </c>
      <c r="Y1023" s="79" t="s">
        <v>3331</v>
      </c>
      <c r="Z1023" s="39"/>
      <c r="AA1023" s="39"/>
      <c r="AB1023" s="27"/>
      <c r="AC1023" s="27">
        <f t="shared" si="619"/>
        <v>0</v>
      </c>
      <c r="AD1023" s="41"/>
      <c r="AE1023" s="42"/>
      <c r="AF1023" s="27"/>
      <c r="AG1023" s="43">
        <f>IF(O1023="Paid",IF(A1023="Alwataniya",(M1023*21%)-((M1023*21%)*5%),IF((A1023="GIG"),(M1023*25%)-((M1023*25%)*5%),IF((A1023="Allianz"),(M1023*27%)-((M1023*27%)*5%),0))),0)</f>
        <v>4501.575</v>
      </c>
      <c r="AH1023" s="29"/>
      <c r="AI1023" s="29"/>
      <c r="AJ1023" s="29"/>
      <c r="AK1023" s="29"/>
      <c r="AL1023" s="27"/>
      <c r="AM1023" s="44"/>
      <c r="AN1023" s="47"/>
      <c r="AO1023" s="46"/>
      <c r="AP1023" s="47"/>
      <c r="AQ1023" s="43">
        <f t="shared" ref="AQ1023:AQ1026" si="827">IF(U1023="Motor Plus",(M1023*27%),IF(U1023="Motor One",(M1023*22%),(IF(U1023="Golden",(M1023*25%),(IF(U1023="Classic",(M1023*15%),(IF(U1023="Wethaq",(M1023*28%),IF(U1023="Alwataniya",(M1023*21%))*0))))))))</f>
        <v>4738.5</v>
      </c>
      <c r="AR1023" s="43">
        <f t="shared" si="448"/>
        <v>236.925</v>
      </c>
      <c r="AS1023" s="43">
        <f t="shared" si="449"/>
        <v>829.2375</v>
      </c>
      <c r="AT1023" s="48">
        <f t="shared" si="753"/>
        <v>3672.3375</v>
      </c>
      <c r="AU1023" s="49">
        <f t="shared" si="800"/>
        <v>3672.3375</v>
      </c>
      <c r="AV1023" s="48"/>
      <c r="AW1023" s="34">
        <f t="shared" si="540"/>
        <v>18814.2</v>
      </c>
      <c r="AX1023" s="50">
        <f t="shared" si="811"/>
        <v>3672.3375</v>
      </c>
      <c r="AY1023" s="43"/>
      <c r="AZ1023" s="47"/>
      <c r="BA1023" s="48">
        <f t="shared" si="801"/>
        <v>3672.3375</v>
      </c>
      <c r="BB1023" s="27"/>
      <c r="BC1023" s="27"/>
      <c r="BD1023" s="51"/>
      <c r="BE1023" s="52"/>
      <c r="BF1023" s="27"/>
      <c r="BG1023" s="53">
        <v>0.0</v>
      </c>
      <c r="BH1023" s="53" t="str">
        <f>'[1]2023'!Q1290</f>
        <v>#REF!</v>
      </c>
      <c r="BI1023" s="27"/>
      <c r="BJ1023" s="27"/>
      <c r="BK1023" s="27" t="s">
        <v>76</v>
      </c>
      <c r="BL1023" s="27"/>
    </row>
    <row r="1024" ht="14.25" customHeight="1">
      <c r="A1024" s="26" t="s">
        <v>111</v>
      </c>
      <c r="B1024" s="26" t="s">
        <v>56</v>
      </c>
      <c r="C1024" s="26" t="s">
        <v>57</v>
      </c>
      <c r="D1024" s="26" t="s">
        <v>71</v>
      </c>
      <c r="E1024" s="27" t="s">
        <v>3332</v>
      </c>
      <c r="F1024" s="28" t="s">
        <v>3333</v>
      </c>
      <c r="G1024" s="29">
        <v>45186.0</v>
      </c>
      <c r="H1024" s="30">
        <v>45186.0</v>
      </c>
      <c r="I1024" s="30">
        <v>45551.0</v>
      </c>
      <c r="J1024" s="31" t="s">
        <v>3334</v>
      </c>
      <c r="K1024" s="26" t="s">
        <v>475</v>
      </c>
      <c r="L1024" s="32" t="s">
        <v>75</v>
      </c>
      <c r="M1024" s="33">
        <v>21752.07</v>
      </c>
      <c r="N1024" s="34">
        <v>23400.0</v>
      </c>
      <c r="O1024" s="27" t="s">
        <v>76</v>
      </c>
      <c r="P1024" s="35" t="s">
        <v>430</v>
      </c>
      <c r="Q1024" s="35" t="s">
        <v>114</v>
      </c>
      <c r="R1024" s="36">
        <v>45195.0</v>
      </c>
      <c r="S1024" s="35" t="s">
        <v>1103</v>
      </c>
      <c r="T1024" s="35">
        <v>0.0</v>
      </c>
      <c r="U1024" s="37" t="s">
        <v>115</v>
      </c>
      <c r="V1024" s="38">
        <v>900000.0</v>
      </c>
      <c r="W1024" s="38"/>
      <c r="X1024" s="27"/>
      <c r="Y1024" s="39"/>
      <c r="Z1024" s="39" t="s">
        <v>2494</v>
      </c>
      <c r="AA1024" s="39"/>
      <c r="AB1024" s="27"/>
      <c r="AC1024" s="27">
        <f t="shared" si="619"/>
        <v>0</v>
      </c>
      <c r="AD1024" s="41">
        <f t="shared" ref="AD1024:AD1028" si="828">IF(AND(S1024="0",O1024="Paid"),(M1024*15%)-AC1024,0)</f>
        <v>0</v>
      </c>
      <c r="AE1024" s="42"/>
      <c r="AF1024" s="27"/>
      <c r="AG1024" s="43">
        <f>IF(O1024="Paid",IF(A1024="Alwataniya",(M1024*21%)-((M1024*21%)*5%),IF((A1024="GIG"),(M1024*25%)-((M1024*25%)*5%),IF((A1024="Allianz"),(M1024*27%)-((M1024*27%)*20%),0))),0)</f>
        <v>5166.116625</v>
      </c>
      <c r="AH1024" s="29" t="s">
        <v>3127</v>
      </c>
      <c r="AI1024" s="29" t="s">
        <v>3107</v>
      </c>
      <c r="AJ1024" s="29"/>
      <c r="AK1024" s="29" t="s">
        <v>1053</v>
      </c>
      <c r="AL1024" s="27"/>
      <c r="AM1024" s="44">
        <f>IF((BD1024&lt;=2),AU1024*10%,(IF((BD1024=3),AU1024*20%,IF((BD1024=4),AU1024*20%,IF((BD1024&gt;=5),AU1024*30%,(IF((BD1024="lead"),AU1024*30%,0)))))))</f>
        <v>842.8927125</v>
      </c>
      <c r="AN1024" s="57">
        <v>44995.0</v>
      </c>
      <c r="AO1024" s="46"/>
      <c r="AP1024" s="47"/>
      <c r="AQ1024" s="43">
        <f t="shared" si="827"/>
        <v>5438.0175</v>
      </c>
      <c r="AR1024" s="43">
        <f t="shared" si="448"/>
        <v>271.900875</v>
      </c>
      <c r="AS1024" s="43">
        <f t="shared" si="449"/>
        <v>951.6530625</v>
      </c>
      <c r="AT1024" s="48">
        <f t="shared" si="753"/>
        <v>4214.463563</v>
      </c>
      <c r="AU1024" s="49">
        <f t="shared" si="800"/>
        <v>4214.463563</v>
      </c>
      <c r="AV1024" s="106">
        <f>AU1024*10%</f>
        <v>421.4463563</v>
      </c>
      <c r="AW1024" s="34">
        <f t="shared" si="540"/>
        <v>23400</v>
      </c>
      <c r="AX1024" s="50">
        <f t="shared" si="811"/>
        <v>2950.124494</v>
      </c>
      <c r="AY1024" s="43"/>
      <c r="AZ1024" s="47"/>
      <c r="BA1024" s="48">
        <f t="shared" si="801"/>
        <v>3371.57085</v>
      </c>
      <c r="BB1024" s="27"/>
      <c r="BC1024" s="27"/>
      <c r="BD1024" s="51">
        <v>3.0</v>
      </c>
      <c r="BE1024" s="52"/>
      <c r="BF1024" s="27"/>
      <c r="BG1024" s="53">
        <v>0.0</v>
      </c>
      <c r="BH1024" s="53" t="str">
        <f>'[1]2023'!Q1311</f>
        <v>#REF!</v>
      </c>
      <c r="BI1024" s="27"/>
      <c r="BJ1024" s="27"/>
      <c r="BK1024" s="27" t="s">
        <v>76</v>
      </c>
      <c r="BL1024" s="27"/>
    </row>
    <row r="1025" ht="14.25" customHeight="1">
      <c r="A1025" s="26" t="s">
        <v>68</v>
      </c>
      <c r="B1025" s="26" t="s">
        <v>56</v>
      </c>
      <c r="C1025" s="26" t="s">
        <v>57</v>
      </c>
      <c r="D1025" s="26" t="s">
        <v>71</v>
      </c>
      <c r="E1025" s="27" t="s">
        <v>3335</v>
      </c>
      <c r="F1025" s="28" t="s">
        <v>3336</v>
      </c>
      <c r="G1025" s="29">
        <v>45186.0</v>
      </c>
      <c r="H1025" s="30">
        <v>45186.0</v>
      </c>
      <c r="I1025" s="30">
        <v>45551.0</v>
      </c>
      <c r="J1025" s="31" t="s">
        <v>3337</v>
      </c>
      <c r="K1025" s="26" t="s">
        <v>475</v>
      </c>
      <c r="L1025" s="32" t="s">
        <v>496</v>
      </c>
      <c r="M1025" s="33">
        <v>6937.81</v>
      </c>
      <c r="N1025" s="34">
        <v>7500.0</v>
      </c>
      <c r="O1025" s="27" t="s">
        <v>76</v>
      </c>
      <c r="P1025" s="35" t="s">
        <v>430</v>
      </c>
      <c r="Q1025" s="35">
        <v>0.0</v>
      </c>
      <c r="R1025" s="36">
        <v>45205.0</v>
      </c>
      <c r="S1025" s="35" t="s">
        <v>78</v>
      </c>
      <c r="T1025" s="35">
        <v>0.0</v>
      </c>
      <c r="U1025" s="37" t="s">
        <v>68</v>
      </c>
      <c r="V1025" s="38">
        <v>300000.0</v>
      </c>
      <c r="W1025" s="38"/>
      <c r="X1025" s="27"/>
      <c r="Y1025" s="39"/>
      <c r="Z1025" s="79" t="s">
        <v>3272</v>
      </c>
      <c r="AA1025" s="39"/>
      <c r="AB1025" s="27"/>
      <c r="AC1025" s="27">
        <f t="shared" si="619"/>
        <v>0</v>
      </c>
      <c r="AD1025" s="41">
        <f t="shared" si="828"/>
        <v>0</v>
      </c>
      <c r="AE1025" s="42"/>
      <c r="AF1025" s="27"/>
      <c r="AG1025" s="43">
        <f>M1025*28%-((M1025*28%)*5%)</f>
        <v>1845.45746</v>
      </c>
      <c r="AH1025" s="29"/>
      <c r="AI1025" s="29" t="s">
        <v>1324</v>
      </c>
      <c r="AJ1025" s="55">
        <v>0.28</v>
      </c>
      <c r="AK1025" s="29" t="s">
        <v>1325</v>
      </c>
      <c r="AL1025" s="27"/>
      <c r="AM1025" s="27"/>
      <c r="AN1025" s="47"/>
      <c r="AO1025" s="46"/>
      <c r="AP1025" s="47"/>
      <c r="AQ1025" s="43">
        <f t="shared" si="827"/>
        <v>1942.5868</v>
      </c>
      <c r="AR1025" s="43">
        <f t="shared" si="448"/>
        <v>97.12934</v>
      </c>
      <c r="AS1025" s="43">
        <f t="shared" si="449"/>
        <v>339.95269</v>
      </c>
      <c r="AT1025" s="48">
        <f t="shared" si="753"/>
        <v>1505.50477</v>
      </c>
      <c r="AU1025" s="49">
        <f t="shared" si="800"/>
        <v>1505.50477</v>
      </c>
      <c r="AV1025" s="48"/>
      <c r="AW1025" s="34">
        <f t="shared" si="540"/>
        <v>7500</v>
      </c>
      <c r="AX1025" s="50">
        <f t="shared" si="811"/>
        <v>1505.50477</v>
      </c>
      <c r="AY1025" s="43"/>
      <c r="AZ1025" s="47"/>
      <c r="BA1025" s="48">
        <f t="shared" si="801"/>
        <v>1505.50477</v>
      </c>
      <c r="BB1025" s="27"/>
      <c r="BC1025" s="27"/>
      <c r="BD1025" s="51"/>
      <c r="BE1025" s="52"/>
      <c r="BF1025" s="27"/>
      <c r="BG1025" s="58" t="s">
        <v>562</v>
      </c>
      <c r="BH1025" s="53" t="str">
        <f>'[1]2023'!Q1328</f>
        <v>#REF!</v>
      </c>
      <c r="BI1025" s="27"/>
      <c r="BJ1025" s="27"/>
      <c r="BK1025" s="27" t="s">
        <v>76</v>
      </c>
      <c r="BL1025" s="27"/>
    </row>
    <row r="1026" ht="14.25" customHeight="1">
      <c r="A1026" s="26" t="s">
        <v>55</v>
      </c>
      <c r="B1026" s="26" t="s">
        <v>56</v>
      </c>
      <c r="C1026" s="26" t="s">
        <v>57</v>
      </c>
      <c r="D1026" s="26" t="s">
        <v>71</v>
      </c>
      <c r="E1026" s="27" t="s">
        <v>3338</v>
      </c>
      <c r="F1026" s="28" t="s">
        <v>3339</v>
      </c>
      <c r="G1026" s="182">
        <v>45186.0</v>
      </c>
      <c r="H1026" s="30">
        <v>45186.0</v>
      </c>
      <c r="I1026" s="30">
        <v>45551.0</v>
      </c>
      <c r="J1026" s="31" t="s">
        <v>3340</v>
      </c>
      <c r="K1026" s="26" t="s">
        <v>475</v>
      </c>
      <c r="L1026" s="183" t="s">
        <v>63</v>
      </c>
      <c r="M1026" s="33">
        <v>133118.75</v>
      </c>
      <c r="N1026" s="34">
        <v>141779.35</v>
      </c>
      <c r="O1026" s="27" t="s">
        <v>76</v>
      </c>
      <c r="P1026" s="35" t="s">
        <v>142</v>
      </c>
      <c r="Q1026" s="35" t="s">
        <v>108</v>
      </c>
      <c r="R1026" s="36">
        <v>45186.0</v>
      </c>
      <c r="S1026" s="35" t="s">
        <v>86</v>
      </c>
      <c r="T1026" s="35">
        <v>0.0</v>
      </c>
      <c r="U1026" s="37" t="s">
        <v>67</v>
      </c>
      <c r="V1026" s="38">
        <v>4750000.0</v>
      </c>
      <c r="W1026" s="78" t="s">
        <v>3341</v>
      </c>
      <c r="X1026" s="27">
        <v>2023.0</v>
      </c>
      <c r="Y1026" s="79" t="s">
        <v>2851</v>
      </c>
      <c r="Z1026" s="79" t="s">
        <v>3342</v>
      </c>
      <c r="AA1026" s="39">
        <v>8.0298992E7</v>
      </c>
      <c r="AB1026" s="27"/>
      <c r="AC1026" s="27">
        <f t="shared" si="619"/>
        <v>0</v>
      </c>
      <c r="AD1026" s="41">
        <f t="shared" si="828"/>
        <v>19967.8125</v>
      </c>
      <c r="AE1026" s="42">
        <v>2400.0</v>
      </c>
      <c r="AF1026" s="27" t="s">
        <v>1312</v>
      </c>
      <c r="AG1026" s="43">
        <f>IF(O1026="Paid",IF(A1026="Alwataniya",(M1026*21%)-((M1026*21%)*5%),IF((A1026="GIG"),(M1026*25%)-((M1026*25%)*5%),IF((A1026="Allianz"),(M1026*27%)-((M1026*27%)*5%),0))),0)</f>
        <v>34144.95938</v>
      </c>
      <c r="AH1026" s="29"/>
      <c r="AI1026" s="29"/>
      <c r="AJ1026" s="29"/>
      <c r="AK1026" s="29"/>
      <c r="AL1026" s="27"/>
      <c r="AM1026" s="27"/>
      <c r="AN1026" s="47"/>
      <c r="AO1026" s="46"/>
      <c r="AP1026" s="47"/>
      <c r="AQ1026" s="43">
        <f t="shared" si="827"/>
        <v>35942.0625</v>
      </c>
      <c r="AR1026" s="43">
        <f t="shared" si="448"/>
        <v>1797.103125</v>
      </c>
      <c r="AS1026" s="43">
        <f t="shared" si="449"/>
        <v>6289.860938</v>
      </c>
      <c r="AT1026" s="48">
        <f t="shared" si="753"/>
        <v>27855.09844</v>
      </c>
      <c r="AU1026" s="49">
        <f t="shared" si="800"/>
        <v>27855.09844</v>
      </c>
      <c r="AV1026" s="48"/>
      <c r="AW1026" s="34">
        <f t="shared" si="540"/>
        <v>119411.5375</v>
      </c>
      <c r="AX1026" s="50">
        <f t="shared" si="811"/>
        <v>5487.285938</v>
      </c>
      <c r="AY1026" s="43"/>
      <c r="AZ1026" s="47"/>
      <c r="BA1026" s="48">
        <f t="shared" si="801"/>
        <v>27855.09844</v>
      </c>
      <c r="BB1026" s="27"/>
      <c r="BC1026" s="27"/>
      <c r="BD1026" s="51"/>
      <c r="BE1026" s="52"/>
      <c r="BF1026" s="27"/>
      <c r="BG1026" s="53">
        <v>0.0</v>
      </c>
      <c r="BH1026" s="53" t="str">
        <f>'[1]2023'!Q1361</f>
        <v>#REF!</v>
      </c>
      <c r="BI1026" s="27"/>
      <c r="BJ1026" s="27"/>
      <c r="BK1026" s="27" t="s">
        <v>76</v>
      </c>
      <c r="BL1026" s="27"/>
    </row>
    <row r="1027" ht="14.25" customHeight="1">
      <c r="A1027" s="26" t="s">
        <v>55</v>
      </c>
      <c r="B1027" s="26" t="s">
        <v>56</v>
      </c>
      <c r="C1027" s="26" t="s">
        <v>57</v>
      </c>
      <c r="D1027" s="26" t="s">
        <v>81</v>
      </c>
      <c r="E1027" s="27" t="s">
        <v>3343</v>
      </c>
      <c r="F1027" s="26" t="s">
        <v>3344</v>
      </c>
      <c r="G1027" s="29">
        <v>45186.0</v>
      </c>
      <c r="H1027" s="30">
        <v>45186.0</v>
      </c>
      <c r="I1027" s="30">
        <v>45551.0</v>
      </c>
      <c r="J1027" s="31">
        <v>0.0</v>
      </c>
      <c r="K1027" s="26" t="s">
        <v>3299</v>
      </c>
      <c r="L1027" s="32"/>
      <c r="M1027" s="33"/>
      <c r="N1027" s="33"/>
      <c r="O1027" s="27" t="s">
        <v>64</v>
      </c>
      <c r="P1027" s="35">
        <v>0.0</v>
      </c>
      <c r="Q1027" s="35">
        <v>0.0</v>
      </c>
      <c r="R1027" s="36">
        <v>45186.0</v>
      </c>
      <c r="S1027" s="35" t="s">
        <v>86</v>
      </c>
      <c r="T1027" s="35">
        <v>0.0</v>
      </c>
      <c r="U1027" s="37">
        <v>0.0</v>
      </c>
      <c r="V1027" s="38"/>
      <c r="W1027" s="78"/>
      <c r="X1027" s="27"/>
      <c r="Y1027" s="39"/>
      <c r="Z1027" s="39"/>
      <c r="AA1027" s="39"/>
      <c r="AB1027" s="27"/>
      <c r="AC1027" s="27">
        <f t="shared" si="619"/>
        <v>0</v>
      </c>
      <c r="AD1027" s="41">
        <f t="shared" si="828"/>
        <v>0</v>
      </c>
      <c r="AE1027" s="42"/>
      <c r="AF1027" s="27"/>
      <c r="AG1027" s="43">
        <f>IF(O1027="Paid",IF(A1027="Wethaq",(M1027*28%)-((M1027*28%)*5%),IF((A1027="GIG"),(M1027*25%)-((M1027*25%)*5%),IF((A1027="Allianz"),(M1027*27%)-((M1027*27%)*20%),0))),0)</f>
        <v>0</v>
      </c>
      <c r="AH1027" s="29"/>
      <c r="AI1027" s="29"/>
      <c r="AJ1027" s="29"/>
      <c r="AK1027" s="29"/>
      <c r="AL1027" s="27"/>
      <c r="AM1027" s="27"/>
      <c r="AN1027" s="47"/>
      <c r="AO1027" s="46"/>
      <c r="AP1027" s="47"/>
      <c r="AQ1027" s="43" t="b">
        <f>IF(O1027="Paid",IF(U1027="Motor Plus",(M1027*27%),IF(U1027="Motor One",(M1027*22%),(IF(U1027="Golden",(M1027*25%),(IF(U1027="Classic",(M1027*15%),(IF(U1027="Wethaq",(M1027*28%),IF(U1027="Alwataniya",(M1027*21%))*0)))))))))</f>
        <v>0</v>
      </c>
      <c r="AR1027" s="43">
        <f t="shared" si="448"/>
        <v>0</v>
      </c>
      <c r="AS1027" s="43">
        <f t="shared" si="449"/>
        <v>0</v>
      </c>
      <c r="AT1027" s="48">
        <f t="shared" si="753"/>
        <v>0</v>
      </c>
      <c r="AU1027" s="49">
        <f t="shared" si="800"/>
        <v>0</v>
      </c>
      <c r="AV1027" s="48"/>
      <c r="AW1027" s="34">
        <f t="shared" si="540"/>
        <v>0</v>
      </c>
      <c r="AX1027" s="50">
        <f t="shared" si="811"/>
        <v>0</v>
      </c>
      <c r="AY1027" s="43"/>
      <c r="AZ1027" s="47"/>
      <c r="BA1027" s="48">
        <f t="shared" si="801"/>
        <v>0</v>
      </c>
      <c r="BB1027" s="27"/>
      <c r="BC1027" s="27"/>
      <c r="BD1027" s="51"/>
      <c r="BE1027" s="52"/>
      <c r="BF1027" s="27"/>
      <c r="BG1027" s="53">
        <v>0.0</v>
      </c>
      <c r="BH1027" s="53" t="str">
        <f>'[1]2023'!Q1671</f>
        <v>#REF!</v>
      </c>
      <c r="BI1027" s="27"/>
      <c r="BJ1027" s="27"/>
      <c r="BK1027" s="27" t="s">
        <v>64</v>
      </c>
      <c r="BL1027" s="27"/>
    </row>
    <row r="1028" ht="14.25" customHeight="1">
      <c r="A1028" s="26" t="s">
        <v>55</v>
      </c>
      <c r="B1028" s="26" t="s">
        <v>56</v>
      </c>
      <c r="C1028" s="26" t="s">
        <v>57</v>
      </c>
      <c r="D1028" s="26" t="s">
        <v>58</v>
      </c>
      <c r="E1028" s="27" t="s">
        <v>3345</v>
      </c>
      <c r="F1028" s="28" t="s">
        <v>3346</v>
      </c>
      <c r="G1028" s="29">
        <v>45187.0</v>
      </c>
      <c r="H1028" s="30">
        <v>45187.0</v>
      </c>
      <c r="I1028" s="30">
        <v>45552.0</v>
      </c>
      <c r="J1028" s="31">
        <v>0.0</v>
      </c>
      <c r="K1028" s="26" t="s">
        <v>475</v>
      </c>
      <c r="L1028" s="32" t="s">
        <v>3347</v>
      </c>
      <c r="M1028" s="33">
        <v>9678.97</v>
      </c>
      <c r="N1028" s="33">
        <v>10254.03</v>
      </c>
      <c r="O1028" s="27" t="s">
        <v>76</v>
      </c>
      <c r="P1028" s="35" t="s">
        <v>430</v>
      </c>
      <c r="Q1028" s="35" t="s">
        <v>65</v>
      </c>
      <c r="R1028" s="36">
        <v>45187.0</v>
      </c>
      <c r="S1028" s="35" t="s">
        <v>66</v>
      </c>
      <c r="T1028" s="35">
        <v>0.0</v>
      </c>
      <c r="U1028" s="37" t="s">
        <v>67</v>
      </c>
      <c r="V1028" s="38"/>
      <c r="W1028" s="38"/>
      <c r="X1028" s="27"/>
      <c r="Y1028" s="39"/>
      <c r="Z1028" s="39"/>
      <c r="AA1028" s="39"/>
      <c r="AB1028" s="27"/>
      <c r="AC1028" s="27">
        <f t="shared" si="619"/>
        <v>0</v>
      </c>
      <c r="AD1028" s="41">
        <f t="shared" si="828"/>
        <v>0</v>
      </c>
      <c r="AE1028" s="42"/>
      <c r="AF1028" s="27"/>
      <c r="AG1028" s="43">
        <f>IF(O1028="Paid",IF(A1028="Alwataniya",(M1028*21%)-((M1028*21%)*5%),IF((A1028="GIG"),(M1028*25%)-((M1028*25%)*5%),IF((A1028="Allianz"),(M1028*27%)-((M1028*27%)*5%),0))),0)</f>
        <v>2482.655805</v>
      </c>
      <c r="AH1028" s="29"/>
      <c r="AI1028" s="29"/>
      <c r="AJ1028" s="29"/>
      <c r="AK1028" s="29"/>
      <c r="AL1028" s="27"/>
      <c r="AM1028" s="27">
        <f>((M1028*25%)-AC1028-((M1028*25%)*22.5%))*30%</f>
        <v>562.5901313</v>
      </c>
      <c r="AN1028" s="179">
        <v>45148.0</v>
      </c>
      <c r="AO1028" s="46"/>
      <c r="AP1028" s="47"/>
      <c r="AQ1028" s="43">
        <f t="shared" ref="AQ1028:AQ1030" si="829">IF(U1028="Motor Plus",(M1028*27%),IF(U1028="Motor One",(M1028*22%),(IF(U1028="Golden",(M1028*25%),(IF(U1028="Classic",(M1028*15%),(IF(U1028="Wethaq",(M1028*28%),IF(U1028="Alwataniya",(M1028*21%))*0))))))))</f>
        <v>2613.3219</v>
      </c>
      <c r="AR1028" s="43">
        <f t="shared" si="448"/>
        <v>130.666095</v>
      </c>
      <c r="AS1028" s="43">
        <f t="shared" si="449"/>
        <v>457.3313325</v>
      </c>
      <c r="AT1028" s="48">
        <f t="shared" si="753"/>
        <v>2025.324473</v>
      </c>
      <c r="AU1028" s="49">
        <f t="shared" si="800"/>
        <v>2025.324473</v>
      </c>
      <c r="AV1028" s="48"/>
      <c r="AW1028" s="34">
        <f t="shared" si="540"/>
        <v>10254.03</v>
      </c>
      <c r="AX1028" s="50">
        <f t="shared" si="811"/>
        <v>1462.734341</v>
      </c>
      <c r="AY1028" s="43"/>
      <c r="AZ1028" s="47"/>
      <c r="BA1028" s="48">
        <f t="shared" si="801"/>
        <v>1462.734341</v>
      </c>
      <c r="BB1028" s="27"/>
      <c r="BC1028" s="27"/>
      <c r="BD1028" s="51"/>
      <c r="BE1028" s="52"/>
      <c r="BF1028" s="27"/>
      <c r="BG1028" s="58" t="s">
        <v>562</v>
      </c>
      <c r="BH1028" s="53" t="str">
        <f>'[1]2023'!Q1324</f>
        <v>#REF!</v>
      </c>
      <c r="BI1028" s="27"/>
      <c r="BJ1028" s="27"/>
      <c r="BK1028" s="27" t="s">
        <v>76</v>
      </c>
      <c r="BL1028" s="27"/>
    </row>
    <row r="1029" ht="14.25" customHeight="1">
      <c r="A1029" s="26" t="s">
        <v>68</v>
      </c>
      <c r="B1029" s="26" t="s">
        <v>56</v>
      </c>
      <c r="C1029" s="26" t="s">
        <v>57</v>
      </c>
      <c r="D1029" s="26" t="s">
        <v>71</v>
      </c>
      <c r="E1029" s="27" t="s">
        <v>3348</v>
      </c>
      <c r="F1029" s="28" t="s">
        <v>3349</v>
      </c>
      <c r="G1029" s="29">
        <v>45187.0</v>
      </c>
      <c r="H1029" s="30">
        <v>45187.0</v>
      </c>
      <c r="I1029" s="30">
        <v>45552.0</v>
      </c>
      <c r="J1029" s="31" t="s">
        <v>3350</v>
      </c>
      <c r="K1029" s="26" t="s">
        <v>475</v>
      </c>
      <c r="L1029" s="69">
        <v>44995.0</v>
      </c>
      <c r="M1029" s="33">
        <v>11512.03</v>
      </c>
      <c r="N1029" s="33">
        <v>12375.0</v>
      </c>
      <c r="O1029" s="27" t="s">
        <v>76</v>
      </c>
      <c r="P1029" s="35" t="s">
        <v>142</v>
      </c>
      <c r="Q1029" s="35" t="s">
        <v>90</v>
      </c>
      <c r="R1029" s="36">
        <v>45206.0</v>
      </c>
      <c r="S1029" s="35" t="s">
        <v>78</v>
      </c>
      <c r="T1029" s="54" t="s">
        <v>456</v>
      </c>
      <c r="U1029" s="37" t="s">
        <v>68</v>
      </c>
      <c r="V1029" s="38">
        <v>550000.0</v>
      </c>
      <c r="W1029" s="38"/>
      <c r="X1029" s="27"/>
      <c r="Y1029" s="39"/>
      <c r="Z1029" s="39" t="s">
        <v>2936</v>
      </c>
      <c r="AA1029" s="39"/>
      <c r="AB1029" s="27"/>
      <c r="AC1029" s="27">
        <f t="shared" si="619"/>
        <v>0</v>
      </c>
      <c r="AD1029" s="109">
        <f>M1029*15%</f>
        <v>1726.8045</v>
      </c>
      <c r="AE1029" s="42">
        <v>400.0</v>
      </c>
      <c r="AF1029" s="29">
        <v>44967.0</v>
      </c>
      <c r="AG1029" s="177">
        <f>IF(O1029="Paid",IF(A1029="Wethaq",(M1029*28%)-((M1029*28%)*5%)))</f>
        <v>3062.19998</v>
      </c>
      <c r="AH1029" s="29"/>
      <c r="AI1029" s="29" t="s">
        <v>1324</v>
      </c>
      <c r="AJ1029" s="55">
        <v>0.28</v>
      </c>
      <c r="AK1029" s="29" t="s">
        <v>1325</v>
      </c>
      <c r="AL1029" s="27"/>
      <c r="AM1029" s="27"/>
      <c r="AN1029" s="47"/>
      <c r="AO1029" s="46"/>
      <c r="AP1029" s="47"/>
      <c r="AQ1029" s="43">
        <f t="shared" si="829"/>
        <v>3223.3684</v>
      </c>
      <c r="AR1029" s="43">
        <f t="shared" si="448"/>
        <v>161.16842</v>
      </c>
      <c r="AS1029" s="43">
        <f t="shared" si="449"/>
        <v>564.08947</v>
      </c>
      <c r="AT1029" s="48">
        <f t="shared" si="753"/>
        <v>2498.11051</v>
      </c>
      <c r="AU1029" s="49">
        <f t="shared" si="800"/>
        <v>2498.11051</v>
      </c>
      <c r="AV1029" s="48"/>
      <c r="AW1029" s="34">
        <f t="shared" si="540"/>
        <v>10248.1955</v>
      </c>
      <c r="AX1029" s="50">
        <f t="shared" si="811"/>
        <v>371.30601</v>
      </c>
      <c r="AY1029" s="43"/>
      <c r="AZ1029" s="47"/>
      <c r="BA1029" s="48">
        <f t="shared" si="801"/>
        <v>2498.11051</v>
      </c>
      <c r="BB1029" s="27"/>
      <c r="BC1029" s="27"/>
      <c r="BD1029" s="51"/>
      <c r="BE1029" s="52"/>
      <c r="BF1029" s="27"/>
      <c r="BG1029" s="58" t="s">
        <v>562</v>
      </c>
      <c r="BH1029" s="53" t="str">
        <f>'[1]2023'!Q1329</f>
        <v>#REF!</v>
      </c>
      <c r="BI1029" s="27"/>
      <c r="BJ1029" s="27"/>
      <c r="BK1029" s="27" t="s">
        <v>76</v>
      </c>
      <c r="BL1029" s="27"/>
    </row>
    <row r="1030" ht="14.25" customHeight="1">
      <c r="A1030" s="26" t="s">
        <v>55</v>
      </c>
      <c r="B1030" s="26" t="s">
        <v>56</v>
      </c>
      <c r="C1030" s="26" t="s">
        <v>57</v>
      </c>
      <c r="D1030" s="26" t="s">
        <v>71</v>
      </c>
      <c r="E1030" s="27" t="s">
        <v>3351</v>
      </c>
      <c r="F1030" s="28" t="s">
        <v>3352</v>
      </c>
      <c r="G1030" s="29">
        <v>45188.0</v>
      </c>
      <c r="H1030" s="30">
        <v>45188.0</v>
      </c>
      <c r="I1030" s="30">
        <v>45553.0</v>
      </c>
      <c r="J1030" s="31" t="s">
        <v>3353</v>
      </c>
      <c r="K1030" s="26" t="s">
        <v>475</v>
      </c>
      <c r="L1030" s="69">
        <v>45208.0</v>
      </c>
      <c r="M1030" s="33">
        <v>18150.0</v>
      </c>
      <c r="N1030" s="33">
        <v>19452.6</v>
      </c>
      <c r="O1030" s="27" t="s">
        <v>76</v>
      </c>
      <c r="P1030" s="35" t="s">
        <v>122</v>
      </c>
      <c r="Q1030" s="35">
        <v>0.0</v>
      </c>
      <c r="R1030" s="36">
        <v>45188.0</v>
      </c>
      <c r="S1030" s="35" t="s">
        <v>78</v>
      </c>
      <c r="T1030" s="35">
        <v>0.0</v>
      </c>
      <c r="U1030" s="37" t="s">
        <v>67</v>
      </c>
      <c r="V1030" s="38">
        <v>1100000.0</v>
      </c>
      <c r="W1030" s="78">
        <v>592506.0</v>
      </c>
      <c r="X1030" s="27">
        <v>2016.0</v>
      </c>
      <c r="Y1030" s="39"/>
      <c r="Z1030" s="79" t="s">
        <v>3354</v>
      </c>
      <c r="AA1030" s="39"/>
      <c r="AB1030" s="27"/>
      <c r="AC1030" s="27">
        <f t="shared" si="619"/>
        <v>0</v>
      </c>
      <c r="AD1030" s="41">
        <f t="shared" ref="AD1030:AD1031" si="830">IF(AND(S1030="0",O1030="Paid"),(M1030*15%)-AC1030,0)</f>
        <v>0</v>
      </c>
      <c r="AE1030" s="42"/>
      <c r="AF1030" s="27"/>
      <c r="AG1030" s="43">
        <f>IF(O1030="Paid",IF(A1030="Alwataniya",(M1030*21%)-((M1030*21%)*5%),IF((A1030="GIG"),(M1030*25%)-((M1030*25%)*5%),IF((A1030="Allianz"),(M1030*27%)-((M1030*27%)*5%),0))),0)</f>
        <v>4655.475</v>
      </c>
      <c r="AH1030" s="29"/>
      <c r="AI1030" s="29"/>
      <c r="AJ1030" s="29"/>
      <c r="AK1030" s="29"/>
      <c r="AL1030" s="27"/>
      <c r="AM1030" s="27"/>
      <c r="AN1030" s="47"/>
      <c r="AO1030" s="46"/>
      <c r="AP1030" s="47"/>
      <c r="AQ1030" s="43">
        <f t="shared" si="829"/>
        <v>4900.5</v>
      </c>
      <c r="AR1030" s="43">
        <f t="shared" si="448"/>
        <v>245.025</v>
      </c>
      <c r="AS1030" s="43">
        <f t="shared" si="449"/>
        <v>857.5875</v>
      </c>
      <c r="AT1030" s="48">
        <f t="shared" si="753"/>
        <v>3797.8875</v>
      </c>
      <c r="AU1030" s="49">
        <f t="shared" si="800"/>
        <v>3797.8875</v>
      </c>
      <c r="AV1030" s="48"/>
      <c r="AW1030" s="34">
        <f t="shared" si="540"/>
        <v>19452.6</v>
      </c>
      <c r="AX1030" s="50">
        <f t="shared" si="811"/>
        <v>3797.8875</v>
      </c>
      <c r="AY1030" s="43"/>
      <c r="AZ1030" s="47"/>
      <c r="BA1030" s="48">
        <f t="shared" si="801"/>
        <v>3797.8875</v>
      </c>
      <c r="BB1030" s="27"/>
      <c r="BC1030" s="27"/>
      <c r="BD1030" s="51"/>
      <c r="BE1030" s="52"/>
      <c r="BF1030" s="27"/>
      <c r="BG1030" s="58" t="s">
        <v>449</v>
      </c>
      <c r="BH1030" s="53" t="str">
        <f>'[1]2023'!Q1313</f>
        <v>#REF!</v>
      </c>
      <c r="BI1030" s="27"/>
      <c r="BJ1030" s="27"/>
      <c r="BK1030" s="27" t="s">
        <v>76</v>
      </c>
      <c r="BL1030" s="27"/>
    </row>
    <row r="1031" ht="14.25" customHeight="1">
      <c r="A1031" s="26" t="s">
        <v>111</v>
      </c>
      <c r="B1031" s="26" t="s">
        <v>56</v>
      </c>
      <c r="C1031" s="26" t="s">
        <v>57</v>
      </c>
      <c r="D1031" s="26" t="s">
        <v>71</v>
      </c>
      <c r="E1031" s="27" t="s">
        <v>3355</v>
      </c>
      <c r="F1031" s="28" t="s">
        <v>3356</v>
      </c>
      <c r="G1031" s="29">
        <v>45188.0</v>
      </c>
      <c r="H1031" s="30">
        <v>45188.0</v>
      </c>
      <c r="I1031" s="30">
        <v>45553.0</v>
      </c>
      <c r="J1031" s="31" t="s">
        <v>3357</v>
      </c>
      <c r="K1031" s="26" t="s">
        <v>475</v>
      </c>
      <c r="L1031" s="32" t="s">
        <v>63</v>
      </c>
      <c r="M1031" s="33">
        <v>19308.46</v>
      </c>
      <c r="N1031" s="34">
        <v>20800.0</v>
      </c>
      <c r="O1031" s="27" t="s">
        <v>64</v>
      </c>
      <c r="P1031" s="35">
        <v>0.0</v>
      </c>
      <c r="Q1031" s="35" t="s">
        <v>114</v>
      </c>
      <c r="R1031" s="36">
        <v>45197.0</v>
      </c>
      <c r="S1031" s="35" t="s">
        <v>676</v>
      </c>
      <c r="T1031" s="35">
        <v>0.0</v>
      </c>
      <c r="U1031" s="37" t="s">
        <v>115</v>
      </c>
      <c r="V1031" s="38">
        <v>800000.0</v>
      </c>
      <c r="W1031" s="38"/>
      <c r="X1031" s="27"/>
      <c r="Y1031" s="39"/>
      <c r="Z1031" s="39" t="s">
        <v>3358</v>
      </c>
      <c r="AA1031" s="39"/>
      <c r="AB1031" s="27"/>
      <c r="AC1031" s="27">
        <f t="shared" si="619"/>
        <v>0</v>
      </c>
      <c r="AD1031" s="41">
        <f t="shared" si="830"/>
        <v>0</v>
      </c>
      <c r="AE1031" s="42"/>
      <c r="AF1031" s="27"/>
      <c r="AG1031" s="43">
        <f t="shared" ref="AG1031:AG1032" si="831">IF(O1031="Paid",IF(A1031="Alwataniya",(M1031*21%)-((M1031*21%)*5%),IF((A1031="GIG"),(M1031*25%)-((M1031*25%)*5%),IF((A1031="Allianz"),(M1031*27%)-((M1031*27%)*20%),0))),0)</f>
        <v>0</v>
      </c>
      <c r="AH1031" s="29"/>
      <c r="AI1031" s="29"/>
      <c r="AJ1031" s="29"/>
      <c r="AK1031" s="29"/>
      <c r="AL1031" s="27"/>
      <c r="AM1031" s="27"/>
      <c r="AN1031" s="47"/>
      <c r="AO1031" s="46"/>
      <c r="AP1031" s="47"/>
      <c r="AQ1031" s="43" t="b">
        <f>IF(O1031="Paid",IF(U1031="Motor Plus",(M1031*27%),IF(U1031="Motor One",(M1031*22%),(IF(U1031="Golden",(M1031*25%),(IF(U1031="Classic",(M1031*15%),(IF(U1031="Wethaq",(M1031*28%),IF(U1031="Alwataniya",(M1031*21%))*0)))))))))</f>
        <v>0</v>
      </c>
      <c r="AR1031" s="43">
        <f t="shared" si="448"/>
        <v>0</v>
      </c>
      <c r="AS1031" s="43">
        <f t="shared" si="449"/>
        <v>0</v>
      </c>
      <c r="AT1031" s="48">
        <f t="shared" si="753"/>
        <v>0</v>
      </c>
      <c r="AU1031" s="49">
        <f t="shared" si="800"/>
        <v>0</v>
      </c>
      <c r="AV1031" s="48"/>
      <c r="AW1031" s="34">
        <f t="shared" si="540"/>
        <v>20800</v>
      </c>
      <c r="AX1031" s="50">
        <f t="shared" si="811"/>
        <v>0</v>
      </c>
      <c r="AY1031" s="43"/>
      <c r="AZ1031" s="47"/>
      <c r="BA1031" s="48">
        <f t="shared" si="801"/>
        <v>0</v>
      </c>
      <c r="BB1031" s="27"/>
      <c r="BC1031" s="27"/>
      <c r="BD1031" s="51"/>
      <c r="BE1031" s="52"/>
      <c r="BF1031" s="27"/>
      <c r="BG1031" s="53">
        <v>0.0</v>
      </c>
      <c r="BH1031" s="53" t="str">
        <f>'[1]2023'!Q1332</f>
        <v>#REF!</v>
      </c>
      <c r="BI1031" s="27"/>
      <c r="BJ1031" s="27"/>
      <c r="BK1031" s="27" t="s">
        <v>64</v>
      </c>
      <c r="BL1031" s="27"/>
    </row>
    <row r="1032" ht="14.25" customHeight="1">
      <c r="A1032" s="26" t="s">
        <v>111</v>
      </c>
      <c r="B1032" s="26" t="s">
        <v>56</v>
      </c>
      <c r="C1032" s="26" t="s">
        <v>57</v>
      </c>
      <c r="D1032" s="26" t="s">
        <v>71</v>
      </c>
      <c r="E1032" s="27" t="s">
        <v>3359</v>
      </c>
      <c r="F1032" s="28" t="s">
        <v>3360</v>
      </c>
      <c r="G1032" s="29">
        <v>45188.0</v>
      </c>
      <c r="H1032" s="30">
        <v>45188.0</v>
      </c>
      <c r="I1032" s="30">
        <v>45553.0</v>
      </c>
      <c r="J1032" s="31" t="s">
        <v>3361</v>
      </c>
      <c r="K1032" s="26" t="s">
        <v>475</v>
      </c>
      <c r="L1032" s="32" t="s">
        <v>1312</v>
      </c>
      <c r="M1032" s="33">
        <v>24195.68</v>
      </c>
      <c r="N1032" s="34">
        <v>26000.0</v>
      </c>
      <c r="O1032" s="27" t="s">
        <v>76</v>
      </c>
      <c r="P1032" s="35" t="s">
        <v>162</v>
      </c>
      <c r="Q1032" s="35" t="s">
        <v>114</v>
      </c>
      <c r="R1032" s="36">
        <v>45197.0</v>
      </c>
      <c r="S1032" s="35" t="s">
        <v>78</v>
      </c>
      <c r="T1032" s="54" t="s">
        <v>1675</v>
      </c>
      <c r="U1032" s="37" t="s">
        <v>115</v>
      </c>
      <c r="V1032" s="38">
        <v>1000000.0</v>
      </c>
      <c r="W1032" s="38"/>
      <c r="X1032" s="27"/>
      <c r="Y1032" s="39"/>
      <c r="Z1032" s="79" t="s">
        <v>3362</v>
      </c>
      <c r="AA1032" s="39"/>
      <c r="AB1032" s="27"/>
      <c r="AC1032" s="27">
        <f t="shared" si="619"/>
        <v>0</v>
      </c>
      <c r="AD1032" s="41"/>
      <c r="AE1032" s="42"/>
      <c r="AF1032" s="27"/>
      <c r="AG1032" s="43">
        <f t="shared" si="831"/>
        <v>5746.474</v>
      </c>
      <c r="AH1032" s="29">
        <v>44936.0</v>
      </c>
      <c r="AI1032" s="29">
        <v>45179.0</v>
      </c>
      <c r="AJ1032" s="29"/>
      <c r="AK1032" s="29">
        <v>45148.0</v>
      </c>
      <c r="AL1032" s="27"/>
      <c r="AM1032" s="27"/>
      <c r="AN1032" s="47"/>
      <c r="AO1032" s="46">
        <f>M1032*15%</f>
        <v>3629.352</v>
      </c>
      <c r="AP1032" s="47" t="s">
        <v>497</v>
      </c>
      <c r="AQ1032" s="43">
        <f t="shared" ref="AQ1032:AQ1037" si="832">IF(U1032="Motor Plus",(M1032*27%),IF(U1032="Motor One",(M1032*22%),(IF(U1032="Golden",(M1032*25%),(IF(U1032="Classic",(M1032*15%),(IF(U1032="Wethaq",(M1032*28%),IF(U1032="Alwataniya",(M1032*21%))*0))))))))</f>
        <v>6048.92</v>
      </c>
      <c r="AR1032" s="43">
        <f t="shared" si="448"/>
        <v>302.446</v>
      </c>
      <c r="AS1032" s="43">
        <f t="shared" si="449"/>
        <v>1058.561</v>
      </c>
      <c r="AT1032" s="48">
        <f t="shared" si="753"/>
        <v>4687.913</v>
      </c>
      <c r="AU1032" s="49">
        <f t="shared" si="800"/>
        <v>1058.561</v>
      </c>
      <c r="AV1032" s="48"/>
      <c r="AW1032" s="34">
        <f>N1032-AD1032-AE1032-AC1032-AO1032</f>
        <v>22370.648</v>
      </c>
      <c r="AX1032" s="50">
        <f t="shared" si="811"/>
        <v>1058.561</v>
      </c>
      <c r="AY1032" s="43"/>
      <c r="AZ1032" s="47"/>
      <c r="BA1032" s="48">
        <f t="shared" si="801"/>
        <v>-2570.791</v>
      </c>
      <c r="BB1032" s="27"/>
      <c r="BC1032" s="27"/>
      <c r="BD1032" s="51"/>
      <c r="BE1032" s="52"/>
      <c r="BF1032" s="27"/>
      <c r="BG1032" s="53">
        <v>0.0</v>
      </c>
      <c r="BH1032" s="53" t="str">
        <f t="shared" ref="BH1032:BH1033" si="833">'[1]2023'!Q1336</f>
        <v>#REF!</v>
      </c>
      <c r="BI1032" s="27"/>
      <c r="BJ1032" s="27"/>
      <c r="BK1032" s="27" t="s">
        <v>76</v>
      </c>
      <c r="BL1032" s="27"/>
    </row>
    <row r="1033" ht="14.25" customHeight="1">
      <c r="A1033" s="26" t="s">
        <v>111</v>
      </c>
      <c r="B1033" s="26" t="s">
        <v>56</v>
      </c>
      <c r="C1033" s="26" t="s">
        <v>57</v>
      </c>
      <c r="D1033" s="26" t="s">
        <v>71</v>
      </c>
      <c r="E1033" s="27" t="s">
        <v>3363</v>
      </c>
      <c r="F1033" s="28" t="s">
        <v>3364</v>
      </c>
      <c r="G1033" s="29">
        <v>45188.0</v>
      </c>
      <c r="H1033" s="30">
        <v>45188.0</v>
      </c>
      <c r="I1033" s="30">
        <v>45553.0</v>
      </c>
      <c r="J1033" s="31" t="s">
        <v>3365</v>
      </c>
      <c r="K1033" s="26" t="s">
        <v>475</v>
      </c>
      <c r="L1033" s="32" t="s">
        <v>497</v>
      </c>
      <c r="M1033" s="33">
        <v>20154.32</v>
      </c>
      <c r="N1033" s="34">
        <v>21700.0</v>
      </c>
      <c r="O1033" s="27" t="s">
        <v>76</v>
      </c>
      <c r="P1033" s="35" t="s">
        <v>89</v>
      </c>
      <c r="Q1033" s="35" t="s">
        <v>114</v>
      </c>
      <c r="R1033" s="36">
        <v>45197.0</v>
      </c>
      <c r="S1033" s="35" t="s">
        <v>1103</v>
      </c>
      <c r="T1033" s="35">
        <v>0.0</v>
      </c>
      <c r="U1033" s="37" t="s">
        <v>149</v>
      </c>
      <c r="V1033" s="38">
        <v>1000000.0</v>
      </c>
      <c r="W1033" s="38"/>
      <c r="X1033" s="27"/>
      <c r="Y1033" s="39"/>
      <c r="Z1033" s="79" t="s">
        <v>3366</v>
      </c>
      <c r="AA1033" s="39"/>
      <c r="AB1033" s="27"/>
      <c r="AC1033" s="27">
        <f t="shared" si="619"/>
        <v>0</v>
      </c>
      <c r="AD1033" s="41">
        <f t="shared" ref="AD1033:AD1036" si="834">IF(AND(S1033="0",O1033="Paid"),(M1033*15%)-AC1033,0)</f>
        <v>0</v>
      </c>
      <c r="AE1033" s="42"/>
      <c r="AF1033" s="27"/>
      <c r="AG1033" s="43">
        <f>IF(O1033="Paid",IF(A1033="Alwataniya",(M1033*21%)-((M1033*21%)*5%),IF((A1033="GIG"),(M1033*15%)-((M1033*15%)*5%),IF((A1033="Allianz"),(M1033*27%)-((M1033*27%)*20%),0))),0)</f>
        <v>2871.9906</v>
      </c>
      <c r="AH1033" s="29" t="s">
        <v>1053</v>
      </c>
      <c r="AI1033" s="29">
        <v>44967.0</v>
      </c>
      <c r="AJ1033" s="29"/>
      <c r="AK1033" s="29">
        <v>44936.0</v>
      </c>
      <c r="AL1033" s="27"/>
      <c r="AM1033" s="27">
        <f>IF((BD1033&lt;=2),AU1033*10%,(IF((BD1033=3),AU1033*20%,IF((BD1033=4),AU1033*20%,IF((BD1033&gt;=5),AU1033*30%,(IF((BD1033="lead"),AU1033*30%,0)))))))</f>
        <v>468.58794</v>
      </c>
      <c r="AN1033" s="57">
        <v>44995.0</v>
      </c>
      <c r="AO1033" s="46"/>
      <c r="AP1033" s="47"/>
      <c r="AQ1033" s="43">
        <f t="shared" si="832"/>
        <v>3023.148</v>
      </c>
      <c r="AR1033" s="43">
        <f t="shared" si="448"/>
        <v>151.1574</v>
      </c>
      <c r="AS1033" s="43">
        <f t="shared" si="449"/>
        <v>529.0509</v>
      </c>
      <c r="AT1033" s="48">
        <f t="shared" si="753"/>
        <v>2342.9397</v>
      </c>
      <c r="AU1033" s="49">
        <f t="shared" si="800"/>
        <v>2342.9397</v>
      </c>
      <c r="AV1033" s="106">
        <f>AU1033*10%</f>
        <v>234.29397</v>
      </c>
      <c r="AW1033" s="34">
        <f t="shared" ref="AW1033:AW1036" si="835">N1033-AD1033-AE1033-AC1033</f>
        <v>21700</v>
      </c>
      <c r="AX1033" s="50">
        <f t="shared" si="811"/>
        <v>1640.05779</v>
      </c>
      <c r="AY1033" s="43"/>
      <c r="AZ1033" s="47"/>
      <c r="BA1033" s="48">
        <f t="shared" si="801"/>
        <v>1874.35176</v>
      </c>
      <c r="BB1033" s="27"/>
      <c r="BC1033" s="27"/>
      <c r="BD1033" s="51">
        <v>3.0</v>
      </c>
      <c r="BE1033" s="52"/>
      <c r="BF1033" s="27"/>
      <c r="BG1033" s="53">
        <v>0.0</v>
      </c>
      <c r="BH1033" s="53" t="str">
        <f t="shared" si="833"/>
        <v>#REF!</v>
      </c>
      <c r="BI1033" s="27"/>
      <c r="BJ1033" s="27"/>
      <c r="BK1033" s="27" t="s">
        <v>76</v>
      </c>
      <c r="BL1033" s="27"/>
    </row>
    <row r="1034" ht="14.25" customHeight="1">
      <c r="A1034" s="26" t="s">
        <v>55</v>
      </c>
      <c r="B1034" s="26" t="s">
        <v>56</v>
      </c>
      <c r="C1034" s="26" t="s">
        <v>57</v>
      </c>
      <c r="D1034" s="26" t="s">
        <v>81</v>
      </c>
      <c r="E1034" s="27" t="s">
        <v>3367</v>
      </c>
      <c r="F1034" s="28" t="s">
        <v>3368</v>
      </c>
      <c r="G1034" s="29">
        <v>45189.0</v>
      </c>
      <c r="H1034" s="30">
        <v>45189.0</v>
      </c>
      <c r="I1034" s="30">
        <v>45554.0</v>
      </c>
      <c r="J1034" s="31" t="s">
        <v>3369</v>
      </c>
      <c r="K1034" s="26" t="s">
        <v>475</v>
      </c>
      <c r="L1034" s="32" t="s">
        <v>2370</v>
      </c>
      <c r="M1034" s="33">
        <v>14850.0</v>
      </c>
      <c r="N1034" s="34">
        <v>15941.4</v>
      </c>
      <c r="O1034" s="27" t="s">
        <v>76</v>
      </c>
      <c r="P1034" s="35" t="s">
        <v>122</v>
      </c>
      <c r="Q1034" s="35">
        <v>0.0</v>
      </c>
      <c r="R1034" s="36">
        <v>45189.0</v>
      </c>
      <c r="S1034" s="35" t="s">
        <v>86</v>
      </c>
      <c r="T1034" s="35">
        <v>0.0</v>
      </c>
      <c r="U1034" s="37" t="s">
        <v>67</v>
      </c>
      <c r="V1034" s="38"/>
      <c r="W1034" s="38"/>
      <c r="X1034" s="27"/>
      <c r="Y1034" s="39"/>
      <c r="Z1034" s="39"/>
      <c r="AA1034" s="39"/>
      <c r="AB1034" s="27"/>
      <c r="AC1034" s="27">
        <f t="shared" si="619"/>
        <v>0</v>
      </c>
      <c r="AD1034" s="41">
        <f t="shared" si="834"/>
        <v>2227.5</v>
      </c>
      <c r="AE1034" s="42"/>
      <c r="AF1034" s="27"/>
      <c r="AG1034" s="43">
        <f t="shared" ref="AG1034:AG1036" si="836">IF(O1034="Paid",IF(A1034="Alwataniya",(M1034*21%)-((M1034*21%)*5%),IF((A1034="GIG"),(M1034*25%)-((M1034*25%)*5%),IF((A1034="Allianz"),(M1034*27%)-((M1034*27%)*5%),0))),0)</f>
        <v>3809.025</v>
      </c>
      <c r="AH1034" s="29"/>
      <c r="AI1034" s="29"/>
      <c r="AJ1034" s="29"/>
      <c r="AK1034" s="29"/>
      <c r="AL1034" s="27"/>
      <c r="AM1034" s="44"/>
      <c r="AN1034" s="68"/>
      <c r="AO1034" s="46"/>
      <c r="AP1034" s="47"/>
      <c r="AQ1034" s="43">
        <f t="shared" si="832"/>
        <v>4009.5</v>
      </c>
      <c r="AR1034" s="43">
        <f t="shared" si="448"/>
        <v>200.475</v>
      </c>
      <c r="AS1034" s="43">
        <f t="shared" si="449"/>
        <v>701.6625</v>
      </c>
      <c r="AT1034" s="48">
        <f t="shared" si="753"/>
        <v>3107.3625</v>
      </c>
      <c r="AU1034" s="49">
        <f t="shared" si="800"/>
        <v>3107.3625</v>
      </c>
      <c r="AV1034" s="48"/>
      <c r="AW1034" s="34">
        <f t="shared" si="835"/>
        <v>13713.9</v>
      </c>
      <c r="AX1034" s="50">
        <f t="shared" si="811"/>
        <v>879.8625</v>
      </c>
      <c r="AY1034" s="43"/>
      <c r="AZ1034" s="47"/>
      <c r="BA1034" s="48">
        <f t="shared" si="801"/>
        <v>3107.3625</v>
      </c>
      <c r="BB1034" s="27"/>
      <c r="BC1034" s="27"/>
      <c r="BD1034" s="51"/>
      <c r="BE1034" s="52"/>
      <c r="BF1034" s="27"/>
      <c r="BG1034" s="53">
        <v>0.0</v>
      </c>
      <c r="BH1034" s="53" t="str">
        <f>'[1]2023'!Q1309</f>
        <v>#REF!</v>
      </c>
      <c r="BI1034" s="27"/>
      <c r="BJ1034" s="27"/>
      <c r="BK1034" s="27" t="s">
        <v>76</v>
      </c>
      <c r="BL1034" s="27"/>
    </row>
    <row r="1035" ht="14.25" customHeight="1">
      <c r="A1035" s="26" t="s">
        <v>55</v>
      </c>
      <c r="B1035" s="26" t="s">
        <v>56</v>
      </c>
      <c r="C1035" s="26" t="s">
        <v>57</v>
      </c>
      <c r="D1035" s="26" t="s">
        <v>81</v>
      </c>
      <c r="E1035" s="27" t="s">
        <v>3370</v>
      </c>
      <c r="F1035" s="28" t="s">
        <v>3371</v>
      </c>
      <c r="G1035" s="29">
        <v>45189.0</v>
      </c>
      <c r="H1035" s="30">
        <v>45189.0</v>
      </c>
      <c r="I1035" s="30">
        <v>45554.0</v>
      </c>
      <c r="J1035" s="31" t="s">
        <v>3372</v>
      </c>
      <c r="K1035" s="26" t="s">
        <v>475</v>
      </c>
      <c r="L1035" s="32" t="s">
        <v>926</v>
      </c>
      <c r="M1035" s="33">
        <v>33040.0</v>
      </c>
      <c r="N1035" s="34">
        <v>35295.56</v>
      </c>
      <c r="O1035" s="27" t="s">
        <v>76</v>
      </c>
      <c r="P1035" s="35" t="s">
        <v>142</v>
      </c>
      <c r="Q1035" s="35" t="s">
        <v>90</v>
      </c>
      <c r="R1035" s="36">
        <v>45189.0</v>
      </c>
      <c r="S1035" s="35" t="s">
        <v>86</v>
      </c>
      <c r="T1035" s="35">
        <v>0.0</v>
      </c>
      <c r="U1035" s="37" t="s">
        <v>67</v>
      </c>
      <c r="V1035" s="38"/>
      <c r="W1035" s="38"/>
      <c r="X1035" s="27"/>
      <c r="Y1035" s="39"/>
      <c r="Z1035" s="79" t="s">
        <v>407</v>
      </c>
      <c r="AA1035" s="39"/>
      <c r="AB1035" s="27"/>
      <c r="AC1035" s="27">
        <f t="shared" si="619"/>
        <v>0</v>
      </c>
      <c r="AD1035" s="41">
        <f t="shared" si="834"/>
        <v>4956</v>
      </c>
      <c r="AE1035" s="42"/>
      <c r="AF1035" s="29">
        <v>45240.0</v>
      </c>
      <c r="AG1035" s="43">
        <f t="shared" si="836"/>
        <v>8474.76</v>
      </c>
      <c r="AH1035" s="29"/>
      <c r="AI1035" s="29"/>
      <c r="AJ1035" s="29"/>
      <c r="AK1035" s="29"/>
      <c r="AL1035" s="27"/>
      <c r="AM1035" s="44"/>
      <c r="AN1035" s="47"/>
      <c r="AO1035" s="46"/>
      <c r="AP1035" s="47"/>
      <c r="AQ1035" s="43">
        <f t="shared" si="832"/>
        <v>8920.8</v>
      </c>
      <c r="AR1035" s="43">
        <f t="shared" si="448"/>
        <v>446.04</v>
      </c>
      <c r="AS1035" s="43">
        <f t="shared" si="449"/>
        <v>1561.14</v>
      </c>
      <c r="AT1035" s="48">
        <f t="shared" si="753"/>
        <v>6913.62</v>
      </c>
      <c r="AU1035" s="49">
        <f t="shared" si="800"/>
        <v>6913.62</v>
      </c>
      <c r="AV1035" s="48"/>
      <c r="AW1035" s="34">
        <f t="shared" si="835"/>
        <v>30339.56</v>
      </c>
      <c r="AX1035" s="50">
        <f t="shared" si="811"/>
        <v>1957.62</v>
      </c>
      <c r="AY1035" s="43"/>
      <c r="AZ1035" s="47"/>
      <c r="BA1035" s="48">
        <f t="shared" si="801"/>
        <v>6913.62</v>
      </c>
      <c r="BB1035" s="27"/>
      <c r="BC1035" s="27"/>
      <c r="BD1035" s="51"/>
      <c r="BE1035" s="52"/>
      <c r="BF1035" s="27"/>
      <c r="BG1035" s="53">
        <v>0.0</v>
      </c>
      <c r="BH1035" s="53" t="str">
        <f>'[1]2023'!Q1335</f>
        <v>#REF!</v>
      </c>
      <c r="BI1035" s="27"/>
      <c r="BJ1035" s="27"/>
      <c r="BK1035" s="27" t="s">
        <v>76</v>
      </c>
      <c r="BL1035" s="27"/>
    </row>
    <row r="1036" ht="14.25" customHeight="1">
      <c r="A1036" s="26" t="s">
        <v>55</v>
      </c>
      <c r="B1036" s="26" t="s">
        <v>56</v>
      </c>
      <c r="C1036" s="26" t="s">
        <v>57</v>
      </c>
      <c r="D1036" s="26" t="s">
        <v>81</v>
      </c>
      <c r="E1036" s="27" t="s">
        <v>3373</v>
      </c>
      <c r="F1036" s="28" t="s">
        <v>3374</v>
      </c>
      <c r="G1036" s="29">
        <v>45189.0</v>
      </c>
      <c r="H1036" s="30">
        <v>45189.0</v>
      </c>
      <c r="I1036" s="30">
        <v>45554.0</v>
      </c>
      <c r="J1036" s="31" t="s">
        <v>3375</v>
      </c>
      <c r="K1036" s="26" t="s">
        <v>475</v>
      </c>
      <c r="L1036" s="32" t="s">
        <v>3209</v>
      </c>
      <c r="M1036" s="33">
        <v>13650.0</v>
      </c>
      <c r="N1036" s="34">
        <v>14664.6</v>
      </c>
      <c r="O1036" s="27" t="s">
        <v>76</v>
      </c>
      <c r="P1036" s="35" t="s">
        <v>122</v>
      </c>
      <c r="Q1036" s="35" t="s">
        <v>108</v>
      </c>
      <c r="R1036" s="36">
        <v>45189.0</v>
      </c>
      <c r="S1036" s="35" t="s">
        <v>86</v>
      </c>
      <c r="T1036" s="35">
        <v>0.0</v>
      </c>
      <c r="U1036" s="37" t="s">
        <v>67</v>
      </c>
      <c r="V1036" s="38">
        <v>700000.0</v>
      </c>
      <c r="W1036" s="78">
        <v>55167.0</v>
      </c>
      <c r="X1036" s="27">
        <v>2021.0</v>
      </c>
      <c r="Y1036" s="79" t="s">
        <v>3376</v>
      </c>
      <c r="Z1036" s="79" t="s">
        <v>1707</v>
      </c>
      <c r="AA1036" s="39"/>
      <c r="AB1036" s="27"/>
      <c r="AC1036" s="27">
        <f t="shared" si="619"/>
        <v>0</v>
      </c>
      <c r="AD1036" s="41">
        <f t="shared" si="834"/>
        <v>2047.5</v>
      </c>
      <c r="AE1036" s="42"/>
      <c r="AF1036" s="27" t="s">
        <v>1312</v>
      </c>
      <c r="AG1036" s="43">
        <f t="shared" si="836"/>
        <v>3501.225</v>
      </c>
      <c r="AH1036" s="29"/>
      <c r="AI1036" s="29"/>
      <c r="AJ1036" s="29"/>
      <c r="AK1036" s="29"/>
      <c r="AL1036" s="27"/>
      <c r="AM1036" s="44"/>
      <c r="AN1036" s="47"/>
      <c r="AO1036" s="46"/>
      <c r="AP1036" s="47"/>
      <c r="AQ1036" s="43">
        <f t="shared" si="832"/>
        <v>3685.5</v>
      </c>
      <c r="AR1036" s="43">
        <f t="shared" si="448"/>
        <v>184.275</v>
      </c>
      <c r="AS1036" s="43">
        <f t="shared" si="449"/>
        <v>644.9625</v>
      </c>
      <c r="AT1036" s="48">
        <f t="shared" si="753"/>
        <v>2856.2625</v>
      </c>
      <c r="AU1036" s="49">
        <f t="shared" si="800"/>
        <v>2856.2625</v>
      </c>
      <c r="AV1036" s="48"/>
      <c r="AW1036" s="34">
        <f t="shared" si="835"/>
        <v>12617.1</v>
      </c>
      <c r="AX1036" s="50">
        <f t="shared" si="811"/>
        <v>808.7625</v>
      </c>
      <c r="AY1036" s="43"/>
      <c r="AZ1036" s="47"/>
      <c r="BA1036" s="48">
        <f t="shared" si="801"/>
        <v>2856.2625</v>
      </c>
      <c r="BB1036" s="27"/>
      <c r="BC1036" s="27"/>
      <c r="BD1036" s="51"/>
      <c r="BE1036" s="52"/>
      <c r="BF1036" s="27"/>
      <c r="BG1036" s="53">
        <v>0.0</v>
      </c>
      <c r="BH1036" s="53" t="str">
        <f t="shared" ref="BH1036:BH1037" si="837">'[1]2023'!Q1338</f>
        <v>#REF!</v>
      </c>
      <c r="BI1036" s="27"/>
      <c r="BJ1036" s="27"/>
      <c r="BK1036" s="27" t="s">
        <v>76</v>
      </c>
      <c r="BL1036" s="27"/>
    </row>
    <row r="1037" ht="14.25" customHeight="1">
      <c r="A1037" s="26" t="s">
        <v>111</v>
      </c>
      <c r="B1037" s="26" t="s">
        <v>56</v>
      </c>
      <c r="C1037" s="26" t="s">
        <v>57</v>
      </c>
      <c r="D1037" s="26" t="s">
        <v>71</v>
      </c>
      <c r="E1037" s="27" t="s">
        <v>3377</v>
      </c>
      <c r="F1037" s="28" t="s">
        <v>3378</v>
      </c>
      <c r="G1037" s="29">
        <v>45189.0</v>
      </c>
      <c r="H1037" s="30">
        <v>45189.0</v>
      </c>
      <c r="I1037" s="30">
        <v>45554.0</v>
      </c>
      <c r="J1037" s="31" t="s">
        <v>3379</v>
      </c>
      <c r="K1037" s="26" t="s">
        <v>475</v>
      </c>
      <c r="L1037" s="32" t="s">
        <v>1312</v>
      </c>
      <c r="M1037" s="33">
        <v>20530.26</v>
      </c>
      <c r="N1037" s="34">
        <v>22100.0</v>
      </c>
      <c r="O1037" s="27" t="s">
        <v>76</v>
      </c>
      <c r="P1037" s="35" t="s">
        <v>162</v>
      </c>
      <c r="Q1037" s="35" t="s">
        <v>114</v>
      </c>
      <c r="R1037" s="36">
        <v>45198.0</v>
      </c>
      <c r="S1037" s="35" t="s">
        <v>78</v>
      </c>
      <c r="T1037" s="54" t="s">
        <v>1675</v>
      </c>
      <c r="U1037" s="37" t="s">
        <v>115</v>
      </c>
      <c r="V1037" s="38">
        <v>850000.0</v>
      </c>
      <c r="W1037" s="78">
        <v>513191.0</v>
      </c>
      <c r="X1037" s="27">
        <v>2020.0</v>
      </c>
      <c r="Y1037" s="39"/>
      <c r="Z1037" s="79" t="s">
        <v>3380</v>
      </c>
      <c r="AA1037" s="39"/>
      <c r="AB1037" s="27"/>
      <c r="AC1037" s="27">
        <f t="shared" si="619"/>
        <v>0</v>
      </c>
      <c r="AD1037" s="41"/>
      <c r="AE1037" s="42"/>
      <c r="AF1037" s="27"/>
      <c r="AG1037" s="43">
        <f t="shared" ref="AG1037:AG1038" si="838">IF(O1037="Paid",IF(A1037="Alwataniya",(M1037*21%)-((M1037*21%)*5%),IF((A1037="GIG"),(M1037*25%)-((M1037*25%)*5%),IF((A1037="Allianz"),(M1037*27%)-((M1037*27%)*20%),0))),0)</f>
        <v>4875.93675</v>
      </c>
      <c r="AH1037" s="29">
        <v>44936.0</v>
      </c>
      <c r="AI1037" s="29">
        <v>45179.0</v>
      </c>
      <c r="AJ1037" s="29"/>
      <c r="AK1037" s="29">
        <v>45148.0</v>
      </c>
      <c r="AL1037" s="27"/>
      <c r="AM1037" s="27"/>
      <c r="AN1037" s="47"/>
      <c r="AO1037" s="76">
        <f>M1037*15%</f>
        <v>3079.539</v>
      </c>
      <c r="AP1037" s="47" t="s">
        <v>497</v>
      </c>
      <c r="AQ1037" s="43">
        <f t="shared" si="832"/>
        <v>5132.565</v>
      </c>
      <c r="AR1037" s="43">
        <f t="shared" si="448"/>
        <v>256.62825</v>
      </c>
      <c r="AS1037" s="43">
        <f t="shared" si="449"/>
        <v>898.198875</v>
      </c>
      <c r="AT1037" s="48">
        <f t="shared" si="753"/>
        <v>3977.737875</v>
      </c>
      <c r="AU1037" s="49">
        <f t="shared" si="800"/>
        <v>898.198875</v>
      </c>
      <c r="AV1037" s="48"/>
      <c r="AW1037" s="34">
        <f>N1037-AD1037-AE1037-AC1037-AO1037</f>
        <v>19020.461</v>
      </c>
      <c r="AX1037" s="50">
        <f t="shared" si="811"/>
        <v>898.198875</v>
      </c>
      <c r="AY1037" s="43"/>
      <c r="AZ1037" s="47"/>
      <c r="BA1037" s="48">
        <f t="shared" si="801"/>
        <v>-2181.340125</v>
      </c>
      <c r="BB1037" s="27"/>
      <c r="BC1037" s="27"/>
      <c r="BD1037" s="51"/>
      <c r="BE1037" s="52"/>
      <c r="BF1037" s="27"/>
      <c r="BG1037" s="53">
        <v>0.0</v>
      </c>
      <c r="BH1037" s="53" t="str">
        <f t="shared" si="837"/>
        <v>#REF!</v>
      </c>
      <c r="BI1037" s="27"/>
      <c r="BJ1037" s="27"/>
      <c r="BK1037" s="27" t="s">
        <v>76</v>
      </c>
      <c r="BL1037" s="27"/>
    </row>
    <row r="1038" ht="14.25" customHeight="1">
      <c r="A1038" s="26" t="s">
        <v>111</v>
      </c>
      <c r="B1038" s="26" t="s">
        <v>56</v>
      </c>
      <c r="C1038" s="26" t="s">
        <v>57</v>
      </c>
      <c r="D1038" s="26" t="s">
        <v>71</v>
      </c>
      <c r="E1038" s="27" t="s">
        <v>3381</v>
      </c>
      <c r="F1038" s="28" t="s">
        <v>3382</v>
      </c>
      <c r="G1038" s="29">
        <v>45189.0</v>
      </c>
      <c r="H1038" s="30">
        <v>45189.0</v>
      </c>
      <c r="I1038" s="30">
        <v>45554.0</v>
      </c>
      <c r="J1038" s="31" t="s">
        <v>3357</v>
      </c>
      <c r="K1038" s="26" t="s">
        <v>475</v>
      </c>
      <c r="L1038" s="32" t="s">
        <v>63</v>
      </c>
      <c r="M1038" s="33">
        <v>19308.46</v>
      </c>
      <c r="N1038" s="34">
        <v>20800.0</v>
      </c>
      <c r="O1038" s="27" t="s">
        <v>64</v>
      </c>
      <c r="P1038" s="35">
        <v>0.0</v>
      </c>
      <c r="Q1038" s="35" t="s">
        <v>114</v>
      </c>
      <c r="R1038" s="36">
        <v>45189.0</v>
      </c>
      <c r="S1038" s="35" t="s">
        <v>676</v>
      </c>
      <c r="T1038" s="35">
        <v>0.0</v>
      </c>
      <c r="U1038" s="37" t="s">
        <v>115</v>
      </c>
      <c r="V1038" s="38">
        <v>800000.0</v>
      </c>
      <c r="W1038" s="78">
        <v>123151.0</v>
      </c>
      <c r="X1038" s="27">
        <v>2022.0</v>
      </c>
      <c r="Y1038" s="39" t="s">
        <v>3239</v>
      </c>
      <c r="Z1038" s="39" t="s">
        <v>3383</v>
      </c>
      <c r="AA1038" s="39">
        <v>1121106.0</v>
      </c>
      <c r="AB1038" s="27"/>
      <c r="AC1038" s="27">
        <f t="shared" si="619"/>
        <v>0</v>
      </c>
      <c r="AD1038" s="41">
        <f t="shared" ref="AD1038:AD1045" si="839">IF(AND(S1038="0",O1038="Paid"),(M1038*15%)-AC1038,0)</f>
        <v>0</v>
      </c>
      <c r="AE1038" s="42"/>
      <c r="AF1038" s="27"/>
      <c r="AG1038" s="43">
        <f t="shared" si="838"/>
        <v>0</v>
      </c>
      <c r="AH1038" s="29"/>
      <c r="AI1038" s="29"/>
      <c r="AJ1038" s="29"/>
      <c r="AK1038" s="29"/>
      <c r="AL1038" s="27"/>
      <c r="AM1038" s="44"/>
      <c r="AN1038" s="47"/>
      <c r="AO1038" s="46"/>
      <c r="AP1038" s="47"/>
      <c r="AQ1038" s="43" t="b">
        <f>IF(O1038="Paid",IF(U1038="Motor Plus",(M1038*27%),IF(U1038="Motor One",(M1038*22%),(IF(U1038="Golden",(M1038*25%),(IF(U1038="Classic",(M1038*15%),(IF(U1038="Wethaq",(M1038*28%),IF(U1038="Alwataniya",(M1038*21%))*0)))))))))</f>
        <v>0</v>
      </c>
      <c r="AR1038" s="43">
        <f t="shared" si="448"/>
        <v>0</v>
      </c>
      <c r="AS1038" s="43">
        <f t="shared" si="449"/>
        <v>0</v>
      </c>
      <c r="AT1038" s="48">
        <f t="shared" si="753"/>
        <v>0</v>
      </c>
      <c r="AU1038" s="49">
        <f t="shared" si="800"/>
        <v>0</v>
      </c>
      <c r="AV1038" s="48"/>
      <c r="AW1038" s="34">
        <f t="shared" ref="AW1038:AW1248" si="840">N1038-AD1038-AE1038-AC1038</f>
        <v>20800</v>
      </c>
      <c r="AX1038" s="50">
        <f t="shared" si="811"/>
        <v>0</v>
      </c>
      <c r="AY1038" s="43"/>
      <c r="AZ1038" s="47"/>
      <c r="BA1038" s="48">
        <f t="shared" si="801"/>
        <v>0</v>
      </c>
      <c r="BB1038" s="27"/>
      <c r="BC1038" s="27"/>
      <c r="BD1038" s="51"/>
      <c r="BE1038" s="52"/>
      <c r="BF1038" s="27"/>
      <c r="BG1038" s="53">
        <v>0.0</v>
      </c>
      <c r="BH1038" s="53" t="str">
        <f>'[1]2023'!Q1360</f>
        <v>#REF!</v>
      </c>
      <c r="BI1038" s="27"/>
      <c r="BJ1038" s="27"/>
      <c r="BK1038" s="27" t="s">
        <v>64</v>
      </c>
      <c r="BL1038" s="27"/>
    </row>
    <row r="1039" ht="14.25" customHeight="1">
      <c r="A1039" s="26" t="s">
        <v>55</v>
      </c>
      <c r="B1039" s="26" t="s">
        <v>56</v>
      </c>
      <c r="C1039" s="26" t="s">
        <v>57</v>
      </c>
      <c r="D1039" s="26" t="s">
        <v>81</v>
      </c>
      <c r="E1039" s="27" t="s">
        <v>3384</v>
      </c>
      <c r="F1039" s="28" t="s">
        <v>3385</v>
      </c>
      <c r="G1039" s="29">
        <v>45189.0</v>
      </c>
      <c r="H1039" s="30">
        <v>45189.0</v>
      </c>
      <c r="I1039" s="30">
        <v>45554.0</v>
      </c>
      <c r="J1039" s="31" t="s">
        <v>3386</v>
      </c>
      <c r="K1039" s="26" t="s">
        <v>475</v>
      </c>
      <c r="L1039" s="32" t="s">
        <v>3387</v>
      </c>
      <c r="M1039" s="33">
        <v>15600.0</v>
      </c>
      <c r="N1039" s="34">
        <v>16739.4</v>
      </c>
      <c r="O1039" s="27" t="s">
        <v>76</v>
      </c>
      <c r="P1039" s="35" t="s">
        <v>122</v>
      </c>
      <c r="Q1039" s="35" t="s">
        <v>90</v>
      </c>
      <c r="R1039" s="36">
        <v>45189.0</v>
      </c>
      <c r="S1039" s="35" t="s">
        <v>86</v>
      </c>
      <c r="T1039" s="35">
        <v>0.0</v>
      </c>
      <c r="U1039" s="37" t="s">
        <v>67</v>
      </c>
      <c r="V1039" s="38">
        <v>800000.0</v>
      </c>
      <c r="W1039" s="78">
        <v>10543.0</v>
      </c>
      <c r="X1039" s="27">
        <v>2021.0</v>
      </c>
      <c r="Y1039" s="79" t="s">
        <v>764</v>
      </c>
      <c r="Z1039" s="79" t="s">
        <v>3228</v>
      </c>
      <c r="AA1039" s="39"/>
      <c r="AB1039" s="27"/>
      <c r="AC1039" s="27">
        <f t="shared" si="619"/>
        <v>0</v>
      </c>
      <c r="AD1039" s="41">
        <f t="shared" si="839"/>
        <v>2340</v>
      </c>
      <c r="AE1039" s="42"/>
      <c r="AF1039" s="27"/>
      <c r="AG1039" s="43">
        <f t="shared" ref="AG1039:AG1045" si="841">IF(O1039="Paid",IF(A1039="Alwataniya",(M1039*21%)-((M1039*21%)*5%),IF((A1039="GIG"),(M1039*25%)-((M1039*25%)*5%),IF((A1039="Allianz"),(M1039*27%)-((M1039*27%)*5%),0))),0)</f>
        <v>4001.4</v>
      </c>
      <c r="AH1039" s="29"/>
      <c r="AI1039" s="29"/>
      <c r="AJ1039" s="29"/>
      <c r="AK1039" s="29"/>
      <c r="AL1039" s="27"/>
      <c r="AM1039" s="44"/>
      <c r="AN1039" s="47"/>
      <c r="AO1039" s="46"/>
      <c r="AP1039" s="47"/>
      <c r="AQ1039" s="43">
        <f>IF(U1039="Motor Plus",(M1039*27%),IF(U1039="Motor One",(M1039*22%),(IF(U1039="Golden",(M1039*25%),(IF(U1039="Classic",(M1039*15%),(IF(U1039="Wethaq",(M1039*28%),IF(U1039="Alwataniya",(M1039*21%))*0))))))))</f>
        <v>4212</v>
      </c>
      <c r="AR1039" s="43">
        <f t="shared" si="448"/>
        <v>210.6</v>
      </c>
      <c r="AS1039" s="43">
        <f t="shared" si="449"/>
        <v>737.1</v>
      </c>
      <c r="AT1039" s="48">
        <f t="shared" si="753"/>
        <v>3264.3</v>
      </c>
      <c r="AU1039" s="49">
        <f t="shared" si="800"/>
        <v>3264.3</v>
      </c>
      <c r="AV1039" s="48"/>
      <c r="AW1039" s="34">
        <f t="shared" si="840"/>
        <v>14399.4</v>
      </c>
      <c r="AX1039" s="50">
        <f t="shared" si="811"/>
        <v>924.3</v>
      </c>
      <c r="AY1039" s="43"/>
      <c r="AZ1039" s="47"/>
      <c r="BA1039" s="48">
        <f t="shared" si="801"/>
        <v>3264.3</v>
      </c>
      <c r="BB1039" s="27"/>
      <c r="BC1039" s="27"/>
      <c r="BD1039" s="51"/>
      <c r="BE1039" s="52"/>
      <c r="BF1039" s="27"/>
      <c r="BG1039" s="53">
        <v>0.0</v>
      </c>
      <c r="BH1039" s="53" t="str">
        <f>'[1]2023'!Q1392</f>
        <v>#REF!</v>
      </c>
      <c r="BI1039" s="27"/>
      <c r="BJ1039" s="27"/>
      <c r="BK1039" s="27" t="s">
        <v>76</v>
      </c>
      <c r="BL1039" s="158"/>
    </row>
    <row r="1040" ht="14.25" customHeight="1">
      <c r="A1040" s="26" t="s">
        <v>55</v>
      </c>
      <c r="B1040" s="26" t="s">
        <v>56</v>
      </c>
      <c r="C1040" s="26" t="s">
        <v>57</v>
      </c>
      <c r="D1040" s="26" t="s">
        <v>81</v>
      </c>
      <c r="E1040" s="27" t="s">
        <v>3388</v>
      </c>
      <c r="F1040" s="28" t="s">
        <v>3389</v>
      </c>
      <c r="G1040" s="29">
        <v>45190.0</v>
      </c>
      <c r="H1040" s="30">
        <v>45190.0</v>
      </c>
      <c r="I1040" s="30">
        <v>45555.0</v>
      </c>
      <c r="J1040" s="31" t="s">
        <v>3390</v>
      </c>
      <c r="K1040" s="26" t="s">
        <v>475</v>
      </c>
      <c r="L1040" s="32" t="s">
        <v>63</v>
      </c>
      <c r="M1040" s="33">
        <v>0.0</v>
      </c>
      <c r="N1040" s="34">
        <v>0.0</v>
      </c>
      <c r="O1040" s="27" t="s">
        <v>64</v>
      </c>
      <c r="P1040" s="35">
        <v>0.0</v>
      </c>
      <c r="Q1040" s="35">
        <v>0.0</v>
      </c>
      <c r="R1040" s="36">
        <v>45190.0</v>
      </c>
      <c r="S1040" s="35" t="s">
        <v>86</v>
      </c>
      <c r="T1040" s="35">
        <v>0.0</v>
      </c>
      <c r="U1040" s="37">
        <v>0.0</v>
      </c>
      <c r="V1040" s="38"/>
      <c r="W1040" s="38"/>
      <c r="X1040" s="27"/>
      <c r="Y1040" s="39"/>
      <c r="Z1040" s="39"/>
      <c r="AA1040" s="39"/>
      <c r="AB1040" s="27"/>
      <c r="AC1040" s="27">
        <f t="shared" si="619"/>
        <v>0</v>
      </c>
      <c r="AD1040" s="41">
        <f t="shared" si="839"/>
        <v>0</v>
      </c>
      <c r="AE1040" s="42"/>
      <c r="AF1040" s="27"/>
      <c r="AG1040" s="43">
        <f t="shared" si="841"/>
        <v>0</v>
      </c>
      <c r="AH1040" s="29"/>
      <c r="AI1040" s="29"/>
      <c r="AJ1040" s="29"/>
      <c r="AK1040" s="29"/>
      <c r="AL1040" s="27"/>
      <c r="AM1040" s="44"/>
      <c r="AN1040" s="47"/>
      <c r="AO1040" s="46"/>
      <c r="AP1040" s="47"/>
      <c r="AQ1040" s="43" t="b">
        <f>IF(O1040="Paid",IF(U1040="Motor Plus",(M1040*27%),IF(U1040="Motor One",(M1040*22%),(IF(U1040="Golden",(M1040*25%),(IF(U1040="Classic",(M1040*15%),(IF(U1040="Wethaq",(M1040*28%),IF(U1040="Alwataniya",(M1040*21%))*0)))))))))</f>
        <v>0</v>
      </c>
      <c r="AR1040" s="43">
        <f t="shared" si="448"/>
        <v>0</v>
      </c>
      <c r="AS1040" s="43">
        <f t="shared" si="449"/>
        <v>0</v>
      </c>
      <c r="AT1040" s="48">
        <f t="shared" si="753"/>
        <v>0</v>
      </c>
      <c r="AU1040" s="49">
        <f t="shared" si="800"/>
        <v>0</v>
      </c>
      <c r="AV1040" s="48"/>
      <c r="AW1040" s="34">
        <f t="shared" si="840"/>
        <v>0</v>
      </c>
      <c r="AX1040" s="50">
        <f t="shared" si="811"/>
        <v>0</v>
      </c>
      <c r="AY1040" s="43"/>
      <c r="AZ1040" s="47"/>
      <c r="BA1040" s="48">
        <f t="shared" si="801"/>
        <v>0</v>
      </c>
      <c r="BB1040" s="27"/>
      <c r="BC1040" s="27"/>
      <c r="BD1040" s="51"/>
      <c r="BE1040" s="52"/>
      <c r="BF1040" s="27"/>
      <c r="BG1040" s="53">
        <v>0.0</v>
      </c>
      <c r="BH1040" s="53" t="str">
        <f>'[1]2023'!Q1299</f>
        <v>#REF!</v>
      </c>
      <c r="BI1040" s="27"/>
      <c r="BJ1040" s="27"/>
      <c r="BK1040" s="27" t="s">
        <v>64</v>
      </c>
      <c r="BL1040" s="167"/>
    </row>
    <row r="1041" ht="14.25" customHeight="1">
      <c r="A1041" s="26" t="s">
        <v>55</v>
      </c>
      <c r="B1041" s="26" t="s">
        <v>56</v>
      </c>
      <c r="C1041" s="26" t="s">
        <v>57</v>
      </c>
      <c r="D1041" s="26" t="s">
        <v>81</v>
      </c>
      <c r="E1041" s="27" t="s">
        <v>3391</v>
      </c>
      <c r="F1041" s="28" t="s">
        <v>3392</v>
      </c>
      <c r="G1041" s="29">
        <v>45190.0</v>
      </c>
      <c r="H1041" s="30">
        <v>45190.0</v>
      </c>
      <c r="I1041" s="30">
        <v>45555.0</v>
      </c>
      <c r="J1041" s="31" t="s">
        <v>3393</v>
      </c>
      <c r="K1041" s="26" t="s">
        <v>475</v>
      </c>
      <c r="L1041" s="32" t="s">
        <v>2369</v>
      </c>
      <c r="M1041" s="33">
        <v>14455.0</v>
      </c>
      <c r="N1041" s="34">
        <v>15521.13</v>
      </c>
      <c r="O1041" s="27" t="s">
        <v>76</v>
      </c>
      <c r="P1041" s="35" t="s">
        <v>122</v>
      </c>
      <c r="Q1041" s="35" t="s">
        <v>108</v>
      </c>
      <c r="R1041" s="36">
        <v>45190.0</v>
      </c>
      <c r="S1041" s="35" t="s">
        <v>86</v>
      </c>
      <c r="T1041" s="35">
        <v>0.0</v>
      </c>
      <c r="U1041" s="37" t="s">
        <v>67</v>
      </c>
      <c r="V1041" s="38"/>
      <c r="W1041" s="38"/>
      <c r="X1041" s="27"/>
      <c r="Y1041" s="39"/>
      <c r="Z1041" s="79" t="s">
        <v>1155</v>
      </c>
      <c r="AA1041" s="39"/>
      <c r="AB1041" s="27"/>
      <c r="AC1041" s="27">
        <f t="shared" si="619"/>
        <v>0</v>
      </c>
      <c r="AD1041" s="41">
        <f t="shared" si="839"/>
        <v>2168.25</v>
      </c>
      <c r="AE1041" s="42"/>
      <c r="AF1041" s="27" t="s">
        <v>1312</v>
      </c>
      <c r="AG1041" s="43">
        <f t="shared" si="841"/>
        <v>3707.7075</v>
      </c>
      <c r="AH1041" s="29"/>
      <c r="AI1041" s="29"/>
      <c r="AJ1041" s="29"/>
      <c r="AK1041" s="29"/>
      <c r="AL1041" s="27"/>
      <c r="AM1041" s="44"/>
      <c r="AN1041" s="47"/>
      <c r="AO1041" s="46"/>
      <c r="AP1041" s="47"/>
      <c r="AQ1041" s="43">
        <f>IF(U1041="Motor Plus",(M1041*27%),IF(U1041="Motor One",(M1041*22%),(IF(U1041="Golden",(M1041*25%),(IF(U1041="Classic",(M1041*15%),(IF(U1041="Wethaq",(M1041*28%),IF(U1041="Alwataniya",(M1041*21%))*0))))))))</f>
        <v>3902.85</v>
      </c>
      <c r="AR1041" s="43">
        <f t="shared" si="448"/>
        <v>195.1425</v>
      </c>
      <c r="AS1041" s="43">
        <f t="shared" si="449"/>
        <v>682.99875</v>
      </c>
      <c r="AT1041" s="48">
        <f t="shared" si="753"/>
        <v>3024.70875</v>
      </c>
      <c r="AU1041" s="49">
        <f t="shared" si="800"/>
        <v>3024.70875</v>
      </c>
      <c r="AV1041" s="48"/>
      <c r="AW1041" s="34">
        <f t="shared" si="840"/>
        <v>13352.88</v>
      </c>
      <c r="AX1041" s="50">
        <f t="shared" si="811"/>
        <v>856.45875</v>
      </c>
      <c r="AY1041" s="43"/>
      <c r="AZ1041" s="47"/>
      <c r="BA1041" s="48">
        <f t="shared" si="801"/>
        <v>3024.70875</v>
      </c>
      <c r="BB1041" s="27"/>
      <c r="BC1041" s="27"/>
      <c r="BD1041" s="51"/>
      <c r="BE1041" s="52"/>
      <c r="BF1041" s="27"/>
      <c r="BG1041" s="53">
        <v>0.0</v>
      </c>
      <c r="BH1041" s="53" t="str">
        <f>'[1]2023'!Q1321</f>
        <v>#REF!</v>
      </c>
      <c r="BI1041" s="27"/>
      <c r="BJ1041" s="27"/>
      <c r="BK1041" s="27" t="s">
        <v>76</v>
      </c>
      <c r="BL1041" s="44"/>
    </row>
    <row r="1042" ht="14.25" customHeight="1">
      <c r="A1042" s="26" t="s">
        <v>55</v>
      </c>
      <c r="B1042" s="26" t="s">
        <v>56</v>
      </c>
      <c r="C1042" s="26" t="s">
        <v>57</v>
      </c>
      <c r="D1042" s="26" t="s">
        <v>81</v>
      </c>
      <c r="E1042" s="27" t="s">
        <v>3394</v>
      </c>
      <c r="F1042" s="28" t="s">
        <v>3395</v>
      </c>
      <c r="G1042" s="29">
        <v>45190.0</v>
      </c>
      <c r="H1042" s="30">
        <v>45190.0</v>
      </c>
      <c r="I1042" s="30">
        <v>45555.0</v>
      </c>
      <c r="J1042" s="31" t="s">
        <v>3396</v>
      </c>
      <c r="K1042" s="26" t="s">
        <v>475</v>
      </c>
      <c r="L1042" s="32" t="s">
        <v>63</v>
      </c>
      <c r="M1042" s="33">
        <v>0.0</v>
      </c>
      <c r="N1042" s="34">
        <v>0.0</v>
      </c>
      <c r="O1042" s="27" t="s">
        <v>64</v>
      </c>
      <c r="P1042" s="35">
        <v>0.0</v>
      </c>
      <c r="Q1042" s="35">
        <v>0.0</v>
      </c>
      <c r="R1042" s="36">
        <v>45190.0</v>
      </c>
      <c r="S1042" s="35" t="s">
        <v>86</v>
      </c>
      <c r="T1042" s="35">
        <v>0.0</v>
      </c>
      <c r="U1042" s="37">
        <v>0.0</v>
      </c>
      <c r="V1042" s="38"/>
      <c r="W1042" s="78"/>
      <c r="X1042" s="27"/>
      <c r="Y1042" s="39"/>
      <c r="Z1042" s="39"/>
      <c r="AA1042" s="39"/>
      <c r="AB1042" s="27"/>
      <c r="AC1042" s="27">
        <f t="shared" si="619"/>
        <v>0</v>
      </c>
      <c r="AD1042" s="41">
        <f t="shared" si="839"/>
        <v>0</v>
      </c>
      <c r="AE1042" s="42"/>
      <c r="AF1042" s="27"/>
      <c r="AG1042" s="43">
        <f t="shared" si="841"/>
        <v>0</v>
      </c>
      <c r="AH1042" s="29"/>
      <c r="AI1042" s="29"/>
      <c r="AJ1042" s="29"/>
      <c r="AK1042" s="29"/>
      <c r="AL1042" s="27"/>
      <c r="AM1042" s="44"/>
      <c r="AN1042" s="47"/>
      <c r="AO1042" s="46"/>
      <c r="AP1042" s="47"/>
      <c r="AQ1042" s="43" t="b">
        <f>IF(O1042="Paid",IF(U1042="Motor Plus",(M1042*27%),IF(U1042="Motor One",(M1042*22%),(IF(U1042="Golden",(M1042*25%),(IF(U1042="Classic",(M1042*15%),(IF(U1042="Wethaq",(M1042*28%),IF(U1042="Alwataniya",(M1042*21%))*0)))))))))</f>
        <v>0</v>
      </c>
      <c r="AR1042" s="43">
        <f t="shared" si="448"/>
        <v>0</v>
      </c>
      <c r="AS1042" s="43">
        <f t="shared" si="449"/>
        <v>0</v>
      </c>
      <c r="AT1042" s="48">
        <f t="shared" si="753"/>
        <v>0</v>
      </c>
      <c r="AU1042" s="49">
        <f t="shared" si="800"/>
        <v>0</v>
      </c>
      <c r="AV1042" s="48"/>
      <c r="AW1042" s="34">
        <f t="shared" si="840"/>
        <v>0</v>
      </c>
      <c r="AX1042" s="50">
        <f t="shared" si="811"/>
        <v>0</v>
      </c>
      <c r="AY1042" s="43"/>
      <c r="AZ1042" s="47"/>
      <c r="BA1042" s="48">
        <f t="shared" si="801"/>
        <v>0</v>
      </c>
      <c r="BB1042" s="27"/>
      <c r="BC1042" s="27"/>
      <c r="BD1042" s="51"/>
      <c r="BE1042" s="52"/>
      <c r="BF1042" s="27"/>
      <c r="BG1042" s="58" t="s">
        <v>3397</v>
      </c>
      <c r="BH1042" s="53" t="str">
        <f>'[1]2023'!Q1426</f>
        <v>#REF!</v>
      </c>
      <c r="BI1042" s="27"/>
      <c r="BJ1042" s="27"/>
      <c r="BK1042" s="27" t="s">
        <v>64</v>
      </c>
      <c r="BL1042" s="27"/>
    </row>
    <row r="1043" ht="14.25" customHeight="1">
      <c r="A1043" s="26" t="s">
        <v>55</v>
      </c>
      <c r="B1043" s="26" t="s">
        <v>56</v>
      </c>
      <c r="C1043" s="26" t="s">
        <v>57</v>
      </c>
      <c r="D1043" s="26" t="s">
        <v>81</v>
      </c>
      <c r="E1043" s="27" t="s">
        <v>3398</v>
      </c>
      <c r="F1043" s="28" t="s">
        <v>3399</v>
      </c>
      <c r="G1043" s="29">
        <v>45191.0</v>
      </c>
      <c r="H1043" s="30">
        <v>45191.0</v>
      </c>
      <c r="I1043" s="30">
        <v>45556.0</v>
      </c>
      <c r="J1043" s="31" t="s">
        <v>3400</v>
      </c>
      <c r="K1043" s="26" t="e">
        <v>#REF!</v>
      </c>
      <c r="L1043" s="32" t="s">
        <v>1053</v>
      </c>
      <c r="M1043" s="33">
        <v>15600.0</v>
      </c>
      <c r="N1043" s="34">
        <v>16739.4</v>
      </c>
      <c r="O1043" s="27" t="s">
        <v>76</v>
      </c>
      <c r="P1043" s="35" t="s">
        <v>122</v>
      </c>
      <c r="Q1043" s="35" t="s">
        <v>90</v>
      </c>
      <c r="R1043" s="36">
        <v>45191.0</v>
      </c>
      <c r="S1043" s="35" t="s">
        <v>86</v>
      </c>
      <c r="T1043" s="35">
        <v>0.0</v>
      </c>
      <c r="U1043" s="37" t="s">
        <v>67</v>
      </c>
      <c r="V1043" s="38">
        <v>800000.0</v>
      </c>
      <c r="W1043" s="78">
        <v>10651.0</v>
      </c>
      <c r="X1043" s="27">
        <v>2021.0</v>
      </c>
      <c r="Y1043" s="79" t="s">
        <v>764</v>
      </c>
      <c r="Z1043" s="79" t="s">
        <v>3228</v>
      </c>
      <c r="AA1043" s="39">
        <v>4230427.0</v>
      </c>
      <c r="AB1043" s="27"/>
      <c r="AC1043" s="27">
        <f t="shared" si="619"/>
        <v>0</v>
      </c>
      <c r="AD1043" s="41">
        <f t="shared" si="839"/>
        <v>2340</v>
      </c>
      <c r="AE1043" s="42"/>
      <c r="AF1043" s="27"/>
      <c r="AG1043" s="43">
        <f t="shared" si="841"/>
        <v>4001.4</v>
      </c>
      <c r="AH1043" s="29"/>
      <c r="AI1043" s="29"/>
      <c r="AJ1043" s="29"/>
      <c r="AK1043" s="29"/>
      <c r="AL1043" s="27"/>
      <c r="AM1043" s="44"/>
      <c r="AN1043" s="47"/>
      <c r="AO1043" s="46"/>
      <c r="AP1043" s="47"/>
      <c r="AQ1043" s="43">
        <f t="shared" ref="AQ1043:AQ1053" si="842">IF(U1043="Motor Plus",(M1043*27%),IF(U1043="Motor One",(M1043*22%),(IF(U1043="Golden",(M1043*25%),(IF(U1043="Classic",(M1043*15%),(IF(U1043="Wethaq",(M1043*28%),IF(U1043="Alwataniya",(M1043*21%))*0))))))))</f>
        <v>4212</v>
      </c>
      <c r="AR1043" s="43">
        <f t="shared" si="448"/>
        <v>210.6</v>
      </c>
      <c r="AS1043" s="43">
        <f t="shared" si="449"/>
        <v>737.1</v>
      </c>
      <c r="AT1043" s="48">
        <f t="shared" si="753"/>
        <v>3264.3</v>
      </c>
      <c r="AU1043" s="49">
        <f t="shared" si="800"/>
        <v>3264.3</v>
      </c>
      <c r="AV1043" s="48"/>
      <c r="AW1043" s="34">
        <f t="shared" si="840"/>
        <v>14399.4</v>
      </c>
      <c r="AX1043" s="50">
        <f t="shared" si="811"/>
        <v>924.3</v>
      </c>
      <c r="AY1043" s="43"/>
      <c r="AZ1043" s="47"/>
      <c r="BA1043" s="48">
        <f t="shared" si="801"/>
        <v>3264.3</v>
      </c>
      <c r="BB1043" s="27"/>
      <c r="BC1043" s="27"/>
      <c r="BD1043" s="51"/>
      <c r="BE1043" s="52"/>
      <c r="BF1043" s="27"/>
      <c r="BG1043" s="53">
        <v>0.0</v>
      </c>
      <c r="BH1043" s="53" t="str">
        <f>'[1]2023'!Q1351</f>
        <v>#REF!</v>
      </c>
      <c r="BI1043" s="27"/>
      <c r="BJ1043" s="27"/>
      <c r="BK1043" s="27" t="s">
        <v>76</v>
      </c>
      <c r="BL1043" s="27"/>
    </row>
    <row r="1044" ht="14.25" customHeight="1">
      <c r="A1044" s="26" t="s">
        <v>55</v>
      </c>
      <c r="B1044" s="26" t="s">
        <v>56</v>
      </c>
      <c r="C1044" s="26" t="s">
        <v>57</v>
      </c>
      <c r="D1044" s="26" t="s">
        <v>81</v>
      </c>
      <c r="E1044" s="27" t="s">
        <v>3401</v>
      </c>
      <c r="F1044" s="28" t="s">
        <v>3402</v>
      </c>
      <c r="G1044" s="29" t="s">
        <v>3403</v>
      </c>
      <c r="H1044" s="30">
        <v>45192.0</v>
      </c>
      <c r="I1044" s="30">
        <v>45557.0</v>
      </c>
      <c r="J1044" s="31">
        <v>0.0</v>
      </c>
      <c r="K1044" s="26" t="s">
        <v>475</v>
      </c>
      <c r="L1044" s="32" t="s">
        <v>487</v>
      </c>
      <c r="M1044" s="33">
        <v>21450.0</v>
      </c>
      <c r="N1044" s="34">
        <v>22963.8</v>
      </c>
      <c r="O1044" s="27" t="s">
        <v>76</v>
      </c>
      <c r="P1044" s="35" t="s">
        <v>142</v>
      </c>
      <c r="Q1044" s="35" t="s">
        <v>108</v>
      </c>
      <c r="R1044" s="36" t="e">
        <v>#VALUE!</v>
      </c>
      <c r="S1044" s="35" t="s">
        <v>86</v>
      </c>
      <c r="T1044" s="35">
        <v>0.0</v>
      </c>
      <c r="U1044" s="37" t="s">
        <v>67</v>
      </c>
      <c r="V1044" s="38"/>
      <c r="W1044" s="38"/>
      <c r="X1044" s="27"/>
      <c r="Y1044" s="39"/>
      <c r="Z1044" s="39"/>
      <c r="AA1044" s="39"/>
      <c r="AB1044" s="27"/>
      <c r="AC1044" s="27">
        <f t="shared" si="619"/>
        <v>0</v>
      </c>
      <c r="AD1044" s="41">
        <f t="shared" si="839"/>
        <v>3217.5</v>
      </c>
      <c r="AE1044" s="42"/>
      <c r="AF1044" s="27" t="s">
        <v>1980</v>
      </c>
      <c r="AG1044" s="43">
        <f t="shared" si="841"/>
        <v>5501.925</v>
      </c>
      <c r="AH1044" s="29"/>
      <c r="AI1044" s="29"/>
      <c r="AJ1044" s="29"/>
      <c r="AK1044" s="29"/>
      <c r="AL1044" s="27"/>
      <c r="AM1044" s="27"/>
      <c r="AN1044" s="47"/>
      <c r="AO1044" s="46"/>
      <c r="AP1044" s="47"/>
      <c r="AQ1044" s="43">
        <f t="shared" si="842"/>
        <v>5791.5</v>
      </c>
      <c r="AR1044" s="43">
        <f t="shared" si="448"/>
        <v>289.575</v>
      </c>
      <c r="AS1044" s="43">
        <f t="shared" si="449"/>
        <v>1013.5125</v>
      </c>
      <c r="AT1044" s="48">
        <f t="shared" si="753"/>
        <v>4488.4125</v>
      </c>
      <c r="AU1044" s="49">
        <f t="shared" si="800"/>
        <v>4488.4125</v>
      </c>
      <c r="AV1044" s="48"/>
      <c r="AW1044" s="34">
        <f t="shared" si="840"/>
        <v>19746.3</v>
      </c>
      <c r="AX1044" s="50">
        <f t="shared" si="811"/>
        <v>1270.9125</v>
      </c>
      <c r="AY1044" s="43"/>
      <c r="AZ1044" s="47"/>
      <c r="BA1044" s="48">
        <f t="shared" si="801"/>
        <v>4488.4125</v>
      </c>
      <c r="BB1044" s="27"/>
      <c r="BC1044" s="27"/>
      <c r="BD1044" s="51"/>
      <c r="BE1044" s="52"/>
      <c r="BF1044" s="27" t="s">
        <v>3401</v>
      </c>
      <c r="BG1044" s="58" t="s">
        <v>3404</v>
      </c>
      <c r="BH1044" s="53" t="str">
        <f>'[1]2023'!Q1131</f>
        <v>#REF!</v>
      </c>
      <c r="BI1044" s="27"/>
      <c r="BJ1044" s="27"/>
      <c r="BK1044" s="27" t="s">
        <v>76</v>
      </c>
      <c r="BL1044" s="27"/>
    </row>
    <row r="1045" ht="14.25" customHeight="1">
      <c r="A1045" s="26" t="s">
        <v>55</v>
      </c>
      <c r="B1045" s="26" t="s">
        <v>56</v>
      </c>
      <c r="C1045" s="26" t="s">
        <v>57</v>
      </c>
      <c r="D1045" s="26" t="s">
        <v>81</v>
      </c>
      <c r="E1045" s="27" t="s">
        <v>3405</v>
      </c>
      <c r="F1045" s="28" t="s">
        <v>3406</v>
      </c>
      <c r="G1045" s="29">
        <v>45192.0</v>
      </c>
      <c r="H1045" s="30">
        <v>45192.0</v>
      </c>
      <c r="I1045" s="30">
        <v>45557.0</v>
      </c>
      <c r="J1045" s="31" t="s">
        <v>3407</v>
      </c>
      <c r="K1045" s="26" t="s">
        <v>931</v>
      </c>
      <c r="L1045" s="32" t="s">
        <v>3408</v>
      </c>
      <c r="M1045" s="33">
        <v>15930.0</v>
      </c>
      <c r="N1045" s="34">
        <v>17090.52</v>
      </c>
      <c r="O1045" s="27" t="s">
        <v>76</v>
      </c>
      <c r="P1045" s="35" t="s">
        <v>89</v>
      </c>
      <c r="Q1045" s="35" t="s">
        <v>90</v>
      </c>
      <c r="R1045" s="36">
        <v>45192.0</v>
      </c>
      <c r="S1045" s="35" t="s">
        <v>86</v>
      </c>
      <c r="T1045" s="35">
        <v>0.0</v>
      </c>
      <c r="U1045" s="37" t="s">
        <v>67</v>
      </c>
      <c r="V1045" s="38">
        <v>900000.0</v>
      </c>
      <c r="W1045" s="38"/>
      <c r="X1045" s="27">
        <v>2020.0</v>
      </c>
      <c r="Y1045" s="79" t="s">
        <v>2641</v>
      </c>
      <c r="Z1045" s="79" t="s">
        <v>232</v>
      </c>
      <c r="AA1045" s="39">
        <v>1700.0</v>
      </c>
      <c r="AB1045" s="27"/>
      <c r="AC1045" s="27">
        <f t="shared" si="619"/>
        <v>0</v>
      </c>
      <c r="AD1045" s="41">
        <f t="shared" si="839"/>
        <v>2389.5</v>
      </c>
      <c r="AE1045" s="42"/>
      <c r="AF1045" s="27"/>
      <c r="AG1045" s="43">
        <f t="shared" si="841"/>
        <v>4086.045</v>
      </c>
      <c r="AH1045" s="29"/>
      <c r="AI1045" s="29"/>
      <c r="AJ1045" s="29"/>
      <c r="AK1045" s="29"/>
      <c r="AL1045" s="27"/>
      <c r="AM1045" s="27"/>
      <c r="AN1045" s="47"/>
      <c r="AO1045" s="46"/>
      <c r="AP1045" s="47"/>
      <c r="AQ1045" s="43">
        <f t="shared" si="842"/>
        <v>4301.1</v>
      </c>
      <c r="AR1045" s="43">
        <f t="shared" si="448"/>
        <v>215.055</v>
      </c>
      <c r="AS1045" s="43">
        <f t="shared" si="449"/>
        <v>752.6925</v>
      </c>
      <c r="AT1045" s="48">
        <f t="shared" si="753"/>
        <v>3333.3525</v>
      </c>
      <c r="AU1045" s="49">
        <f t="shared" si="800"/>
        <v>3333.3525</v>
      </c>
      <c r="AV1045" s="48"/>
      <c r="AW1045" s="34">
        <f t="shared" si="840"/>
        <v>14701.02</v>
      </c>
      <c r="AX1045" s="50">
        <f t="shared" si="811"/>
        <v>943.8525</v>
      </c>
      <c r="AY1045" s="43"/>
      <c r="AZ1045" s="47"/>
      <c r="BA1045" s="48">
        <f t="shared" si="801"/>
        <v>3333.3525</v>
      </c>
      <c r="BB1045" s="27"/>
      <c r="BC1045" s="27"/>
      <c r="BD1045" s="51"/>
      <c r="BE1045" s="52"/>
      <c r="BF1045" s="27"/>
      <c r="BG1045" s="53">
        <v>0.0</v>
      </c>
      <c r="BH1045" s="53" t="str">
        <f>'[1]2023'!Q1418</f>
        <v>#REF!</v>
      </c>
      <c r="BI1045" s="27"/>
      <c r="BJ1045" s="27"/>
      <c r="BK1045" s="27" t="s">
        <v>76</v>
      </c>
      <c r="BL1045" s="27"/>
    </row>
    <row r="1046" ht="14.25" customHeight="1">
      <c r="A1046" s="26" t="s">
        <v>68</v>
      </c>
      <c r="B1046" s="26" t="s">
        <v>56</v>
      </c>
      <c r="C1046" s="26" t="s">
        <v>57</v>
      </c>
      <c r="D1046" s="26" t="s">
        <v>71</v>
      </c>
      <c r="E1046" s="27" t="s">
        <v>3409</v>
      </c>
      <c r="F1046" s="28" t="s">
        <v>3410</v>
      </c>
      <c r="G1046" s="29">
        <v>45193.0</v>
      </c>
      <c r="H1046" s="30">
        <v>45193.0</v>
      </c>
      <c r="I1046" s="30">
        <v>45558.0</v>
      </c>
      <c r="J1046" s="31" t="s">
        <v>3411</v>
      </c>
      <c r="K1046" s="26" t="s">
        <v>475</v>
      </c>
      <c r="L1046" s="69">
        <v>45270.0</v>
      </c>
      <c r="M1046" s="33">
        <v>14639.78</v>
      </c>
      <c r="N1046" s="34">
        <v>15750.0</v>
      </c>
      <c r="O1046" s="27" t="s">
        <v>76</v>
      </c>
      <c r="P1046" s="35" t="s">
        <v>142</v>
      </c>
      <c r="Q1046" s="35" t="s">
        <v>90</v>
      </c>
      <c r="R1046" s="36">
        <v>45212.0</v>
      </c>
      <c r="S1046" s="35" t="s">
        <v>78</v>
      </c>
      <c r="T1046" s="54" t="s">
        <v>456</v>
      </c>
      <c r="U1046" s="37" t="s">
        <v>68</v>
      </c>
      <c r="V1046" s="38">
        <v>700000.0</v>
      </c>
      <c r="W1046" s="78">
        <v>17337.0</v>
      </c>
      <c r="X1046" s="27">
        <v>2022.0</v>
      </c>
      <c r="Y1046" s="39">
        <v>5.0</v>
      </c>
      <c r="Z1046" s="39" t="s">
        <v>3239</v>
      </c>
      <c r="AA1046" s="39">
        <v>120360.0</v>
      </c>
      <c r="AB1046" s="27"/>
      <c r="AC1046" s="27">
        <f t="shared" si="619"/>
        <v>0</v>
      </c>
      <c r="AD1046" s="109">
        <f>M1046*15%</f>
        <v>2195.967</v>
      </c>
      <c r="AE1046" s="42">
        <v>400.0</v>
      </c>
      <c r="AF1046" s="29">
        <v>45209.0</v>
      </c>
      <c r="AG1046" s="50">
        <f>M1046*28%-((M1046*28%)*5%)</f>
        <v>3894.18148</v>
      </c>
      <c r="AH1046" s="29"/>
      <c r="AI1046" s="29" t="s">
        <v>926</v>
      </c>
      <c r="AJ1046" s="55">
        <v>0.28</v>
      </c>
      <c r="AK1046" s="29" t="s">
        <v>3412</v>
      </c>
      <c r="AL1046" s="27"/>
      <c r="AM1046" s="44"/>
      <c r="AN1046" s="68"/>
      <c r="AO1046" s="46"/>
      <c r="AP1046" s="47"/>
      <c r="AQ1046" s="43">
        <f t="shared" si="842"/>
        <v>4099.1384</v>
      </c>
      <c r="AR1046" s="43">
        <f t="shared" si="448"/>
        <v>204.95692</v>
      </c>
      <c r="AS1046" s="43">
        <f t="shared" si="449"/>
        <v>717.34922</v>
      </c>
      <c r="AT1046" s="48">
        <f t="shared" si="753"/>
        <v>3176.83226</v>
      </c>
      <c r="AU1046" s="49">
        <f t="shared" si="800"/>
        <v>3176.83226</v>
      </c>
      <c r="AV1046" s="48"/>
      <c r="AW1046" s="34">
        <f t="shared" si="840"/>
        <v>13154.033</v>
      </c>
      <c r="AX1046" s="50">
        <f t="shared" si="811"/>
        <v>580.86526</v>
      </c>
      <c r="AY1046" s="43"/>
      <c r="AZ1046" s="47"/>
      <c r="BA1046" s="48">
        <f t="shared" si="801"/>
        <v>3176.83226</v>
      </c>
      <c r="BB1046" s="27"/>
      <c r="BC1046" s="27"/>
      <c r="BD1046" s="51"/>
      <c r="BE1046" s="52"/>
      <c r="BF1046" s="27"/>
      <c r="BG1046" s="53">
        <v>0.0</v>
      </c>
      <c r="BH1046" s="53" t="str">
        <f>'[1]2023'!Q1362</f>
        <v>#REF!</v>
      </c>
      <c r="BI1046" s="27"/>
      <c r="BJ1046" s="27"/>
      <c r="BK1046" s="27" t="s">
        <v>76</v>
      </c>
      <c r="BL1046" s="27"/>
    </row>
    <row r="1047" ht="14.25" customHeight="1">
      <c r="A1047" s="26" t="s">
        <v>111</v>
      </c>
      <c r="B1047" s="26" t="s">
        <v>56</v>
      </c>
      <c r="C1047" s="26" t="s">
        <v>57</v>
      </c>
      <c r="D1047" s="26" t="s">
        <v>71</v>
      </c>
      <c r="E1047" s="27" t="s">
        <v>3413</v>
      </c>
      <c r="F1047" s="28" t="s">
        <v>3414</v>
      </c>
      <c r="G1047" s="29">
        <v>45194.0</v>
      </c>
      <c r="H1047" s="30">
        <v>45194.0</v>
      </c>
      <c r="I1047" s="30">
        <v>45559.0</v>
      </c>
      <c r="J1047" s="31" t="s">
        <v>3415</v>
      </c>
      <c r="K1047" s="26" t="s">
        <v>475</v>
      </c>
      <c r="L1047" s="69">
        <v>44995.0</v>
      </c>
      <c r="M1047" s="33">
        <v>18086.65</v>
      </c>
      <c r="N1047" s="34">
        <v>19500.0</v>
      </c>
      <c r="O1047" s="27" t="s">
        <v>76</v>
      </c>
      <c r="P1047" s="35" t="s">
        <v>142</v>
      </c>
      <c r="Q1047" s="35" t="s">
        <v>108</v>
      </c>
      <c r="R1047" s="36">
        <v>45203.0</v>
      </c>
      <c r="S1047" s="35" t="s">
        <v>86</v>
      </c>
      <c r="T1047" s="35">
        <v>0.0</v>
      </c>
      <c r="U1047" s="37" t="s">
        <v>115</v>
      </c>
      <c r="V1047" s="38">
        <v>750000.0</v>
      </c>
      <c r="W1047" s="38"/>
      <c r="X1047" s="27"/>
      <c r="Y1047" s="39"/>
      <c r="Z1047" s="79" t="s">
        <v>3416</v>
      </c>
      <c r="AA1047" s="39"/>
      <c r="AB1047" s="27"/>
      <c r="AC1047" s="27">
        <f t="shared" si="619"/>
        <v>0</v>
      </c>
      <c r="AD1047" s="41">
        <f>IF(AND(S1047="0",O1047="Paid"),(M1047*15%)-AC1047,0)</f>
        <v>2712.9975</v>
      </c>
      <c r="AE1047" s="42">
        <v>400.0</v>
      </c>
      <c r="AF1047" s="27" t="s">
        <v>1312</v>
      </c>
      <c r="AG1047" s="43">
        <f t="shared" ref="AG1047:AG1048" si="843">IF(O1047="Paid",IF(A1047="Alwataniya",(M1047*21%)-((M1047*21%)*5%),IF((A1047="GIG"),(M1047*25%)-((M1047*25%)*5%),IF((A1047="Allianz"),(M1047*27%)-((M1047*27%)*20%),0))),0)</f>
        <v>4295.579375</v>
      </c>
      <c r="AH1047" s="29">
        <v>45148.0</v>
      </c>
      <c r="AI1047" s="29">
        <v>45240.0</v>
      </c>
      <c r="AJ1047" s="55">
        <v>0.25</v>
      </c>
      <c r="AK1047" s="29">
        <v>45240.0</v>
      </c>
      <c r="AL1047" s="27"/>
      <c r="AM1047" s="44"/>
      <c r="AN1047" s="47"/>
      <c r="AO1047" s="46"/>
      <c r="AP1047" s="47"/>
      <c r="AQ1047" s="43">
        <f t="shared" si="842"/>
        <v>4521.6625</v>
      </c>
      <c r="AR1047" s="43">
        <f t="shared" si="448"/>
        <v>226.083125</v>
      </c>
      <c r="AS1047" s="43">
        <f t="shared" si="449"/>
        <v>791.2909375</v>
      </c>
      <c r="AT1047" s="48">
        <f t="shared" si="753"/>
        <v>3504.288438</v>
      </c>
      <c r="AU1047" s="49">
        <f t="shared" si="800"/>
        <v>3504.288438</v>
      </c>
      <c r="AV1047" s="48"/>
      <c r="AW1047" s="34">
        <f t="shared" si="840"/>
        <v>16387.0025</v>
      </c>
      <c r="AX1047" s="50">
        <f t="shared" si="811"/>
        <v>391.2909375</v>
      </c>
      <c r="AY1047" s="43"/>
      <c r="AZ1047" s="47"/>
      <c r="BA1047" s="48">
        <f t="shared" si="801"/>
        <v>3504.288438</v>
      </c>
      <c r="BB1047" s="27"/>
      <c r="BC1047" s="27"/>
      <c r="BD1047" s="51"/>
      <c r="BE1047" s="52"/>
      <c r="BF1047" s="27"/>
      <c r="BG1047" s="53">
        <v>0.0</v>
      </c>
      <c r="BH1047" s="53" t="str">
        <f>'[1]2023'!Q1331</f>
        <v>#REF!</v>
      </c>
      <c r="BI1047" s="27"/>
      <c r="BJ1047" s="27"/>
      <c r="BK1047" s="27" t="s">
        <v>76</v>
      </c>
      <c r="BL1047" s="27"/>
    </row>
    <row r="1048" ht="14.25" customHeight="1">
      <c r="A1048" s="26" t="s">
        <v>111</v>
      </c>
      <c r="B1048" s="26" t="s">
        <v>56</v>
      </c>
      <c r="C1048" s="26" t="s">
        <v>57</v>
      </c>
      <c r="D1048" s="26" t="s">
        <v>71</v>
      </c>
      <c r="E1048" s="27" t="s">
        <v>3417</v>
      </c>
      <c r="F1048" s="28" t="s">
        <v>3418</v>
      </c>
      <c r="G1048" s="29">
        <v>45194.0</v>
      </c>
      <c r="H1048" s="30">
        <v>45194.0</v>
      </c>
      <c r="I1048" s="30">
        <v>45559.0</v>
      </c>
      <c r="J1048" s="31" t="s">
        <v>3419</v>
      </c>
      <c r="K1048" s="26" t="s">
        <v>475</v>
      </c>
      <c r="L1048" s="32" t="s">
        <v>3420</v>
      </c>
      <c r="M1048" s="33">
        <v>38857.33</v>
      </c>
      <c r="N1048" s="34">
        <v>41600.0</v>
      </c>
      <c r="O1048" s="27" t="s">
        <v>76</v>
      </c>
      <c r="P1048" s="35" t="s">
        <v>89</v>
      </c>
      <c r="Q1048" s="35" t="s">
        <v>114</v>
      </c>
      <c r="R1048" s="36">
        <v>45194.0</v>
      </c>
      <c r="S1048" s="35" t="s">
        <v>1103</v>
      </c>
      <c r="T1048" s="54" t="s">
        <v>3421</v>
      </c>
      <c r="U1048" s="37" t="s">
        <v>115</v>
      </c>
      <c r="V1048" s="38">
        <v>1600000.0</v>
      </c>
      <c r="W1048" s="78">
        <v>500719.0</v>
      </c>
      <c r="X1048" s="27">
        <v>2022.0</v>
      </c>
      <c r="Y1048" s="39"/>
      <c r="Z1048" s="79" t="s">
        <v>3422</v>
      </c>
      <c r="AA1048" s="39"/>
      <c r="AB1048" s="27"/>
      <c r="AC1048" s="27">
        <f t="shared" si="619"/>
        <v>0</v>
      </c>
      <c r="AD1048" s="41"/>
      <c r="AE1048" s="42"/>
      <c r="AF1048" s="27"/>
      <c r="AG1048" s="43">
        <f t="shared" si="843"/>
        <v>9228.615875</v>
      </c>
      <c r="AH1048" s="29">
        <v>44936.0</v>
      </c>
      <c r="AI1048" s="29">
        <v>44967.0</v>
      </c>
      <c r="AJ1048" s="29"/>
      <c r="AK1048" s="29">
        <v>44936.0</v>
      </c>
      <c r="AL1048" s="27"/>
      <c r="AM1048" s="44">
        <f t="shared" ref="AM1048:AM1049" si="844">IF((BD1048&lt;=2),AU1048*10%,(IF((BD1048=3),AU1048*20%,IF((BD1048=4),AU1048*20%,IF((BD1048&gt;=5),AU1048*30%,(IF((BD1048="lead"),AU1048*30%,0)))))))</f>
        <v>510.0024563</v>
      </c>
      <c r="AN1048" s="57">
        <v>44995.0</v>
      </c>
      <c r="AO1048" s="46">
        <f>M1048*15%</f>
        <v>5828.5995</v>
      </c>
      <c r="AP1048" s="47" t="s">
        <v>1312</v>
      </c>
      <c r="AQ1048" s="43">
        <f t="shared" si="842"/>
        <v>9714.3325</v>
      </c>
      <c r="AR1048" s="43">
        <f t="shared" si="448"/>
        <v>485.716625</v>
      </c>
      <c r="AS1048" s="43">
        <f t="shared" si="449"/>
        <v>1700.008188</v>
      </c>
      <c r="AT1048" s="48">
        <f t="shared" si="753"/>
        <v>7528.607688</v>
      </c>
      <c r="AU1048" s="49">
        <f t="shared" si="800"/>
        <v>1700.008188</v>
      </c>
      <c r="AV1048" s="106">
        <f t="shared" ref="AV1048:AV1049" si="845">AU1048*10%</f>
        <v>170.0008188</v>
      </c>
      <c r="AW1048" s="34">
        <f t="shared" si="840"/>
        <v>41600</v>
      </c>
      <c r="AX1048" s="50">
        <f t="shared" si="811"/>
        <v>1020.004913</v>
      </c>
      <c r="AY1048" s="43"/>
      <c r="AZ1048" s="47"/>
      <c r="BA1048" s="48">
        <f t="shared" si="801"/>
        <v>-4638.593769</v>
      </c>
      <c r="BB1048" s="27"/>
      <c r="BC1048" s="27"/>
      <c r="BD1048" s="51" t="s">
        <v>1296</v>
      </c>
      <c r="BE1048" s="52"/>
      <c r="BF1048" s="27"/>
      <c r="BG1048" s="53">
        <v>0.0</v>
      </c>
      <c r="BH1048" s="53" t="str">
        <f t="shared" ref="BH1048:BH1049" si="846">'[1]2023'!Q1358</f>
        <v>#REF!</v>
      </c>
      <c r="BI1048" s="27"/>
      <c r="BJ1048" s="27"/>
      <c r="BK1048" s="27" t="s">
        <v>76</v>
      </c>
      <c r="BL1048" s="27"/>
    </row>
    <row r="1049" ht="14.25" customHeight="1">
      <c r="A1049" s="26" t="s">
        <v>111</v>
      </c>
      <c r="B1049" s="26" t="s">
        <v>56</v>
      </c>
      <c r="C1049" s="26" t="s">
        <v>57</v>
      </c>
      <c r="D1049" s="26" t="s">
        <v>71</v>
      </c>
      <c r="E1049" s="27" t="s">
        <v>3423</v>
      </c>
      <c r="F1049" s="28" t="s">
        <v>3424</v>
      </c>
      <c r="G1049" s="29">
        <v>45194.0</v>
      </c>
      <c r="H1049" s="30">
        <v>45194.0</v>
      </c>
      <c r="I1049" s="30">
        <v>45559.0</v>
      </c>
      <c r="J1049" s="31" t="s">
        <v>3425</v>
      </c>
      <c r="K1049" s="26" t="s">
        <v>475</v>
      </c>
      <c r="L1049" s="32" t="s">
        <v>3107</v>
      </c>
      <c r="M1049" s="33">
        <v>16075.38</v>
      </c>
      <c r="N1049" s="34">
        <v>17360.0</v>
      </c>
      <c r="O1049" s="27" t="s">
        <v>76</v>
      </c>
      <c r="P1049" s="35" t="s">
        <v>89</v>
      </c>
      <c r="Q1049" s="35" t="s">
        <v>114</v>
      </c>
      <c r="R1049" s="36">
        <v>45194.0</v>
      </c>
      <c r="S1049" s="35" t="s">
        <v>1103</v>
      </c>
      <c r="T1049" s="54" t="s">
        <v>435</v>
      </c>
      <c r="U1049" s="37" t="s">
        <v>149</v>
      </c>
      <c r="V1049" s="38">
        <v>800000.0</v>
      </c>
      <c r="W1049" s="78">
        <v>57842.0</v>
      </c>
      <c r="X1049" s="27">
        <v>2021.0</v>
      </c>
      <c r="Y1049" s="79" t="s">
        <v>3426</v>
      </c>
      <c r="Z1049" s="79" t="s">
        <v>3427</v>
      </c>
      <c r="AA1049" s="39">
        <v>362015.0</v>
      </c>
      <c r="AB1049" s="27"/>
      <c r="AC1049" s="27">
        <f t="shared" si="619"/>
        <v>0</v>
      </c>
      <c r="AD1049" s="41"/>
      <c r="AE1049" s="42"/>
      <c r="AF1049" s="27"/>
      <c r="AG1049" s="43">
        <f>IF(O1049="Paid",IF(A1049="Alwataniya",(M1049*21%)-((M1049*21%)*5%),IF((A1049="GIG"),(M1049*15%)-((M1049*15%)*5%),IF((A1049="Allianz"),(M1049*27%)-((M1049*27%)*20%),0))),0)</f>
        <v>2290.74165</v>
      </c>
      <c r="AH1049" s="29" t="s">
        <v>3107</v>
      </c>
      <c r="AI1049" s="29">
        <v>45179.0</v>
      </c>
      <c r="AJ1049" s="29"/>
      <c r="AK1049" s="29">
        <v>45148.0</v>
      </c>
      <c r="AL1049" s="27"/>
      <c r="AM1049" s="44">
        <f t="shared" si="844"/>
        <v>174.8197575</v>
      </c>
      <c r="AN1049" s="57">
        <v>44995.0</v>
      </c>
      <c r="AO1049" s="46">
        <f>M1049*8%</f>
        <v>1286.0304</v>
      </c>
      <c r="AP1049" s="57">
        <v>44995.0</v>
      </c>
      <c r="AQ1049" s="43">
        <f t="shared" si="842"/>
        <v>2411.307</v>
      </c>
      <c r="AR1049" s="43">
        <f t="shared" si="448"/>
        <v>120.56535</v>
      </c>
      <c r="AS1049" s="43">
        <f t="shared" si="449"/>
        <v>421.978725</v>
      </c>
      <c r="AT1049" s="48">
        <f t="shared" si="753"/>
        <v>1868.762925</v>
      </c>
      <c r="AU1049" s="49">
        <f t="shared" si="800"/>
        <v>582.732525</v>
      </c>
      <c r="AV1049" s="106">
        <f t="shared" si="845"/>
        <v>58.2732525</v>
      </c>
      <c r="AW1049" s="34">
        <f t="shared" si="840"/>
        <v>17360</v>
      </c>
      <c r="AX1049" s="50">
        <f t="shared" si="811"/>
        <v>349.639515</v>
      </c>
      <c r="AY1049" s="43"/>
      <c r="AZ1049" s="47"/>
      <c r="BA1049" s="48">
        <f t="shared" si="801"/>
        <v>-878.1176325</v>
      </c>
      <c r="BB1049" s="27"/>
      <c r="BC1049" s="27"/>
      <c r="BD1049" s="51" t="s">
        <v>1296</v>
      </c>
      <c r="BE1049" s="52"/>
      <c r="BF1049" s="27"/>
      <c r="BG1049" s="53">
        <v>0.0</v>
      </c>
      <c r="BH1049" s="53" t="str">
        <f t="shared" si="846"/>
        <v>#REF!</v>
      </c>
      <c r="BI1049" s="27"/>
      <c r="BJ1049" s="27"/>
      <c r="BK1049" s="27" t="s">
        <v>76</v>
      </c>
      <c r="BL1049" s="27"/>
    </row>
    <row r="1050" ht="14.25" customHeight="1">
      <c r="A1050" s="26" t="s">
        <v>55</v>
      </c>
      <c r="B1050" s="26" t="s">
        <v>56</v>
      </c>
      <c r="C1050" s="26" t="s">
        <v>57</v>
      </c>
      <c r="D1050" s="26" t="s">
        <v>71</v>
      </c>
      <c r="E1050" s="27" t="s">
        <v>3428</v>
      </c>
      <c r="F1050" s="28" t="s">
        <v>3429</v>
      </c>
      <c r="G1050" s="29">
        <v>45194.0</v>
      </c>
      <c r="H1050" s="30">
        <v>45194.0</v>
      </c>
      <c r="I1050" s="30">
        <v>45559.0</v>
      </c>
      <c r="J1050" s="31" t="s">
        <v>3430</v>
      </c>
      <c r="K1050" s="26" t="s">
        <v>475</v>
      </c>
      <c r="L1050" s="32" t="s">
        <v>3387</v>
      </c>
      <c r="M1050" s="33">
        <v>56050.0</v>
      </c>
      <c r="N1050" s="34">
        <v>59778.2</v>
      </c>
      <c r="O1050" s="27" t="s">
        <v>76</v>
      </c>
      <c r="P1050" s="35" t="s">
        <v>122</v>
      </c>
      <c r="Q1050" s="35" t="s">
        <v>65</v>
      </c>
      <c r="R1050" s="36">
        <v>45194.0</v>
      </c>
      <c r="S1050" s="35" t="s">
        <v>78</v>
      </c>
      <c r="T1050" s="54" t="s">
        <v>163</v>
      </c>
      <c r="U1050" s="37" t="s">
        <v>67</v>
      </c>
      <c r="V1050" s="38"/>
      <c r="W1050" s="78"/>
      <c r="X1050" s="27"/>
      <c r="Y1050" s="39"/>
      <c r="Z1050" s="39"/>
      <c r="AA1050" s="39"/>
      <c r="AB1050" s="27"/>
      <c r="AC1050" s="27">
        <f t="shared" si="619"/>
        <v>0</v>
      </c>
      <c r="AD1050" s="41"/>
      <c r="AE1050" s="42"/>
      <c r="AF1050" s="27"/>
      <c r="AG1050" s="43">
        <f t="shared" ref="AG1050:AG1053" si="847">IF(O1050="Paid",IF(A1050="Alwataniya",(M1050*21%)-((M1050*21%)*5%),IF((A1050="GIG"),(M1050*25%)-((M1050*25%)*5%),IF((A1050="Allianz"),(M1050*27%)-((M1050*27%)*5%),0))),0)</f>
        <v>14376.825</v>
      </c>
      <c r="AH1050" s="29"/>
      <c r="AI1050" s="29"/>
      <c r="AJ1050" s="29"/>
      <c r="AK1050" s="29"/>
      <c r="AL1050" s="27"/>
      <c r="AM1050" s="44"/>
      <c r="AN1050" s="47"/>
      <c r="AO1050" s="46">
        <f>M1050*15%</f>
        <v>8407.5</v>
      </c>
      <c r="AP1050" s="57">
        <v>44995.0</v>
      </c>
      <c r="AQ1050" s="43">
        <f t="shared" si="842"/>
        <v>15133.5</v>
      </c>
      <c r="AR1050" s="43">
        <f t="shared" si="448"/>
        <v>756.675</v>
      </c>
      <c r="AS1050" s="43">
        <f t="shared" si="449"/>
        <v>2648.3625</v>
      </c>
      <c r="AT1050" s="48">
        <f t="shared" si="753"/>
        <v>11728.4625</v>
      </c>
      <c r="AU1050" s="49">
        <f t="shared" si="800"/>
        <v>3320.9625</v>
      </c>
      <c r="AV1050" s="48"/>
      <c r="AW1050" s="34">
        <f t="shared" si="840"/>
        <v>59778.2</v>
      </c>
      <c r="AX1050" s="50">
        <f t="shared" si="811"/>
        <v>3320.9625</v>
      </c>
      <c r="AY1050" s="43"/>
      <c r="AZ1050" s="47"/>
      <c r="BA1050" s="48">
        <f t="shared" si="801"/>
        <v>-5086.5375</v>
      </c>
      <c r="BB1050" s="27"/>
      <c r="BC1050" s="27"/>
      <c r="BD1050" s="51"/>
      <c r="BE1050" s="52"/>
      <c r="BF1050" s="27"/>
      <c r="BG1050" s="53">
        <v>0.0</v>
      </c>
      <c r="BH1050" s="53" t="str">
        <f>'[1]2023'!Q1369</f>
        <v>#REF!</v>
      </c>
      <c r="BI1050" s="27"/>
      <c r="BJ1050" s="27"/>
      <c r="BK1050" s="27" t="s">
        <v>76</v>
      </c>
      <c r="BL1050" s="27"/>
    </row>
    <row r="1051" ht="14.25" customHeight="1">
      <c r="A1051" s="26" t="s">
        <v>55</v>
      </c>
      <c r="B1051" s="26" t="s">
        <v>56</v>
      </c>
      <c r="C1051" s="26" t="s">
        <v>57</v>
      </c>
      <c r="D1051" s="26" t="s">
        <v>81</v>
      </c>
      <c r="E1051" s="27" t="s">
        <v>3431</v>
      </c>
      <c r="F1051" s="28" t="s">
        <v>3432</v>
      </c>
      <c r="G1051" s="29">
        <v>45195.0</v>
      </c>
      <c r="H1051" s="30">
        <v>45195.0</v>
      </c>
      <c r="I1051" s="30">
        <v>45560.0</v>
      </c>
      <c r="J1051" s="31" t="s">
        <v>3433</v>
      </c>
      <c r="K1051" s="26" t="s">
        <v>475</v>
      </c>
      <c r="L1051" s="32" t="s">
        <v>3209</v>
      </c>
      <c r="M1051" s="33">
        <v>14025.0</v>
      </c>
      <c r="N1051" s="34">
        <v>15063.61</v>
      </c>
      <c r="O1051" s="27" t="s">
        <v>76</v>
      </c>
      <c r="P1051" s="35" t="s">
        <v>89</v>
      </c>
      <c r="Q1051" s="35">
        <v>0.0</v>
      </c>
      <c r="R1051" s="36">
        <v>45195.0</v>
      </c>
      <c r="S1051" s="35" t="s">
        <v>86</v>
      </c>
      <c r="T1051" s="35">
        <v>0.0</v>
      </c>
      <c r="U1051" s="37" t="s">
        <v>67</v>
      </c>
      <c r="V1051" s="38">
        <v>850000.0</v>
      </c>
      <c r="W1051" s="78">
        <v>26642.0</v>
      </c>
      <c r="X1051" s="27">
        <v>2018.0</v>
      </c>
      <c r="Y1051" s="79" t="s">
        <v>3434</v>
      </c>
      <c r="Z1051" s="79" t="s">
        <v>3435</v>
      </c>
      <c r="AA1051" s="39">
        <v>26642.0</v>
      </c>
      <c r="AB1051" s="27"/>
      <c r="AC1051" s="27">
        <f t="shared" si="619"/>
        <v>0</v>
      </c>
      <c r="AD1051" s="41">
        <f t="shared" ref="AD1051:AD1055" si="848">IF(AND(S1051="0",O1051="Paid"),(M1051*15%)-AC1051,0)</f>
        <v>2103.75</v>
      </c>
      <c r="AE1051" s="42"/>
      <c r="AF1051" s="27"/>
      <c r="AG1051" s="43">
        <f t="shared" si="847"/>
        <v>3597.4125</v>
      </c>
      <c r="AH1051" s="29"/>
      <c r="AI1051" s="29"/>
      <c r="AJ1051" s="29"/>
      <c r="AK1051" s="29"/>
      <c r="AL1051" s="27"/>
      <c r="AM1051" s="44"/>
      <c r="AN1051" s="47"/>
      <c r="AO1051" s="46"/>
      <c r="AP1051" s="47"/>
      <c r="AQ1051" s="43">
        <f t="shared" si="842"/>
        <v>3786.75</v>
      </c>
      <c r="AR1051" s="43">
        <f t="shared" si="448"/>
        <v>189.3375</v>
      </c>
      <c r="AS1051" s="43">
        <f t="shared" si="449"/>
        <v>662.68125</v>
      </c>
      <c r="AT1051" s="48">
        <f t="shared" si="753"/>
        <v>2934.73125</v>
      </c>
      <c r="AU1051" s="49">
        <f t="shared" si="800"/>
        <v>2934.73125</v>
      </c>
      <c r="AV1051" s="48"/>
      <c r="AW1051" s="34">
        <f t="shared" si="840"/>
        <v>12959.86</v>
      </c>
      <c r="AX1051" s="50">
        <f t="shared" si="811"/>
        <v>830.98125</v>
      </c>
      <c r="AY1051" s="43"/>
      <c r="AZ1051" s="47"/>
      <c r="BA1051" s="48">
        <f t="shared" si="801"/>
        <v>2934.73125</v>
      </c>
      <c r="BB1051" s="27"/>
      <c r="BC1051" s="27"/>
      <c r="BD1051" s="51"/>
      <c r="BE1051" s="52"/>
      <c r="BF1051" s="27"/>
      <c r="BG1051" s="53">
        <v>0.0</v>
      </c>
      <c r="BH1051" s="53" t="str">
        <f>'[1]2023'!Q1293</f>
        <v>#REF!</v>
      </c>
      <c r="BI1051" s="27"/>
      <c r="BJ1051" s="27"/>
      <c r="BK1051" s="27" t="s">
        <v>76</v>
      </c>
      <c r="BL1051" s="27"/>
    </row>
    <row r="1052" ht="14.25" customHeight="1">
      <c r="A1052" s="26" t="s">
        <v>55</v>
      </c>
      <c r="B1052" s="26" t="s">
        <v>56</v>
      </c>
      <c r="C1052" s="26" t="s">
        <v>57</v>
      </c>
      <c r="D1052" s="26" t="s">
        <v>81</v>
      </c>
      <c r="E1052" s="27" t="s">
        <v>3436</v>
      </c>
      <c r="F1052" s="28" t="s">
        <v>3437</v>
      </c>
      <c r="G1052" s="29">
        <v>45195.0</v>
      </c>
      <c r="H1052" s="30">
        <v>45195.0</v>
      </c>
      <c r="I1052" s="30">
        <v>45560.0</v>
      </c>
      <c r="J1052" s="31" t="s">
        <v>3438</v>
      </c>
      <c r="K1052" s="26" t="s">
        <v>475</v>
      </c>
      <c r="L1052" s="32" t="s">
        <v>3439</v>
      </c>
      <c r="M1052" s="33">
        <v>24780.0</v>
      </c>
      <c r="N1052" s="34">
        <v>26506.92</v>
      </c>
      <c r="O1052" s="27" t="s">
        <v>76</v>
      </c>
      <c r="P1052" s="35" t="s">
        <v>122</v>
      </c>
      <c r="Q1052" s="35" t="s">
        <v>90</v>
      </c>
      <c r="R1052" s="36">
        <v>45195.0</v>
      </c>
      <c r="S1052" s="35" t="s">
        <v>86</v>
      </c>
      <c r="T1052" s="35">
        <v>0.0</v>
      </c>
      <c r="U1052" s="37" t="s">
        <v>67</v>
      </c>
      <c r="V1052" s="38">
        <v>1400000.0</v>
      </c>
      <c r="W1052" s="78">
        <v>2886.0</v>
      </c>
      <c r="X1052" s="27">
        <v>2020.0</v>
      </c>
      <c r="Y1052" s="39"/>
      <c r="Z1052" s="79" t="s">
        <v>407</v>
      </c>
      <c r="AA1052" s="39"/>
      <c r="AB1052" s="27"/>
      <c r="AC1052" s="27">
        <f t="shared" si="619"/>
        <v>0</v>
      </c>
      <c r="AD1052" s="41">
        <f t="shared" si="848"/>
        <v>3717</v>
      </c>
      <c r="AE1052" s="42"/>
      <c r="AF1052" s="27"/>
      <c r="AG1052" s="43">
        <f t="shared" si="847"/>
        <v>6356.07</v>
      </c>
      <c r="AH1052" s="29"/>
      <c r="AI1052" s="29"/>
      <c r="AJ1052" s="29"/>
      <c r="AK1052" s="29"/>
      <c r="AL1052" s="27"/>
      <c r="AM1052" s="44"/>
      <c r="AN1052" s="47"/>
      <c r="AO1052" s="46"/>
      <c r="AP1052" s="47"/>
      <c r="AQ1052" s="43">
        <f t="shared" si="842"/>
        <v>6690.6</v>
      </c>
      <c r="AR1052" s="43">
        <f t="shared" si="448"/>
        <v>334.53</v>
      </c>
      <c r="AS1052" s="43">
        <f t="shared" si="449"/>
        <v>1170.855</v>
      </c>
      <c r="AT1052" s="48">
        <f t="shared" si="753"/>
        <v>5185.215</v>
      </c>
      <c r="AU1052" s="49">
        <f t="shared" si="800"/>
        <v>5185.215</v>
      </c>
      <c r="AV1052" s="48"/>
      <c r="AW1052" s="34">
        <f t="shared" si="840"/>
        <v>22789.92</v>
      </c>
      <c r="AX1052" s="50">
        <f t="shared" si="811"/>
        <v>1468.215</v>
      </c>
      <c r="AY1052" s="43"/>
      <c r="AZ1052" s="47"/>
      <c r="BA1052" s="48">
        <f t="shared" si="801"/>
        <v>5185.215</v>
      </c>
      <c r="BB1052" s="27"/>
      <c r="BC1052" s="27"/>
      <c r="BD1052" s="51"/>
      <c r="BE1052" s="52"/>
      <c r="BF1052" s="27"/>
      <c r="BG1052" s="53">
        <v>0.0</v>
      </c>
      <c r="BH1052" s="53" t="str">
        <f>'[1]2023'!Q1430</f>
        <v>#REF!</v>
      </c>
      <c r="BI1052" s="27"/>
      <c r="BJ1052" s="27"/>
      <c r="BK1052" s="27" t="s">
        <v>76</v>
      </c>
      <c r="BL1052" s="27"/>
    </row>
    <row r="1053" ht="14.25" customHeight="1">
      <c r="A1053" s="26" t="s">
        <v>55</v>
      </c>
      <c r="B1053" s="26" t="s">
        <v>56</v>
      </c>
      <c r="C1053" s="26" t="s">
        <v>57</v>
      </c>
      <c r="D1053" s="26" t="s">
        <v>81</v>
      </c>
      <c r="E1053" s="27" t="s">
        <v>3440</v>
      </c>
      <c r="F1053" s="28" t="s">
        <v>3441</v>
      </c>
      <c r="G1053" s="29">
        <v>45195.0</v>
      </c>
      <c r="H1053" s="30">
        <v>45195.0</v>
      </c>
      <c r="I1053" s="30">
        <v>45560.0</v>
      </c>
      <c r="J1053" s="31" t="s">
        <v>3442</v>
      </c>
      <c r="K1053" s="26" t="s">
        <v>475</v>
      </c>
      <c r="L1053" s="32" t="s">
        <v>2764</v>
      </c>
      <c r="M1053" s="33">
        <v>23010.0</v>
      </c>
      <c r="N1053" s="34">
        <v>24623.64</v>
      </c>
      <c r="O1053" s="27" t="s">
        <v>76</v>
      </c>
      <c r="P1053" s="35" t="s">
        <v>89</v>
      </c>
      <c r="Q1053" s="35" t="s">
        <v>90</v>
      </c>
      <c r="R1053" s="36">
        <v>45195.0</v>
      </c>
      <c r="S1053" s="35" t="s">
        <v>86</v>
      </c>
      <c r="T1053" s="35">
        <v>0.0</v>
      </c>
      <c r="U1053" s="37" t="s">
        <v>67</v>
      </c>
      <c r="V1053" s="38">
        <v>1300000.0</v>
      </c>
      <c r="W1053" s="78">
        <v>7736.0</v>
      </c>
      <c r="X1053" s="27">
        <v>2019.0</v>
      </c>
      <c r="Y1053" s="79" t="s">
        <v>208</v>
      </c>
      <c r="Z1053" s="79" t="s">
        <v>208</v>
      </c>
      <c r="AA1053" s="39"/>
      <c r="AB1053" s="27"/>
      <c r="AC1053" s="27">
        <f t="shared" si="619"/>
        <v>0</v>
      </c>
      <c r="AD1053" s="41">
        <f t="shared" si="848"/>
        <v>3451.5</v>
      </c>
      <c r="AE1053" s="42"/>
      <c r="AF1053" s="27"/>
      <c r="AG1053" s="43">
        <f t="shared" si="847"/>
        <v>5902.065</v>
      </c>
      <c r="AH1053" s="29"/>
      <c r="AI1053" s="29"/>
      <c r="AJ1053" s="29"/>
      <c r="AK1053" s="29"/>
      <c r="AL1053" s="27"/>
      <c r="AM1053" s="44"/>
      <c r="AN1053" s="47"/>
      <c r="AO1053" s="46"/>
      <c r="AP1053" s="47"/>
      <c r="AQ1053" s="43">
        <f t="shared" si="842"/>
        <v>6212.7</v>
      </c>
      <c r="AR1053" s="43">
        <f t="shared" si="448"/>
        <v>310.635</v>
      </c>
      <c r="AS1053" s="43">
        <f t="shared" si="449"/>
        <v>1087.2225</v>
      </c>
      <c r="AT1053" s="48">
        <f t="shared" si="753"/>
        <v>4814.8425</v>
      </c>
      <c r="AU1053" s="49">
        <f t="shared" si="800"/>
        <v>4814.8425</v>
      </c>
      <c r="AV1053" s="48"/>
      <c r="AW1053" s="34">
        <f t="shared" si="840"/>
        <v>21172.14</v>
      </c>
      <c r="AX1053" s="50">
        <f t="shared" si="811"/>
        <v>1363.3425</v>
      </c>
      <c r="AY1053" s="43"/>
      <c r="AZ1053" s="47"/>
      <c r="BA1053" s="48">
        <f t="shared" si="801"/>
        <v>4814.8425</v>
      </c>
      <c r="BB1053" s="27"/>
      <c r="BC1053" s="27"/>
      <c r="BD1053" s="51"/>
      <c r="BE1053" s="52"/>
      <c r="BF1053" s="27"/>
      <c r="BG1053" s="53">
        <v>0.0</v>
      </c>
      <c r="BH1053" s="53" t="str">
        <f>'[1]2023'!Q1510</f>
        <v>#REF!</v>
      </c>
      <c r="BI1053" s="27"/>
      <c r="BJ1053" s="27"/>
      <c r="BK1053" s="27" t="s">
        <v>76</v>
      </c>
      <c r="BL1053" s="27"/>
    </row>
    <row r="1054" ht="14.25" customHeight="1">
      <c r="A1054" s="26" t="s">
        <v>55</v>
      </c>
      <c r="B1054" s="26" t="s">
        <v>56</v>
      </c>
      <c r="C1054" s="26" t="s">
        <v>57</v>
      </c>
      <c r="D1054" s="26" t="s">
        <v>58</v>
      </c>
      <c r="E1054" s="27" t="s">
        <v>3443</v>
      </c>
      <c r="F1054" s="28" t="s">
        <v>3444</v>
      </c>
      <c r="G1054" s="29">
        <v>45195.0</v>
      </c>
      <c r="H1054" s="30">
        <v>45195.0</v>
      </c>
      <c r="I1054" s="30">
        <v>45560.0</v>
      </c>
      <c r="J1054" s="31">
        <v>0.0</v>
      </c>
      <c r="K1054" s="26" t="s">
        <v>475</v>
      </c>
      <c r="L1054" s="32" t="s">
        <v>63</v>
      </c>
      <c r="M1054" s="33">
        <v>6978.49</v>
      </c>
      <c r="N1054" s="34">
        <v>7390.22</v>
      </c>
      <c r="O1054" s="27" t="s">
        <v>76</v>
      </c>
      <c r="P1054" s="35" t="s">
        <v>430</v>
      </c>
      <c r="Q1054" s="35" t="s">
        <v>65</v>
      </c>
      <c r="R1054" s="36">
        <v>45195.0</v>
      </c>
      <c r="S1054" s="35" t="s">
        <v>66</v>
      </c>
      <c r="T1054" s="35">
        <v>0.0</v>
      </c>
      <c r="U1054" s="37" t="s">
        <v>67</v>
      </c>
      <c r="V1054" s="38"/>
      <c r="W1054" s="78"/>
      <c r="X1054" s="27"/>
      <c r="Y1054" s="39"/>
      <c r="Z1054" s="39"/>
      <c r="AA1054" s="39"/>
      <c r="AB1054" s="27"/>
      <c r="AC1054" s="27">
        <f t="shared" si="619"/>
        <v>0</v>
      </c>
      <c r="AD1054" s="41">
        <f t="shared" si="848"/>
        <v>0</v>
      </c>
      <c r="AE1054" s="42"/>
      <c r="AF1054" s="27"/>
      <c r="AG1054" s="43">
        <f>IF(O1054="Paid",IF(A1054="Wethaq",(M1054*28%)-((M1054*28%)*5%),IF((A1054="GIG"),(M1054*25%)-((M1054*25%)*5%),IF((A1054="Allianz"),(M1054*27%)-((M1054*27%)*20%),0))),0)</f>
        <v>1507.35384</v>
      </c>
      <c r="AH1054" s="29"/>
      <c r="AI1054" s="29"/>
      <c r="AJ1054" s="29"/>
      <c r="AK1054" s="29"/>
      <c r="AL1054" s="27"/>
      <c r="AM1054" s="44">
        <f>((M1054*25%)-AC1054-((M1054*25%)*22.5%))*30%</f>
        <v>405.6247313</v>
      </c>
      <c r="AN1054" s="179">
        <v>45148.0</v>
      </c>
      <c r="AO1054" s="46"/>
      <c r="AP1054" s="47"/>
      <c r="AQ1054" s="43">
        <f>IF(O1054="Paid",IF(U1054="Motor Plus",(M1054*27%),IF(U1054="Motor One",(M1054*22%),(IF(U1054="Golden",(M1054*25%),(IF(U1054="Classic",(M1054*15%),(IF(U1054="Wethaq",(M1054*28%),IF(U1054="Alwataniya",(M1054*21%))*0)))))))))</f>
        <v>1884.1923</v>
      </c>
      <c r="AR1054" s="43">
        <f t="shared" si="448"/>
        <v>94.209615</v>
      </c>
      <c r="AS1054" s="43">
        <f t="shared" si="449"/>
        <v>329.7336525</v>
      </c>
      <c r="AT1054" s="48">
        <f t="shared" si="753"/>
        <v>1460.249033</v>
      </c>
      <c r="AU1054" s="49">
        <f t="shared" si="800"/>
        <v>1460.249033</v>
      </c>
      <c r="AV1054" s="48"/>
      <c r="AW1054" s="34">
        <f t="shared" si="840"/>
        <v>7390.22</v>
      </c>
      <c r="AX1054" s="50">
        <f t="shared" si="811"/>
        <v>771.9954563</v>
      </c>
      <c r="AY1054" s="43"/>
      <c r="AZ1054" s="47"/>
      <c r="BA1054" s="48">
        <f t="shared" si="801"/>
        <v>1054.624301</v>
      </c>
      <c r="BB1054" s="27"/>
      <c r="BC1054" s="27"/>
      <c r="BD1054" s="51"/>
      <c r="BE1054" s="52"/>
      <c r="BF1054" s="27"/>
      <c r="BG1054" s="53">
        <v>0.0</v>
      </c>
      <c r="BH1054" s="53" t="str">
        <f>'[1]2023'!Q1591</f>
        <v>#REF!</v>
      </c>
      <c r="BI1054" s="27"/>
      <c r="BJ1054" s="27"/>
      <c r="BK1054" s="27" t="s">
        <v>76</v>
      </c>
      <c r="BL1054" s="27"/>
    </row>
    <row r="1055" ht="14.25" customHeight="1">
      <c r="A1055" s="26" t="s">
        <v>111</v>
      </c>
      <c r="B1055" s="26" t="s">
        <v>56</v>
      </c>
      <c r="C1055" s="26" t="s">
        <v>57</v>
      </c>
      <c r="D1055" s="26" t="s">
        <v>71</v>
      </c>
      <c r="E1055" s="27" t="s">
        <v>3445</v>
      </c>
      <c r="F1055" s="28" t="s">
        <v>3446</v>
      </c>
      <c r="G1055" s="29">
        <v>45196.0</v>
      </c>
      <c r="H1055" s="30">
        <v>45196.0</v>
      </c>
      <c r="I1055" s="30">
        <v>45561.0</v>
      </c>
      <c r="J1055" s="31" t="s">
        <v>3447</v>
      </c>
      <c r="K1055" s="26" t="s">
        <v>475</v>
      </c>
      <c r="L1055" s="69">
        <v>44967.0</v>
      </c>
      <c r="M1055" s="33">
        <v>16864.85</v>
      </c>
      <c r="N1055" s="34">
        <v>18200.0</v>
      </c>
      <c r="O1055" s="27" t="s">
        <v>76</v>
      </c>
      <c r="P1055" s="35" t="s">
        <v>89</v>
      </c>
      <c r="Q1055" s="35" t="s">
        <v>114</v>
      </c>
      <c r="R1055" s="36">
        <v>45205.0</v>
      </c>
      <c r="S1055" s="35" t="s">
        <v>676</v>
      </c>
      <c r="T1055" s="35">
        <v>0.0</v>
      </c>
      <c r="U1055" s="37" t="s">
        <v>115</v>
      </c>
      <c r="V1055" s="38">
        <v>700000.0</v>
      </c>
      <c r="W1055" s="78">
        <v>867.0</v>
      </c>
      <c r="X1055" s="27">
        <v>2023.0</v>
      </c>
      <c r="Y1055" s="79" t="s">
        <v>3448</v>
      </c>
      <c r="Z1055" s="39" t="s">
        <v>3449</v>
      </c>
      <c r="AA1055" s="39"/>
      <c r="AB1055" s="27"/>
      <c r="AC1055" s="27">
        <f t="shared" si="619"/>
        <v>0</v>
      </c>
      <c r="AD1055" s="41">
        <f t="shared" si="848"/>
        <v>0</v>
      </c>
      <c r="AE1055" s="42"/>
      <c r="AF1055" s="27"/>
      <c r="AG1055" s="43">
        <f t="shared" ref="AG1055:AG1056" si="849">IF(O1055="Paid",IF(A1055="Alwataniya",(M1055*21%)-((M1055*21%)*5%),IF((A1055="GIG"),(M1055*25%)-((M1055*25%)*5%),IF((A1055="Allianz"),(M1055*27%)-((M1055*27%)*20%),0))),0)</f>
        <v>4005.401875</v>
      </c>
      <c r="AH1055" s="29">
        <v>44967.0</v>
      </c>
      <c r="AI1055" s="29">
        <v>45179.0</v>
      </c>
      <c r="AJ1055" s="29"/>
      <c r="AK1055" s="29">
        <v>45148.0</v>
      </c>
      <c r="AL1055" s="27"/>
      <c r="AM1055" s="44">
        <f>IF((BD1055&lt;=2),AU1055*10%,(IF((BD1055=3),AU1055*20%,IF((BD1055=4),AU1055*20%,IF((BD1055&gt;=5),AU1055*30%,(IF((BD1055="lead"),AU1055*30%,0)))))))</f>
        <v>326.7564688</v>
      </c>
      <c r="AN1055" s="57">
        <v>44995.0</v>
      </c>
      <c r="AO1055" s="46"/>
      <c r="AP1055" s="47"/>
      <c r="AQ1055" s="43">
        <f t="shared" ref="AQ1055:AQ1060" si="850">IF(U1055="Motor Plus",(M1055*27%),IF(U1055="Motor One",(M1055*22%),(IF(U1055="Golden",(M1055*25%),(IF(U1055="Classic",(M1055*15%),(IF(U1055="Wethaq",(M1055*28%),IF(U1055="Alwataniya",(M1055*21%))*0))))))))</f>
        <v>4216.2125</v>
      </c>
      <c r="AR1055" s="43">
        <f t="shared" si="448"/>
        <v>210.810625</v>
      </c>
      <c r="AS1055" s="43">
        <f t="shared" si="449"/>
        <v>737.8371875</v>
      </c>
      <c r="AT1055" s="48">
        <f t="shared" si="753"/>
        <v>3267.564688</v>
      </c>
      <c r="AU1055" s="49">
        <f t="shared" si="800"/>
        <v>3267.564688</v>
      </c>
      <c r="AV1055" s="106">
        <f>AU1055*10%</f>
        <v>326.7564688</v>
      </c>
      <c r="AW1055" s="34">
        <f t="shared" si="840"/>
        <v>18200</v>
      </c>
      <c r="AX1055" s="50">
        <f t="shared" si="811"/>
        <v>2614.05175</v>
      </c>
      <c r="AY1055" s="43"/>
      <c r="AZ1055" s="47"/>
      <c r="BA1055" s="48">
        <f t="shared" si="801"/>
        <v>2940.808219</v>
      </c>
      <c r="BB1055" s="27"/>
      <c r="BC1055" s="27"/>
      <c r="BD1055" s="51">
        <v>1.0</v>
      </c>
      <c r="BE1055" s="52"/>
      <c r="BF1055" s="27"/>
      <c r="BG1055" s="53">
        <v>0.0</v>
      </c>
      <c r="BH1055" s="53" t="str">
        <f>'[1]2023'!Q1366</f>
        <v>#REF!</v>
      </c>
      <c r="BI1055" s="27"/>
      <c r="BJ1055" s="27"/>
      <c r="BK1055" s="27" t="s">
        <v>76</v>
      </c>
      <c r="BL1055" s="27"/>
    </row>
    <row r="1056" ht="14.25" customHeight="1">
      <c r="A1056" s="26" t="s">
        <v>111</v>
      </c>
      <c r="B1056" s="26" t="s">
        <v>56</v>
      </c>
      <c r="C1056" s="26" t="s">
        <v>57</v>
      </c>
      <c r="D1056" s="26" t="s">
        <v>71</v>
      </c>
      <c r="E1056" s="27" t="s">
        <v>3450</v>
      </c>
      <c r="F1056" s="28" t="s">
        <v>3451</v>
      </c>
      <c r="G1056" s="29">
        <v>45196.0</v>
      </c>
      <c r="H1056" s="30">
        <v>45196.0</v>
      </c>
      <c r="I1056" s="30">
        <v>45561.0</v>
      </c>
      <c r="J1056" s="31" t="s">
        <v>3452</v>
      </c>
      <c r="K1056" s="26" t="s">
        <v>475</v>
      </c>
      <c r="L1056" s="32" t="s">
        <v>75</v>
      </c>
      <c r="M1056" s="33">
        <v>36413.72</v>
      </c>
      <c r="N1056" s="34">
        <v>39000.0</v>
      </c>
      <c r="O1056" s="27" t="s">
        <v>76</v>
      </c>
      <c r="P1056" s="35" t="s">
        <v>430</v>
      </c>
      <c r="Q1056" s="35" t="s">
        <v>114</v>
      </c>
      <c r="R1056" s="36">
        <v>45205.0</v>
      </c>
      <c r="S1056" s="35" t="s">
        <v>78</v>
      </c>
      <c r="T1056" s="54" t="s">
        <v>3453</v>
      </c>
      <c r="U1056" s="37" t="s">
        <v>115</v>
      </c>
      <c r="V1056" s="38">
        <v>1500000.0</v>
      </c>
      <c r="W1056" s="78">
        <v>919323.0</v>
      </c>
      <c r="X1056" s="27">
        <v>2022.0</v>
      </c>
      <c r="Y1056" s="79" t="s">
        <v>3454</v>
      </c>
      <c r="Z1056" s="39" t="s">
        <v>3455</v>
      </c>
      <c r="AA1056" s="39"/>
      <c r="AB1056" s="27"/>
      <c r="AC1056" s="27">
        <f t="shared" si="619"/>
        <v>0</v>
      </c>
      <c r="AD1056" s="41"/>
      <c r="AE1056" s="42"/>
      <c r="AF1056" s="27"/>
      <c r="AG1056" s="156">
        <f t="shared" si="849"/>
        <v>8648.2585</v>
      </c>
      <c r="AH1056" s="29"/>
      <c r="AI1056" s="200" t="s">
        <v>3456</v>
      </c>
      <c r="AJ1056" s="29"/>
      <c r="AK1056" s="201" t="s">
        <v>1181</v>
      </c>
      <c r="AL1056" s="27"/>
      <c r="AM1056" s="44"/>
      <c r="AN1056" s="47"/>
      <c r="AO1056" s="46"/>
      <c r="AP1056" s="47"/>
      <c r="AQ1056" s="43">
        <f t="shared" si="850"/>
        <v>9103.43</v>
      </c>
      <c r="AR1056" s="43">
        <f t="shared" si="448"/>
        <v>455.1715</v>
      </c>
      <c r="AS1056" s="43">
        <f t="shared" si="449"/>
        <v>1593.10025</v>
      </c>
      <c r="AT1056" s="48">
        <f t="shared" si="753"/>
        <v>7055.15825</v>
      </c>
      <c r="AU1056" s="49">
        <f t="shared" si="800"/>
        <v>7055.15825</v>
      </c>
      <c r="AV1056" s="48"/>
      <c r="AW1056" s="34">
        <f t="shared" si="840"/>
        <v>39000</v>
      </c>
      <c r="AX1056" s="50">
        <f t="shared" si="811"/>
        <v>7055.15825</v>
      </c>
      <c r="AY1056" s="43"/>
      <c r="AZ1056" s="47"/>
      <c r="BA1056" s="48">
        <f t="shared" si="801"/>
        <v>7055.15825</v>
      </c>
      <c r="BB1056" s="27"/>
      <c r="BC1056" s="27"/>
      <c r="BD1056" s="51"/>
      <c r="BE1056" s="52"/>
      <c r="BF1056" s="27"/>
      <c r="BG1056" s="58" t="s">
        <v>3457</v>
      </c>
      <c r="BH1056" s="53" t="str">
        <f>'[1]2023'!Q1374</f>
        <v>#REF!</v>
      </c>
      <c r="BI1056" s="27"/>
      <c r="BJ1056" s="27"/>
      <c r="BK1056" s="27" t="s">
        <v>76</v>
      </c>
      <c r="BL1056" s="27"/>
    </row>
    <row r="1057" ht="14.25" customHeight="1">
      <c r="A1057" s="26" t="s">
        <v>68</v>
      </c>
      <c r="B1057" s="26" t="s">
        <v>56</v>
      </c>
      <c r="C1057" s="26" t="s">
        <v>57</v>
      </c>
      <c r="D1057" s="26" t="s">
        <v>71</v>
      </c>
      <c r="E1057" s="27" t="s">
        <v>3458</v>
      </c>
      <c r="F1057" s="28" t="s">
        <v>3459</v>
      </c>
      <c r="G1057" s="29">
        <v>45196.0</v>
      </c>
      <c r="H1057" s="30">
        <v>45196.0</v>
      </c>
      <c r="I1057" s="30">
        <v>45561.0</v>
      </c>
      <c r="J1057" s="31" t="s">
        <v>3460</v>
      </c>
      <c r="K1057" s="26" t="s">
        <v>475</v>
      </c>
      <c r="L1057" s="69">
        <v>45270.0</v>
      </c>
      <c r="M1057" s="33">
        <v>8438.8</v>
      </c>
      <c r="N1057" s="34">
        <v>9125.0</v>
      </c>
      <c r="O1057" s="27" t="s">
        <v>76</v>
      </c>
      <c r="P1057" s="35" t="s">
        <v>142</v>
      </c>
      <c r="Q1057" s="35" t="s">
        <v>90</v>
      </c>
      <c r="R1057" s="36">
        <v>45215.0</v>
      </c>
      <c r="S1057" s="35" t="s">
        <v>78</v>
      </c>
      <c r="T1057" s="54" t="s">
        <v>456</v>
      </c>
      <c r="U1057" s="37" t="s">
        <v>68</v>
      </c>
      <c r="V1057" s="38">
        <v>400000.0</v>
      </c>
      <c r="W1057" s="78" t="s">
        <v>3239</v>
      </c>
      <c r="X1057" s="27">
        <v>2022.0</v>
      </c>
      <c r="Y1057" s="39">
        <v>5.0</v>
      </c>
      <c r="Z1057" s="39" t="s">
        <v>3239</v>
      </c>
      <c r="AA1057" s="39"/>
      <c r="AB1057" s="27"/>
      <c r="AC1057" s="27">
        <f t="shared" si="619"/>
        <v>0</v>
      </c>
      <c r="AD1057" s="109">
        <f>M1057*15%</f>
        <v>1265.82</v>
      </c>
      <c r="AE1057" s="42">
        <v>400.0</v>
      </c>
      <c r="AF1057" s="29">
        <v>45209.0</v>
      </c>
      <c r="AG1057" s="50">
        <f>M1057*28%-((M1057*28%)*5%)</f>
        <v>2244.7208</v>
      </c>
      <c r="AH1057" s="29"/>
      <c r="AI1057" s="29" t="s">
        <v>926</v>
      </c>
      <c r="AJ1057" s="55">
        <v>0.28</v>
      </c>
      <c r="AK1057" s="29" t="s">
        <v>3412</v>
      </c>
      <c r="AL1057" s="27"/>
      <c r="AM1057" s="44"/>
      <c r="AN1057" s="47"/>
      <c r="AO1057" s="46"/>
      <c r="AP1057" s="47"/>
      <c r="AQ1057" s="43">
        <f t="shared" si="850"/>
        <v>2362.864</v>
      </c>
      <c r="AR1057" s="43">
        <f t="shared" si="448"/>
        <v>118.1432</v>
      </c>
      <c r="AS1057" s="43">
        <f t="shared" si="449"/>
        <v>413.5012</v>
      </c>
      <c r="AT1057" s="48">
        <f t="shared" si="753"/>
        <v>1831.2196</v>
      </c>
      <c r="AU1057" s="49">
        <f t="shared" si="800"/>
        <v>1831.2196</v>
      </c>
      <c r="AV1057" s="48"/>
      <c r="AW1057" s="34">
        <f t="shared" si="840"/>
        <v>7459.18</v>
      </c>
      <c r="AX1057" s="50">
        <f t="shared" si="811"/>
        <v>165.3996</v>
      </c>
      <c r="AY1057" s="43"/>
      <c r="AZ1057" s="47"/>
      <c r="BA1057" s="48">
        <f t="shared" si="801"/>
        <v>1831.2196</v>
      </c>
      <c r="BB1057" s="27"/>
      <c r="BC1057" s="27"/>
      <c r="BD1057" s="51"/>
      <c r="BE1057" s="52"/>
      <c r="BF1057" s="27"/>
      <c r="BG1057" s="53">
        <v>0.0</v>
      </c>
      <c r="BH1057" s="53" t="str">
        <f>'[1]2023'!Q1376</f>
        <v>#REF!</v>
      </c>
      <c r="BI1057" s="27"/>
      <c r="BJ1057" s="27"/>
      <c r="BK1057" s="27" t="s">
        <v>76</v>
      </c>
      <c r="BL1057" s="27"/>
    </row>
    <row r="1058" ht="14.25" customHeight="1">
      <c r="A1058" s="26" t="s">
        <v>55</v>
      </c>
      <c r="B1058" s="26" t="s">
        <v>56</v>
      </c>
      <c r="C1058" s="26" t="s">
        <v>57</v>
      </c>
      <c r="D1058" s="26" t="s">
        <v>81</v>
      </c>
      <c r="E1058" s="27" t="s">
        <v>3461</v>
      </c>
      <c r="F1058" s="28" t="s">
        <v>3462</v>
      </c>
      <c r="G1058" s="29">
        <v>45197.0</v>
      </c>
      <c r="H1058" s="30">
        <v>45197.0</v>
      </c>
      <c r="I1058" s="30">
        <v>45562.0</v>
      </c>
      <c r="J1058" s="31">
        <v>0.0</v>
      </c>
      <c r="K1058" s="26" t="s">
        <v>475</v>
      </c>
      <c r="L1058" s="69">
        <v>45269.0</v>
      </c>
      <c r="M1058" s="33">
        <v>19451.25</v>
      </c>
      <c r="N1058" s="34">
        <v>20837.13</v>
      </c>
      <c r="O1058" s="27" t="s">
        <v>76</v>
      </c>
      <c r="P1058" s="35" t="s">
        <v>122</v>
      </c>
      <c r="Q1058" s="35" t="s">
        <v>65</v>
      </c>
      <c r="R1058" s="36">
        <v>45197.0</v>
      </c>
      <c r="S1058" s="35" t="s">
        <v>86</v>
      </c>
      <c r="T1058" s="35">
        <v>0.0</v>
      </c>
      <c r="U1058" s="37" t="s">
        <v>67</v>
      </c>
      <c r="V1058" s="38"/>
      <c r="W1058" s="38"/>
      <c r="X1058" s="27"/>
      <c r="Y1058" s="39"/>
      <c r="Z1058" s="39"/>
      <c r="AA1058" s="39"/>
      <c r="AB1058" s="27"/>
      <c r="AC1058" s="27">
        <f t="shared" si="619"/>
        <v>0</v>
      </c>
      <c r="AD1058" s="41"/>
      <c r="AE1058" s="42"/>
      <c r="AF1058" s="27"/>
      <c r="AG1058" s="43">
        <f t="shared" ref="AG1058:AG1069" si="851">IF(O1058="Paid",IF(A1058="Alwataniya",(M1058*21%)-((M1058*21%)*5%),IF((A1058="GIG"),(M1058*25%)-((M1058*25%)*5%),IF((A1058="Allianz"),(M1058*27%)-((M1058*27%)*5%),0))),0)</f>
        <v>4989.245625</v>
      </c>
      <c r="AH1058" s="29"/>
      <c r="AI1058" s="29"/>
      <c r="AJ1058" s="29"/>
      <c r="AK1058" s="29"/>
      <c r="AL1058" s="27"/>
      <c r="AM1058" s="44"/>
      <c r="AN1058" s="47"/>
      <c r="AO1058" s="46"/>
      <c r="AP1058" s="47"/>
      <c r="AQ1058" s="43">
        <f t="shared" si="850"/>
        <v>5251.8375</v>
      </c>
      <c r="AR1058" s="43">
        <f t="shared" si="448"/>
        <v>262.591875</v>
      </c>
      <c r="AS1058" s="43">
        <f t="shared" si="449"/>
        <v>919.0715625</v>
      </c>
      <c r="AT1058" s="48">
        <f t="shared" si="753"/>
        <v>4070.174063</v>
      </c>
      <c r="AU1058" s="49">
        <f t="shared" si="800"/>
        <v>4070.174063</v>
      </c>
      <c r="AV1058" s="48"/>
      <c r="AW1058" s="34">
        <f t="shared" si="840"/>
        <v>20837.13</v>
      </c>
      <c r="AX1058" s="50">
        <f t="shared" si="811"/>
        <v>4070.174063</v>
      </c>
      <c r="AY1058" s="43"/>
      <c r="AZ1058" s="47"/>
      <c r="BA1058" s="48">
        <f t="shared" si="801"/>
        <v>4070.174063</v>
      </c>
      <c r="BB1058" s="27"/>
      <c r="BC1058" s="27"/>
      <c r="BD1058" s="51"/>
      <c r="BE1058" s="52"/>
      <c r="BF1058" s="27"/>
      <c r="BG1058" s="53">
        <v>0.0</v>
      </c>
      <c r="BH1058" s="53" t="str">
        <f>'[1]2023'!Q1292</f>
        <v>#REF!</v>
      </c>
      <c r="BI1058" s="27"/>
      <c r="BJ1058" s="27"/>
      <c r="BK1058" s="27" t="s">
        <v>76</v>
      </c>
      <c r="BL1058" s="27"/>
    </row>
    <row r="1059" ht="14.25" customHeight="1">
      <c r="A1059" s="26" t="s">
        <v>55</v>
      </c>
      <c r="B1059" s="26" t="s">
        <v>56</v>
      </c>
      <c r="C1059" s="26" t="s">
        <v>57</v>
      </c>
      <c r="D1059" s="26" t="s">
        <v>81</v>
      </c>
      <c r="E1059" s="27" t="s">
        <v>3463</v>
      </c>
      <c r="F1059" s="28" t="s">
        <v>3464</v>
      </c>
      <c r="G1059" s="29">
        <v>45197.0</v>
      </c>
      <c r="H1059" s="30">
        <v>45197.0</v>
      </c>
      <c r="I1059" s="30">
        <v>45562.0</v>
      </c>
      <c r="J1059" s="31" t="s">
        <v>3465</v>
      </c>
      <c r="K1059" s="26" t="s">
        <v>475</v>
      </c>
      <c r="L1059" s="69">
        <v>45240.0</v>
      </c>
      <c r="M1059" s="33">
        <v>22750.0</v>
      </c>
      <c r="N1059" s="34">
        <v>24347.0</v>
      </c>
      <c r="O1059" s="27" t="s">
        <v>76</v>
      </c>
      <c r="P1059" s="35" t="s">
        <v>430</v>
      </c>
      <c r="Q1059" s="35" t="s">
        <v>65</v>
      </c>
      <c r="R1059" s="36">
        <v>45197.0</v>
      </c>
      <c r="S1059" s="35" t="s">
        <v>86</v>
      </c>
      <c r="T1059" s="35">
        <v>0.0</v>
      </c>
      <c r="U1059" s="37" t="s">
        <v>67</v>
      </c>
      <c r="V1059" s="38">
        <v>1000000.0</v>
      </c>
      <c r="W1059" s="78">
        <v>143137.0</v>
      </c>
      <c r="X1059" s="27">
        <v>2021.0</v>
      </c>
      <c r="Y1059" s="79" t="s">
        <v>3466</v>
      </c>
      <c r="Z1059" s="79" t="s">
        <v>919</v>
      </c>
      <c r="AA1059" s="39" t="s">
        <v>3467</v>
      </c>
      <c r="AB1059" s="27"/>
      <c r="AC1059" s="27">
        <f t="shared" si="619"/>
        <v>0</v>
      </c>
      <c r="AD1059" s="41"/>
      <c r="AE1059" s="42"/>
      <c r="AF1059" s="27"/>
      <c r="AG1059" s="43">
        <f t="shared" si="851"/>
        <v>5835.375</v>
      </c>
      <c r="AH1059" s="29"/>
      <c r="AI1059" s="29"/>
      <c r="AJ1059" s="29"/>
      <c r="AK1059" s="29"/>
      <c r="AL1059" s="27"/>
      <c r="AM1059" s="44"/>
      <c r="AN1059" s="47"/>
      <c r="AO1059" s="46"/>
      <c r="AP1059" s="47"/>
      <c r="AQ1059" s="43">
        <f t="shared" si="850"/>
        <v>6142.5</v>
      </c>
      <c r="AR1059" s="43">
        <f t="shared" si="448"/>
        <v>307.125</v>
      </c>
      <c r="AS1059" s="43">
        <f t="shared" si="449"/>
        <v>1074.9375</v>
      </c>
      <c r="AT1059" s="48">
        <f t="shared" si="753"/>
        <v>4760.4375</v>
      </c>
      <c r="AU1059" s="49">
        <f t="shared" si="800"/>
        <v>4760.4375</v>
      </c>
      <c r="AV1059" s="48"/>
      <c r="AW1059" s="34">
        <f t="shared" si="840"/>
        <v>24347</v>
      </c>
      <c r="AX1059" s="50">
        <f t="shared" si="811"/>
        <v>4760.4375</v>
      </c>
      <c r="AY1059" s="43"/>
      <c r="AZ1059" s="47"/>
      <c r="BA1059" s="48">
        <f t="shared" si="801"/>
        <v>4760.4375</v>
      </c>
      <c r="BB1059" s="27"/>
      <c r="BC1059" s="27"/>
      <c r="BD1059" s="51"/>
      <c r="BE1059" s="52"/>
      <c r="BF1059" s="27"/>
      <c r="BG1059" s="53">
        <v>0.0</v>
      </c>
      <c r="BH1059" s="53" t="str">
        <f>'[1]2023'!Q1413</f>
        <v>#REF!</v>
      </c>
      <c r="BI1059" s="27"/>
      <c r="BJ1059" s="27"/>
      <c r="BK1059" s="27" t="s">
        <v>76</v>
      </c>
      <c r="BL1059" s="27"/>
    </row>
    <row r="1060" ht="14.25" customHeight="1">
      <c r="A1060" s="26" t="s">
        <v>55</v>
      </c>
      <c r="B1060" s="26" t="s">
        <v>56</v>
      </c>
      <c r="C1060" s="26" t="s">
        <v>57</v>
      </c>
      <c r="D1060" s="26" t="s">
        <v>81</v>
      </c>
      <c r="E1060" s="27" t="s">
        <v>3468</v>
      </c>
      <c r="F1060" s="28" t="s">
        <v>3469</v>
      </c>
      <c r="G1060" s="29">
        <v>45197.0</v>
      </c>
      <c r="H1060" s="30">
        <v>45197.0</v>
      </c>
      <c r="I1060" s="30">
        <v>45562.0</v>
      </c>
      <c r="J1060" s="31" t="s">
        <v>2036</v>
      </c>
      <c r="K1060" s="26" t="s">
        <v>475</v>
      </c>
      <c r="L1060" s="73" t="s">
        <v>926</v>
      </c>
      <c r="M1060" s="33">
        <v>105280.0</v>
      </c>
      <c r="N1060" s="34">
        <v>112158.92</v>
      </c>
      <c r="O1060" s="27" t="s">
        <v>76</v>
      </c>
      <c r="P1060" s="35" t="s">
        <v>89</v>
      </c>
      <c r="Q1060" s="35" t="s">
        <v>108</v>
      </c>
      <c r="R1060" s="36">
        <v>45197.0</v>
      </c>
      <c r="S1060" s="35" t="s">
        <v>86</v>
      </c>
      <c r="T1060" s="35">
        <v>0.0</v>
      </c>
      <c r="U1060" s="37" t="s">
        <v>157</v>
      </c>
      <c r="V1060" s="38">
        <v>4000000.0</v>
      </c>
      <c r="W1060" s="78">
        <v>760440.0</v>
      </c>
      <c r="X1060" s="27">
        <v>2020.0</v>
      </c>
      <c r="Y1060" s="39"/>
      <c r="Z1060" s="79" t="s">
        <v>3470</v>
      </c>
      <c r="AA1060" s="39"/>
      <c r="AB1060" s="27"/>
      <c r="AC1060" s="27">
        <f t="shared" si="619"/>
        <v>0</v>
      </c>
      <c r="AD1060" s="41">
        <f t="shared" ref="AD1060:AD1062" si="852">IF(AND(S1060="0",O1060="Paid"),(M1060*15%)-AC1060,0)</f>
        <v>15792</v>
      </c>
      <c r="AE1060" s="42"/>
      <c r="AF1060" s="27" t="s">
        <v>3296</v>
      </c>
      <c r="AG1060" s="43">
        <f t="shared" si="851"/>
        <v>27004.32</v>
      </c>
      <c r="AH1060" s="29"/>
      <c r="AI1060" s="29"/>
      <c r="AJ1060" s="29"/>
      <c r="AK1060" s="29"/>
      <c r="AL1060" s="27"/>
      <c r="AM1060" s="27"/>
      <c r="AN1060" s="47"/>
      <c r="AO1060" s="76"/>
      <c r="AP1060" s="47"/>
      <c r="AQ1060" s="43">
        <f t="shared" si="850"/>
        <v>23161.6</v>
      </c>
      <c r="AR1060" s="43">
        <f t="shared" si="448"/>
        <v>1158.08</v>
      </c>
      <c r="AS1060" s="43">
        <f t="shared" si="449"/>
        <v>4053.28</v>
      </c>
      <c r="AT1060" s="48">
        <f t="shared" si="753"/>
        <v>17950.24</v>
      </c>
      <c r="AU1060" s="49">
        <f t="shared" si="800"/>
        <v>17950.24</v>
      </c>
      <c r="AV1060" s="48"/>
      <c r="AW1060" s="34">
        <f t="shared" si="840"/>
        <v>96366.92</v>
      </c>
      <c r="AX1060" s="50">
        <f t="shared" si="811"/>
        <v>7159.04</v>
      </c>
      <c r="AY1060" s="43"/>
      <c r="AZ1060" s="47"/>
      <c r="BA1060" s="48">
        <f t="shared" si="801"/>
        <v>17950.24</v>
      </c>
      <c r="BB1060" s="27"/>
      <c r="BC1060" s="27"/>
      <c r="BD1060" s="51"/>
      <c r="BE1060" s="52"/>
      <c r="BF1060" s="27"/>
      <c r="BG1060" s="53">
        <v>0.0</v>
      </c>
      <c r="BH1060" s="53" t="str">
        <f>'[1]2023'!Q1431</f>
        <v>#REF!</v>
      </c>
      <c r="BI1060" s="27"/>
      <c r="BJ1060" s="27"/>
      <c r="BK1060" s="27" t="s">
        <v>76</v>
      </c>
      <c r="BL1060" s="27"/>
    </row>
    <row r="1061" ht="14.25" customHeight="1">
      <c r="A1061" s="26" t="s">
        <v>55</v>
      </c>
      <c r="B1061" s="26" t="s">
        <v>56</v>
      </c>
      <c r="C1061" s="26" t="s">
        <v>57</v>
      </c>
      <c r="D1061" s="26" t="s">
        <v>81</v>
      </c>
      <c r="E1061" s="27" t="s">
        <v>3471</v>
      </c>
      <c r="F1061" s="28" t="s">
        <v>3472</v>
      </c>
      <c r="G1061" s="29">
        <v>45198.0</v>
      </c>
      <c r="H1061" s="30">
        <v>45198.0</v>
      </c>
      <c r="I1061" s="30">
        <v>45563.0</v>
      </c>
      <c r="J1061" s="31" t="s">
        <v>3473</v>
      </c>
      <c r="K1061" s="26" t="s">
        <v>475</v>
      </c>
      <c r="L1061" s="32" t="s">
        <v>63</v>
      </c>
      <c r="M1061" s="33">
        <v>0.0</v>
      </c>
      <c r="N1061" s="34">
        <v>0.0</v>
      </c>
      <c r="O1061" s="27" t="s">
        <v>64</v>
      </c>
      <c r="P1061" s="35">
        <v>0.0</v>
      </c>
      <c r="Q1061" s="35">
        <v>0.0</v>
      </c>
      <c r="R1061" s="36" t="e">
        <v>#VALUE!</v>
      </c>
      <c r="S1061" s="35" t="s">
        <v>86</v>
      </c>
      <c r="T1061" s="35">
        <v>0.0</v>
      </c>
      <c r="U1061" s="37">
        <v>0.0</v>
      </c>
      <c r="V1061" s="38"/>
      <c r="W1061" s="38"/>
      <c r="X1061" s="27"/>
      <c r="Y1061" s="39"/>
      <c r="Z1061" s="39"/>
      <c r="AA1061" s="39"/>
      <c r="AB1061" s="27"/>
      <c r="AC1061" s="27">
        <f t="shared" si="619"/>
        <v>0</v>
      </c>
      <c r="AD1061" s="41">
        <f t="shared" si="852"/>
        <v>0</v>
      </c>
      <c r="AE1061" s="42"/>
      <c r="AF1061" s="27"/>
      <c r="AG1061" s="43">
        <f t="shared" si="851"/>
        <v>0</v>
      </c>
      <c r="AH1061" s="29"/>
      <c r="AI1061" s="29"/>
      <c r="AJ1061" s="29"/>
      <c r="AK1061" s="29"/>
      <c r="AL1061" s="27"/>
      <c r="AM1061" s="44"/>
      <c r="AN1061" s="68"/>
      <c r="AO1061" s="46"/>
      <c r="AP1061" s="47"/>
      <c r="AQ1061" s="43" t="b">
        <f>IF(O1061="Paid",IF(U1061="Motor Plus",(M1061*27%),IF(U1061="Motor One",(M1061*22%),(IF(U1061="Golden",(M1061*25%),(IF(U1061="Classic",(M1061*15%),(IF(U1061="Wethaq",(M1061*28%),IF(U1061="Alwataniya",(M1061*21%))*0)))))))))</f>
        <v>0</v>
      </c>
      <c r="AR1061" s="43">
        <f t="shared" si="448"/>
        <v>0</v>
      </c>
      <c r="AS1061" s="43">
        <f t="shared" si="449"/>
        <v>0</v>
      </c>
      <c r="AT1061" s="48">
        <f t="shared" si="753"/>
        <v>0</v>
      </c>
      <c r="AU1061" s="49">
        <f t="shared" si="800"/>
        <v>0</v>
      </c>
      <c r="AV1061" s="48"/>
      <c r="AW1061" s="34">
        <f t="shared" si="840"/>
        <v>0</v>
      </c>
      <c r="AX1061" s="50">
        <f t="shared" si="811"/>
        <v>0</v>
      </c>
      <c r="AY1061" s="43"/>
      <c r="AZ1061" s="47"/>
      <c r="BA1061" s="48">
        <f t="shared" si="801"/>
        <v>0</v>
      </c>
      <c r="BB1061" s="27"/>
      <c r="BC1061" s="27"/>
      <c r="BD1061" s="51"/>
      <c r="BE1061" s="52"/>
      <c r="BF1061" s="27"/>
      <c r="BG1061" s="58" t="s">
        <v>3008</v>
      </c>
      <c r="BH1061" s="53" t="str">
        <f>'[1]2023'!Q1295</f>
        <v>#REF!</v>
      </c>
      <c r="BI1061" s="27"/>
      <c r="BJ1061" s="27"/>
      <c r="BK1061" s="27" t="s">
        <v>64</v>
      </c>
      <c r="BL1061" s="27"/>
    </row>
    <row r="1062" ht="14.25" customHeight="1">
      <c r="A1062" s="26" t="s">
        <v>55</v>
      </c>
      <c r="B1062" s="26" t="s">
        <v>56</v>
      </c>
      <c r="C1062" s="26" t="s">
        <v>57</v>
      </c>
      <c r="D1062" s="26" t="s">
        <v>81</v>
      </c>
      <c r="E1062" s="27" t="s">
        <v>3474</v>
      </c>
      <c r="F1062" s="28" t="s">
        <v>3475</v>
      </c>
      <c r="G1062" s="29">
        <v>45198.0</v>
      </c>
      <c r="H1062" s="30">
        <v>45198.0</v>
      </c>
      <c r="I1062" s="30">
        <v>45563.0</v>
      </c>
      <c r="J1062" s="31" t="s">
        <v>3476</v>
      </c>
      <c r="K1062" s="26" t="s">
        <v>475</v>
      </c>
      <c r="L1062" s="32" t="s">
        <v>3127</v>
      </c>
      <c r="M1062" s="33">
        <v>10920.0</v>
      </c>
      <c r="N1062" s="34">
        <v>11759.88</v>
      </c>
      <c r="O1062" s="27" t="s">
        <v>76</v>
      </c>
      <c r="P1062" s="35" t="s">
        <v>122</v>
      </c>
      <c r="Q1062" s="35">
        <v>0.0</v>
      </c>
      <c r="R1062" s="36">
        <v>45198.0</v>
      </c>
      <c r="S1062" s="35" t="s">
        <v>86</v>
      </c>
      <c r="T1062" s="35">
        <v>0.0</v>
      </c>
      <c r="U1062" s="37" t="s">
        <v>67</v>
      </c>
      <c r="V1062" s="38">
        <v>560000.0</v>
      </c>
      <c r="W1062" s="78">
        <v>5.3272931E7</v>
      </c>
      <c r="X1062" s="27">
        <v>2016.0</v>
      </c>
      <c r="Y1062" s="79" t="s">
        <v>3477</v>
      </c>
      <c r="Z1062" s="79" t="s">
        <v>3478</v>
      </c>
      <c r="AA1062" s="39">
        <v>81875.0</v>
      </c>
      <c r="AB1062" s="27"/>
      <c r="AC1062" s="27">
        <f t="shared" si="619"/>
        <v>0</v>
      </c>
      <c r="AD1062" s="41">
        <f t="shared" si="852"/>
        <v>1638</v>
      </c>
      <c r="AE1062" s="42"/>
      <c r="AF1062" s="27"/>
      <c r="AG1062" s="43">
        <f t="shared" si="851"/>
        <v>2800.98</v>
      </c>
      <c r="AH1062" s="29"/>
      <c r="AI1062" s="29"/>
      <c r="AJ1062" s="29"/>
      <c r="AK1062" s="29"/>
      <c r="AL1062" s="27"/>
      <c r="AM1062" s="27"/>
      <c r="AN1062" s="47"/>
      <c r="AO1062" s="76"/>
      <c r="AP1062" s="47"/>
      <c r="AQ1062" s="43">
        <f t="shared" ref="AQ1062:AQ1071" si="853">IF(U1062="Motor Plus",(M1062*27%),IF(U1062="Motor One",(M1062*22%),(IF(U1062="Golden",(M1062*25%),(IF(U1062="Classic",(M1062*15%),(IF(U1062="Wethaq",(M1062*28%),IF(U1062="Alwataniya",(M1062*21%))*0))))))))</f>
        <v>2948.4</v>
      </c>
      <c r="AR1062" s="43">
        <f t="shared" si="448"/>
        <v>147.42</v>
      </c>
      <c r="AS1062" s="43">
        <f t="shared" si="449"/>
        <v>515.97</v>
      </c>
      <c r="AT1062" s="48">
        <f t="shared" si="753"/>
        <v>2285.01</v>
      </c>
      <c r="AU1062" s="49">
        <f t="shared" si="800"/>
        <v>2285.01</v>
      </c>
      <c r="AV1062" s="48"/>
      <c r="AW1062" s="34">
        <f t="shared" si="840"/>
        <v>10121.88</v>
      </c>
      <c r="AX1062" s="50">
        <f t="shared" si="811"/>
        <v>647.01</v>
      </c>
      <c r="AY1062" s="43"/>
      <c r="AZ1062" s="47"/>
      <c r="BA1062" s="48">
        <f t="shared" si="801"/>
        <v>2285.01</v>
      </c>
      <c r="BB1062" s="27"/>
      <c r="BC1062" s="27"/>
      <c r="BD1062" s="51"/>
      <c r="BE1062" s="52"/>
      <c r="BF1062" s="27"/>
      <c r="BG1062" s="53">
        <v>0.0</v>
      </c>
      <c r="BH1062" s="53" t="str">
        <f>'[1]2023'!Q1348</f>
        <v>#REF!</v>
      </c>
      <c r="BI1062" s="27"/>
      <c r="BJ1062" s="27"/>
      <c r="BK1062" s="27" t="s">
        <v>76</v>
      </c>
      <c r="BL1062" s="27"/>
    </row>
    <row r="1063" ht="14.25" customHeight="1">
      <c r="A1063" s="26" t="s">
        <v>55</v>
      </c>
      <c r="B1063" s="26" t="s">
        <v>56</v>
      </c>
      <c r="C1063" s="26" t="s">
        <v>57</v>
      </c>
      <c r="D1063" s="26" t="s">
        <v>81</v>
      </c>
      <c r="E1063" s="27" t="s">
        <v>3479</v>
      </c>
      <c r="F1063" s="28" t="s">
        <v>3480</v>
      </c>
      <c r="G1063" s="29">
        <v>45198.0</v>
      </c>
      <c r="H1063" s="30">
        <v>45198.0</v>
      </c>
      <c r="I1063" s="30">
        <v>45563.0</v>
      </c>
      <c r="J1063" s="31" t="s">
        <v>3481</v>
      </c>
      <c r="K1063" s="26" t="s">
        <v>475</v>
      </c>
      <c r="L1063" s="32" t="s">
        <v>3482</v>
      </c>
      <c r="M1063" s="33">
        <v>25134.0</v>
      </c>
      <c r="N1063" s="34">
        <v>26887.96</v>
      </c>
      <c r="O1063" s="27" t="s">
        <v>76</v>
      </c>
      <c r="P1063" s="35" t="s">
        <v>430</v>
      </c>
      <c r="Q1063" s="35" t="s">
        <v>65</v>
      </c>
      <c r="R1063" s="36">
        <v>45198.0</v>
      </c>
      <c r="S1063" s="35" t="s">
        <v>86</v>
      </c>
      <c r="T1063" s="35">
        <v>0.0</v>
      </c>
      <c r="U1063" s="37" t="s">
        <v>67</v>
      </c>
      <c r="V1063" s="38"/>
      <c r="W1063" s="78"/>
      <c r="X1063" s="27"/>
      <c r="Y1063" s="39"/>
      <c r="Z1063" s="39"/>
      <c r="AA1063" s="39"/>
      <c r="AB1063" s="27"/>
      <c r="AC1063" s="27">
        <f t="shared" si="619"/>
        <v>0</v>
      </c>
      <c r="AD1063" s="41"/>
      <c r="AE1063" s="42"/>
      <c r="AF1063" s="27"/>
      <c r="AG1063" s="43">
        <f t="shared" si="851"/>
        <v>6446.871</v>
      </c>
      <c r="AH1063" s="29"/>
      <c r="AI1063" s="29"/>
      <c r="AJ1063" s="29"/>
      <c r="AK1063" s="29"/>
      <c r="AL1063" s="27"/>
      <c r="AM1063" s="27"/>
      <c r="AN1063" s="47"/>
      <c r="AO1063" s="46"/>
      <c r="AP1063" s="47"/>
      <c r="AQ1063" s="43">
        <f t="shared" si="853"/>
        <v>6786.18</v>
      </c>
      <c r="AR1063" s="43">
        <f t="shared" si="448"/>
        <v>339.309</v>
      </c>
      <c r="AS1063" s="43">
        <f t="shared" si="449"/>
        <v>1187.5815</v>
      </c>
      <c r="AT1063" s="48">
        <f t="shared" si="753"/>
        <v>5259.2895</v>
      </c>
      <c r="AU1063" s="49">
        <f t="shared" si="800"/>
        <v>5259.2895</v>
      </c>
      <c r="AV1063" s="48"/>
      <c r="AW1063" s="34">
        <f t="shared" si="840"/>
        <v>26887.96</v>
      </c>
      <c r="AX1063" s="50">
        <f t="shared" si="811"/>
        <v>5259.2895</v>
      </c>
      <c r="AY1063" s="43"/>
      <c r="AZ1063" s="47"/>
      <c r="BA1063" s="48">
        <f t="shared" si="801"/>
        <v>5259.2895</v>
      </c>
      <c r="BB1063" s="27"/>
      <c r="BC1063" s="27"/>
      <c r="BD1063" s="51"/>
      <c r="BE1063" s="52"/>
      <c r="BF1063" s="27"/>
      <c r="BG1063" s="53">
        <v>0.0</v>
      </c>
      <c r="BH1063" s="53" t="str">
        <f>'[1]2023'!Q1424</f>
        <v>#REF!</v>
      </c>
      <c r="BI1063" s="27"/>
      <c r="BJ1063" s="27"/>
      <c r="BK1063" s="27" t="s">
        <v>76</v>
      </c>
      <c r="BL1063" s="27"/>
    </row>
    <row r="1064" ht="14.25" customHeight="1">
      <c r="A1064" s="26" t="s">
        <v>55</v>
      </c>
      <c r="B1064" s="26" t="s">
        <v>56</v>
      </c>
      <c r="C1064" s="26" t="s">
        <v>57</v>
      </c>
      <c r="D1064" s="26" t="s">
        <v>81</v>
      </c>
      <c r="E1064" s="27" t="s">
        <v>3483</v>
      </c>
      <c r="F1064" s="28" t="s">
        <v>3484</v>
      </c>
      <c r="G1064" s="29">
        <v>45199.0</v>
      </c>
      <c r="H1064" s="30">
        <v>45199.0</v>
      </c>
      <c r="I1064" s="30">
        <v>45564.0</v>
      </c>
      <c r="J1064" s="31" t="s">
        <v>3485</v>
      </c>
      <c r="K1064" s="26" t="s">
        <v>475</v>
      </c>
      <c r="L1064" s="32" t="s">
        <v>3486</v>
      </c>
      <c r="M1064" s="33">
        <v>9372.25</v>
      </c>
      <c r="N1064" s="34">
        <v>10113.06</v>
      </c>
      <c r="O1064" s="27" t="s">
        <v>76</v>
      </c>
      <c r="P1064" s="35" t="s">
        <v>122</v>
      </c>
      <c r="Q1064" s="35">
        <v>0.0</v>
      </c>
      <c r="R1064" s="36">
        <v>45199.0</v>
      </c>
      <c r="S1064" s="35" t="s">
        <v>86</v>
      </c>
      <c r="T1064" s="35">
        <v>0.0</v>
      </c>
      <c r="U1064" s="37" t="s">
        <v>812</v>
      </c>
      <c r="V1064" s="38"/>
      <c r="W1064" s="38"/>
      <c r="X1064" s="27"/>
      <c r="Y1064" s="39"/>
      <c r="Z1064" s="39"/>
      <c r="AA1064" s="39"/>
      <c r="AB1064" s="27"/>
      <c r="AC1064" s="27">
        <f t="shared" si="619"/>
        <v>0</v>
      </c>
      <c r="AD1064" s="41">
        <f t="shared" ref="AD1064:AD1065" si="854">IF(AND(S1064="0",O1064="Paid"),(M1064*15%)-AC1064,0)</f>
        <v>1405.8375</v>
      </c>
      <c r="AE1064" s="42"/>
      <c r="AF1064" s="27"/>
      <c r="AG1064" s="43">
        <f t="shared" si="851"/>
        <v>2403.982125</v>
      </c>
      <c r="AH1064" s="29"/>
      <c r="AI1064" s="29"/>
      <c r="AJ1064" s="29"/>
      <c r="AK1064" s="29"/>
      <c r="AL1064" s="27"/>
      <c r="AM1064" s="27"/>
      <c r="AN1064" s="47"/>
      <c r="AO1064" s="46"/>
      <c r="AP1064" s="47"/>
      <c r="AQ1064" s="43">
        <f t="shared" si="853"/>
        <v>0</v>
      </c>
      <c r="AR1064" s="43">
        <f t="shared" si="448"/>
        <v>0</v>
      </c>
      <c r="AS1064" s="43">
        <f t="shared" si="449"/>
        <v>0</v>
      </c>
      <c r="AT1064" s="48">
        <f t="shared" si="753"/>
        <v>0</v>
      </c>
      <c r="AU1064" s="49">
        <f t="shared" si="800"/>
        <v>0</v>
      </c>
      <c r="AV1064" s="48"/>
      <c r="AW1064" s="34">
        <f t="shared" si="840"/>
        <v>8707.2225</v>
      </c>
      <c r="AX1064" s="50">
        <f t="shared" si="811"/>
        <v>998.144625</v>
      </c>
      <c r="AY1064" s="43"/>
      <c r="AZ1064" s="47"/>
      <c r="BA1064" s="48">
        <f t="shared" si="801"/>
        <v>0</v>
      </c>
      <c r="BB1064" s="27"/>
      <c r="BC1064" s="27"/>
      <c r="BD1064" s="51"/>
      <c r="BE1064" s="52"/>
      <c r="BF1064" s="27"/>
      <c r="BG1064" s="53">
        <v>0.0</v>
      </c>
      <c r="BH1064" s="53" t="str">
        <f>'[1]2023'!Q1296</f>
        <v>#REF!</v>
      </c>
      <c r="BI1064" s="27"/>
      <c r="BJ1064" s="27"/>
      <c r="BK1064" s="27" t="s">
        <v>76</v>
      </c>
      <c r="BL1064" s="27"/>
    </row>
    <row r="1065" ht="14.25" customHeight="1">
      <c r="A1065" s="26" t="s">
        <v>55</v>
      </c>
      <c r="B1065" s="26" t="s">
        <v>56</v>
      </c>
      <c r="C1065" s="26" t="s">
        <v>57</v>
      </c>
      <c r="D1065" s="26" t="s">
        <v>81</v>
      </c>
      <c r="E1065" s="27" t="s">
        <v>3487</v>
      </c>
      <c r="F1065" s="28" t="s">
        <v>3488</v>
      </c>
      <c r="G1065" s="29">
        <v>45199.0</v>
      </c>
      <c r="H1065" s="30">
        <v>45199.0</v>
      </c>
      <c r="I1065" s="30">
        <v>45564.0</v>
      </c>
      <c r="J1065" s="31" t="s">
        <v>3489</v>
      </c>
      <c r="K1065" s="26" t="s">
        <v>475</v>
      </c>
      <c r="L1065" s="32" t="s">
        <v>3168</v>
      </c>
      <c r="M1065" s="33">
        <v>26550.0</v>
      </c>
      <c r="N1065" s="34">
        <v>28390.2</v>
      </c>
      <c r="O1065" s="27" t="s">
        <v>76</v>
      </c>
      <c r="P1065" s="35" t="s">
        <v>430</v>
      </c>
      <c r="Q1065" s="35" t="s">
        <v>90</v>
      </c>
      <c r="R1065" s="36">
        <v>45199.0</v>
      </c>
      <c r="S1065" s="35" t="s">
        <v>86</v>
      </c>
      <c r="T1065" s="35">
        <v>0.0</v>
      </c>
      <c r="U1065" s="37" t="s">
        <v>67</v>
      </c>
      <c r="V1065" s="38">
        <v>1200000.0</v>
      </c>
      <c r="W1065" s="78">
        <v>7931.0</v>
      </c>
      <c r="X1065" s="27">
        <v>2019.0</v>
      </c>
      <c r="Y1065" s="79" t="s">
        <v>208</v>
      </c>
      <c r="Z1065" s="79" t="s">
        <v>208</v>
      </c>
      <c r="AA1065" s="39"/>
      <c r="AB1065" s="27"/>
      <c r="AC1065" s="27">
        <f t="shared" si="619"/>
        <v>0</v>
      </c>
      <c r="AD1065" s="41">
        <f t="shared" si="854"/>
        <v>3982.5</v>
      </c>
      <c r="AE1065" s="42"/>
      <c r="AF1065" s="27"/>
      <c r="AG1065" s="43">
        <f t="shared" si="851"/>
        <v>6810.075</v>
      </c>
      <c r="AH1065" s="29"/>
      <c r="AI1065" s="29"/>
      <c r="AJ1065" s="29"/>
      <c r="AK1065" s="29"/>
      <c r="AL1065" s="27"/>
      <c r="AM1065" s="27"/>
      <c r="AN1065" s="47"/>
      <c r="AO1065" s="46"/>
      <c r="AP1065" s="47"/>
      <c r="AQ1065" s="43">
        <f t="shared" si="853"/>
        <v>7168.5</v>
      </c>
      <c r="AR1065" s="43">
        <f t="shared" si="448"/>
        <v>358.425</v>
      </c>
      <c r="AS1065" s="43">
        <f t="shared" si="449"/>
        <v>1254.4875</v>
      </c>
      <c r="AT1065" s="48">
        <f t="shared" si="753"/>
        <v>5555.5875</v>
      </c>
      <c r="AU1065" s="49">
        <f t="shared" si="800"/>
        <v>5555.5875</v>
      </c>
      <c r="AV1065" s="48"/>
      <c r="AW1065" s="34">
        <f t="shared" si="840"/>
        <v>24407.7</v>
      </c>
      <c r="AX1065" s="50">
        <f t="shared" si="811"/>
        <v>1573.0875</v>
      </c>
      <c r="AY1065" s="43"/>
      <c r="AZ1065" s="47"/>
      <c r="BA1065" s="48">
        <f t="shared" si="801"/>
        <v>5555.5875</v>
      </c>
      <c r="BB1065" s="27"/>
      <c r="BC1065" s="27"/>
      <c r="BD1065" s="51"/>
      <c r="BE1065" s="52"/>
      <c r="BF1065" s="27"/>
      <c r="BG1065" s="58" t="s">
        <v>3490</v>
      </c>
      <c r="BH1065" s="53" t="str">
        <f>'[1]2023'!Q1444</f>
        <v>#REF!</v>
      </c>
      <c r="BI1065" s="27"/>
      <c r="BJ1065" s="27"/>
      <c r="BK1065" s="27" t="s">
        <v>76</v>
      </c>
      <c r="BL1065" s="27"/>
    </row>
    <row r="1066" ht="14.25" customHeight="1">
      <c r="A1066" s="26" t="s">
        <v>55</v>
      </c>
      <c r="B1066" s="26" t="s">
        <v>56</v>
      </c>
      <c r="C1066" s="26" t="s">
        <v>57</v>
      </c>
      <c r="D1066" s="26" t="s">
        <v>81</v>
      </c>
      <c r="E1066" s="27" t="s">
        <v>3491</v>
      </c>
      <c r="F1066" s="26" t="s">
        <v>3492</v>
      </c>
      <c r="G1066" s="29">
        <v>45200.0</v>
      </c>
      <c r="H1066" s="30">
        <v>45200.0</v>
      </c>
      <c r="I1066" s="30">
        <v>45565.0</v>
      </c>
      <c r="J1066" s="31">
        <v>0.0</v>
      </c>
      <c r="K1066" s="26" t="s">
        <v>1192</v>
      </c>
      <c r="L1066" s="32" t="s">
        <v>75</v>
      </c>
      <c r="M1066" s="33">
        <v>19800.0</v>
      </c>
      <c r="N1066" s="34">
        <v>21109.2</v>
      </c>
      <c r="O1066" s="27" t="s">
        <v>76</v>
      </c>
      <c r="P1066" s="35" t="s">
        <v>142</v>
      </c>
      <c r="Q1066" s="35" t="s">
        <v>108</v>
      </c>
      <c r="R1066" s="36">
        <v>45200.0</v>
      </c>
      <c r="S1066" s="35" t="s">
        <v>86</v>
      </c>
      <c r="T1066" s="35">
        <v>0.0</v>
      </c>
      <c r="U1066" s="37" t="s">
        <v>67</v>
      </c>
      <c r="V1066" s="38"/>
      <c r="W1066" s="38"/>
      <c r="X1066" s="27"/>
      <c r="Y1066" s="39"/>
      <c r="Z1066" s="39"/>
      <c r="AA1066" s="39"/>
      <c r="AB1066" s="27"/>
      <c r="AC1066" s="27">
        <f t="shared" si="619"/>
        <v>0</v>
      </c>
      <c r="AD1066" s="41">
        <f t="shared" ref="AD1066:AD1067" si="855">IF(AND(S1066="0",O1066="Paid"),M1066*15%,0)</f>
        <v>2970</v>
      </c>
      <c r="AE1066" s="42"/>
      <c r="AF1066" s="60" t="s">
        <v>3493</v>
      </c>
      <c r="AG1066" s="43">
        <f t="shared" si="851"/>
        <v>5078.7</v>
      </c>
      <c r="AH1066" s="29"/>
      <c r="AI1066" s="29"/>
      <c r="AJ1066" s="29"/>
      <c r="AK1066" s="29"/>
      <c r="AL1066" s="27"/>
      <c r="AM1066" s="27"/>
      <c r="AN1066" s="47"/>
      <c r="AO1066" s="37"/>
      <c r="AP1066" s="47"/>
      <c r="AQ1066" s="43">
        <f t="shared" si="853"/>
        <v>5346</v>
      </c>
      <c r="AR1066" s="43">
        <f t="shared" si="448"/>
        <v>267.3</v>
      </c>
      <c r="AS1066" s="43">
        <f t="shared" si="449"/>
        <v>935.55</v>
      </c>
      <c r="AT1066" s="48">
        <f t="shared" si="753"/>
        <v>4143.15</v>
      </c>
      <c r="AU1066" s="49">
        <f t="shared" ref="AU1066:AU1067" si="856">AQ1066-AR1066-AS1066-AC1066</f>
        <v>4143.15</v>
      </c>
      <c r="AV1066" s="48"/>
      <c r="AW1066" s="34">
        <f t="shared" si="840"/>
        <v>18139.2</v>
      </c>
      <c r="AX1066" s="50">
        <f t="shared" si="811"/>
        <v>1173.15</v>
      </c>
      <c r="AY1066" s="43"/>
      <c r="AZ1066" s="27"/>
      <c r="BA1066" s="48">
        <f t="shared" si="801"/>
        <v>4143.15</v>
      </c>
      <c r="BB1066" s="27"/>
      <c r="BC1066" s="27"/>
      <c r="BD1066" s="51"/>
      <c r="BE1066" s="52"/>
      <c r="BF1066" s="27" t="s">
        <v>3491</v>
      </c>
      <c r="BG1066" s="58" t="s">
        <v>3494</v>
      </c>
      <c r="BH1066" s="53" t="str">
        <f>'[1]2023'!Q124</f>
        <v>#REF!</v>
      </c>
      <c r="BI1066" s="27"/>
      <c r="BJ1066" s="27"/>
      <c r="BK1066" s="27" t="s">
        <v>76</v>
      </c>
      <c r="BL1066" s="27" t="s">
        <v>3493</v>
      </c>
    </row>
    <row r="1067" ht="14.25" customHeight="1">
      <c r="A1067" s="26" t="s">
        <v>55</v>
      </c>
      <c r="B1067" s="26" t="s">
        <v>56</v>
      </c>
      <c r="C1067" s="26" t="s">
        <v>57</v>
      </c>
      <c r="D1067" s="26" t="s">
        <v>81</v>
      </c>
      <c r="E1067" s="27" t="s">
        <v>3495</v>
      </c>
      <c r="F1067" s="26" t="s">
        <v>3496</v>
      </c>
      <c r="G1067" s="29">
        <v>45200.0</v>
      </c>
      <c r="H1067" s="30">
        <v>45200.0</v>
      </c>
      <c r="I1067" s="30">
        <v>45565.0</v>
      </c>
      <c r="J1067" s="31">
        <v>0.0</v>
      </c>
      <c r="K1067" s="26" t="s">
        <v>1192</v>
      </c>
      <c r="L1067" s="69">
        <v>45264.0</v>
      </c>
      <c r="M1067" s="33">
        <v>14868.0</v>
      </c>
      <c r="N1067" s="82">
        <v>15886.22</v>
      </c>
      <c r="O1067" s="27" t="s">
        <v>76</v>
      </c>
      <c r="P1067" s="35" t="s">
        <v>142</v>
      </c>
      <c r="Q1067" s="35" t="s">
        <v>90</v>
      </c>
      <c r="R1067" s="36">
        <v>45200.0</v>
      </c>
      <c r="S1067" s="35" t="s">
        <v>86</v>
      </c>
      <c r="T1067" s="35">
        <v>0.0</v>
      </c>
      <c r="U1067" s="37" t="s">
        <v>67</v>
      </c>
      <c r="V1067" s="38"/>
      <c r="W1067" s="38"/>
      <c r="X1067" s="27"/>
      <c r="Y1067" s="39"/>
      <c r="Z1067" s="39"/>
      <c r="AA1067" s="39"/>
      <c r="AB1067" s="27"/>
      <c r="AC1067" s="27">
        <f t="shared" si="619"/>
        <v>0</v>
      </c>
      <c r="AD1067" s="41">
        <f t="shared" si="855"/>
        <v>2230.2</v>
      </c>
      <c r="AE1067" s="42"/>
      <c r="AF1067" s="29">
        <v>45020.0</v>
      </c>
      <c r="AG1067" s="43">
        <f t="shared" si="851"/>
        <v>3813.642</v>
      </c>
      <c r="AH1067" s="29"/>
      <c r="AI1067" s="29"/>
      <c r="AJ1067" s="29"/>
      <c r="AK1067" s="29"/>
      <c r="AL1067" s="27"/>
      <c r="AM1067" s="27"/>
      <c r="AN1067" s="47"/>
      <c r="AO1067" s="37"/>
      <c r="AP1067" s="47"/>
      <c r="AQ1067" s="43">
        <f t="shared" si="853"/>
        <v>4014.36</v>
      </c>
      <c r="AR1067" s="43">
        <f t="shared" si="448"/>
        <v>200.718</v>
      </c>
      <c r="AS1067" s="43">
        <f t="shared" si="449"/>
        <v>702.513</v>
      </c>
      <c r="AT1067" s="48">
        <f t="shared" si="753"/>
        <v>3111.129</v>
      </c>
      <c r="AU1067" s="49">
        <f t="shared" si="856"/>
        <v>3111.129</v>
      </c>
      <c r="AV1067" s="48"/>
      <c r="AW1067" s="34">
        <f t="shared" si="840"/>
        <v>13656.02</v>
      </c>
      <c r="AX1067" s="50">
        <f t="shared" si="811"/>
        <v>880.929</v>
      </c>
      <c r="AY1067" s="43"/>
      <c r="AZ1067" s="27"/>
      <c r="BA1067" s="48">
        <f t="shared" si="801"/>
        <v>3111.129</v>
      </c>
      <c r="BB1067" s="27"/>
      <c r="BC1067" s="27"/>
      <c r="BD1067" s="51"/>
      <c r="BE1067" s="52"/>
      <c r="BF1067" s="27" t="s">
        <v>3495</v>
      </c>
      <c r="BG1067" s="58" t="s">
        <v>266</v>
      </c>
      <c r="BH1067" s="53" t="str">
        <f>'[1]2023'!Q170</f>
        <v>#REF!</v>
      </c>
      <c r="BI1067" s="27"/>
      <c r="BJ1067" s="27"/>
      <c r="BK1067" s="27" t="s">
        <v>76</v>
      </c>
      <c r="BL1067" s="27"/>
    </row>
    <row r="1068" ht="14.25" customHeight="1">
      <c r="A1068" s="26" t="s">
        <v>55</v>
      </c>
      <c r="B1068" s="26" t="s">
        <v>56</v>
      </c>
      <c r="C1068" s="26" t="s">
        <v>57</v>
      </c>
      <c r="D1068" s="26" t="s">
        <v>81</v>
      </c>
      <c r="E1068" s="27" t="s">
        <v>3497</v>
      </c>
      <c r="F1068" s="28" t="s">
        <v>3498</v>
      </c>
      <c r="G1068" s="29">
        <v>45200.0</v>
      </c>
      <c r="H1068" s="30">
        <v>45200.0</v>
      </c>
      <c r="I1068" s="30">
        <v>45565.0</v>
      </c>
      <c r="J1068" s="31" t="s">
        <v>1418</v>
      </c>
      <c r="K1068" s="26" t="s">
        <v>931</v>
      </c>
      <c r="L1068" s="32" t="s">
        <v>63</v>
      </c>
      <c r="M1068" s="33">
        <v>25840.0</v>
      </c>
      <c r="N1068" s="34">
        <v>27634.76</v>
      </c>
      <c r="O1068" s="27" t="s">
        <v>76</v>
      </c>
      <c r="P1068" s="35" t="s">
        <v>430</v>
      </c>
      <c r="Q1068" s="35">
        <v>0.0</v>
      </c>
      <c r="R1068" s="36">
        <v>45200.0</v>
      </c>
      <c r="S1068" s="35" t="s">
        <v>86</v>
      </c>
      <c r="T1068" s="35">
        <v>0.0</v>
      </c>
      <c r="U1068" s="37" t="s">
        <v>67</v>
      </c>
      <c r="V1068" s="38">
        <v>800000.0</v>
      </c>
      <c r="W1068" s="38"/>
      <c r="X1068" s="27"/>
      <c r="Y1068" s="39"/>
      <c r="Z1068" s="79" t="s">
        <v>3499</v>
      </c>
      <c r="AA1068" s="39"/>
      <c r="AB1068" s="27"/>
      <c r="AC1068" s="27">
        <f t="shared" si="619"/>
        <v>0</v>
      </c>
      <c r="AD1068" s="41">
        <f>IF(AND(S1068="0",O1068="Paid"),(M1068*15%)-AC1068,0)</f>
        <v>3876</v>
      </c>
      <c r="AE1068" s="42"/>
      <c r="AF1068" s="27"/>
      <c r="AG1068" s="43">
        <f t="shared" si="851"/>
        <v>6627.96</v>
      </c>
      <c r="AH1068" s="29"/>
      <c r="AI1068" s="29"/>
      <c r="AJ1068" s="29"/>
      <c r="AK1068" s="29"/>
      <c r="AL1068" s="27"/>
      <c r="AM1068" s="44"/>
      <c r="AN1068" s="68"/>
      <c r="AO1068" s="46"/>
      <c r="AP1068" s="47"/>
      <c r="AQ1068" s="43">
        <f t="shared" si="853"/>
        <v>6976.8</v>
      </c>
      <c r="AR1068" s="43">
        <f t="shared" si="448"/>
        <v>348.84</v>
      </c>
      <c r="AS1068" s="43">
        <f t="shared" si="449"/>
        <v>1220.94</v>
      </c>
      <c r="AT1068" s="48">
        <f t="shared" si="753"/>
        <v>5407.02</v>
      </c>
      <c r="AU1068" s="49">
        <f t="shared" ref="AU1068:AU1073" si="857">AQ1068-AR1068-AS1068-AC1068-AO1068</f>
        <v>5407.02</v>
      </c>
      <c r="AV1068" s="48"/>
      <c r="AW1068" s="34">
        <f t="shared" si="840"/>
        <v>23758.76</v>
      </c>
      <c r="AX1068" s="50">
        <f t="shared" si="811"/>
        <v>1531.02</v>
      </c>
      <c r="AY1068" s="43"/>
      <c r="AZ1068" s="47"/>
      <c r="BA1068" s="48">
        <f t="shared" si="801"/>
        <v>5407.02</v>
      </c>
      <c r="BB1068" s="27"/>
      <c r="BC1068" s="27"/>
      <c r="BD1068" s="51"/>
      <c r="BE1068" s="52"/>
      <c r="BF1068" s="27"/>
      <c r="BG1068" s="53">
        <v>0.0</v>
      </c>
      <c r="BH1068" s="53" t="str">
        <f>'[1]2023'!Q1330</f>
        <v>#REF!</v>
      </c>
      <c r="BI1068" s="27"/>
      <c r="BJ1068" s="27"/>
      <c r="BK1068" s="27" t="s">
        <v>76</v>
      </c>
      <c r="BL1068" s="27"/>
    </row>
    <row r="1069" ht="14.25" customHeight="1">
      <c r="A1069" s="26" t="s">
        <v>55</v>
      </c>
      <c r="B1069" s="26" t="s">
        <v>56</v>
      </c>
      <c r="C1069" s="26" t="s">
        <v>57</v>
      </c>
      <c r="D1069" s="26" t="s">
        <v>58</v>
      </c>
      <c r="E1069" s="27" t="s">
        <v>3500</v>
      </c>
      <c r="F1069" s="28" t="s">
        <v>3501</v>
      </c>
      <c r="G1069" s="182">
        <v>45200.0</v>
      </c>
      <c r="H1069" s="30">
        <v>45200.0</v>
      </c>
      <c r="I1069" s="30">
        <v>45565.0</v>
      </c>
      <c r="J1069" s="31">
        <v>0.0</v>
      </c>
      <c r="K1069" s="26" t="s">
        <v>931</v>
      </c>
      <c r="L1069" s="192">
        <v>45270.0</v>
      </c>
      <c r="M1069" s="33">
        <v>3642.89</v>
      </c>
      <c r="N1069" s="34">
        <v>3857.82</v>
      </c>
      <c r="O1069" s="27" t="s">
        <v>76</v>
      </c>
      <c r="P1069" s="35" t="s">
        <v>142</v>
      </c>
      <c r="Q1069" s="35" t="s">
        <v>90</v>
      </c>
      <c r="R1069" s="36">
        <v>45200.0</v>
      </c>
      <c r="S1069" s="35" t="s">
        <v>66</v>
      </c>
      <c r="T1069" s="35">
        <v>0.0</v>
      </c>
      <c r="U1069" s="37" t="s">
        <v>67</v>
      </c>
      <c r="V1069" s="38">
        <v>750000.0</v>
      </c>
      <c r="W1069" s="78">
        <v>5853.0</v>
      </c>
      <c r="X1069" s="27">
        <v>2021.0</v>
      </c>
      <c r="Y1069" s="79" t="s">
        <v>2641</v>
      </c>
      <c r="Z1069" s="79" t="s">
        <v>208</v>
      </c>
      <c r="AA1069" s="39"/>
      <c r="AB1069" s="27"/>
      <c r="AC1069" s="27">
        <f t="shared" si="619"/>
        <v>0</v>
      </c>
      <c r="AD1069" s="109">
        <f>M1069*15%</f>
        <v>546.4335</v>
      </c>
      <c r="AE1069" s="42"/>
      <c r="AF1069" s="27" t="s">
        <v>3502</v>
      </c>
      <c r="AG1069" s="43">
        <f t="shared" si="851"/>
        <v>934.401285</v>
      </c>
      <c r="AH1069" s="29"/>
      <c r="AI1069" s="29"/>
      <c r="AJ1069" s="29"/>
      <c r="AK1069" s="29"/>
      <c r="AL1069" s="27"/>
      <c r="AM1069" s="44">
        <f>IF((BD1069&lt;=2),AU1069*10%,(IF((BD1069=3),AU1069*20%,IF((BD1069=4),AU1069*20%,IF((BD1069&gt;=5),AU1069*30%,(IF((BD1069="lead"),AU1069*30%,0)))))))</f>
        <v>76.22747325</v>
      </c>
      <c r="AN1069" s="47"/>
      <c r="AO1069" s="46"/>
      <c r="AP1069" s="47"/>
      <c r="AQ1069" s="43">
        <f t="shared" si="853"/>
        <v>983.5803</v>
      </c>
      <c r="AR1069" s="43">
        <f t="shared" si="448"/>
        <v>49.179015</v>
      </c>
      <c r="AS1069" s="43">
        <f t="shared" si="449"/>
        <v>172.1265525</v>
      </c>
      <c r="AT1069" s="48">
        <f t="shared" si="753"/>
        <v>762.2747325</v>
      </c>
      <c r="AU1069" s="49">
        <f t="shared" si="857"/>
        <v>762.2747325</v>
      </c>
      <c r="AV1069" s="48"/>
      <c r="AW1069" s="34">
        <f t="shared" si="840"/>
        <v>3311.3865</v>
      </c>
      <c r="AX1069" s="50">
        <f t="shared" si="811"/>
        <v>139.6137593</v>
      </c>
      <c r="AY1069" s="43"/>
      <c r="AZ1069" s="47"/>
      <c r="BA1069" s="48">
        <f t="shared" si="801"/>
        <v>686.0472593</v>
      </c>
      <c r="BB1069" s="27"/>
      <c r="BC1069" s="27"/>
      <c r="BD1069" s="51"/>
      <c r="BE1069" s="52"/>
      <c r="BF1069" s="27"/>
      <c r="BG1069" s="53">
        <v>0.0</v>
      </c>
      <c r="BH1069" s="53" t="str">
        <f>'[1]2023'!Q1370</f>
        <v>#REF!</v>
      </c>
      <c r="BI1069" s="27"/>
      <c r="BJ1069" s="27"/>
      <c r="BK1069" s="27" t="s">
        <v>76</v>
      </c>
      <c r="BL1069" s="27"/>
    </row>
    <row r="1070" ht="14.25" customHeight="1">
      <c r="A1070" s="26" t="s">
        <v>111</v>
      </c>
      <c r="B1070" s="26" t="s">
        <v>56</v>
      </c>
      <c r="C1070" s="26" t="s">
        <v>57</v>
      </c>
      <c r="D1070" s="26" t="s">
        <v>71</v>
      </c>
      <c r="E1070" s="27" t="s">
        <v>3503</v>
      </c>
      <c r="F1070" s="28" t="s">
        <v>3504</v>
      </c>
      <c r="G1070" s="29">
        <v>45200.0</v>
      </c>
      <c r="H1070" s="30">
        <v>45200.0</v>
      </c>
      <c r="I1070" s="30">
        <v>45565.0</v>
      </c>
      <c r="J1070" s="31" t="s">
        <v>1415</v>
      </c>
      <c r="K1070" s="26" t="s">
        <v>931</v>
      </c>
      <c r="L1070" s="32" t="s">
        <v>75</v>
      </c>
      <c r="M1070" s="33">
        <v>18086.65</v>
      </c>
      <c r="N1070" s="34">
        <v>19500.0</v>
      </c>
      <c r="O1070" s="27" t="s">
        <v>76</v>
      </c>
      <c r="P1070" s="35" t="s">
        <v>162</v>
      </c>
      <c r="Q1070" s="35" t="s">
        <v>114</v>
      </c>
      <c r="R1070" s="36">
        <v>45209.0</v>
      </c>
      <c r="S1070" s="35" t="s">
        <v>66</v>
      </c>
      <c r="T1070" s="35">
        <v>0.0</v>
      </c>
      <c r="U1070" s="37" t="s">
        <v>115</v>
      </c>
      <c r="V1070" s="38">
        <v>750000.0</v>
      </c>
      <c r="W1070" s="78">
        <v>19983.0</v>
      </c>
      <c r="X1070" s="27">
        <v>2022.0</v>
      </c>
      <c r="Y1070" s="39">
        <v>5.0</v>
      </c>
      <c r="Z1070" s="39" t="s">
        <v>3239</v>
      </c>
      <c r="AA1070" s="39">
        <v>201174.0</v>
      </c>
      <c r="AB1070" s="27"/>
      <c r="AC1070" s="27">
        <f t="shared" si="619"/>
        <v>0</v>
      </c>
      <c r="AD1070" s="41">
        <f t="shared" ref="AD1070:AD1073" si="858">IF(AND(S1070="0",O1070="Paid"),(M1070*15%)-AC1070,0)</f>
        <v>0</v>
      </c>
      <c r="AE1070" s="42"/>
      <c r="AF1070" s="27"/>
      <c r="AG1070" s="43">
        <f>IF(O1070="Paid",IF(A1070="Wethaq",(M1070*28%)-((M1070*28%)*5%),IF((A1070="GIG"),(M1070*25%)-((M1070*25%)*5%),IF((A1070="Allianz"),(M1070*27%)-((M1070*27%)*5%),0))),0)</f>
        <v>4295.579375</v>
      </c>
      <c r="AH1070" s="29">
        <v>45209.0</v>
      </c>
      <c r="AI1070" s="29" t="s">
        <v>1325</v>
      </c>
      <c r="AJ1070" s="29"/>
      <c r="AK1070" s="29" t="s">
        <v>3408</v>
      </c>
      <c r="AL1070" s="27"/>
      <c r="AM1070" s="140">
        <f>AU1070*30%</f>
        <v>1051.286531</v>
      </c>
      <c r="AN1070" s="63" t="s">
        <v>1730</v>
      </c>
      <c r="AO1070" s="46"/>
      <c r="AP1070" s="47"/>
      <c r="AQ1070" s="43">
        <f t="shared" si="853"/>
        <v>4521.6625</v>
      </c>
      <c r="AR1070" s="43">
        <f t="shared" si="448"/>
        <v>226.083125</v>
      </c>
      <c r="AS1070" s="43">
        <f t="shared" si="449"/>
        <v>791.2909375</v>
      </c>
      <c r="AT1070" s="48">
        <f t="shared" si="753"/>
        <v>3504.288438</v>
      </c>
      <c r="AU1070" s="49">
        <f t="shared" si="857"/>
        <v>3504.288438</v>
      </c>
      <c r="AV1070" s="48"/>
      <c r="AW1070" s="34">
        <f t="shared" si="840"/>
        <v>19500</v>
      </c>
      <c r="AX1070" s="50">
        <f t="shared" si="811"/>
        <v>2453.001906</v>
      </c>
      <c r="AY1070" s="43"/>
      <c r="AZ1070" s="47"/>
      <c r="BA1070" s="48">
        <f t="shared" si="801"/>
        <v>2453.001906</v>
      </c>
      <c r="BB1070" s="27"/>
      <c r="BC1070" s="27"/>
      <c r="BD1070" s="51"/>
      <c r="BE1070" s="52"/>
      <c r="BF1070" s="27"/>
      <c r="BG1070" s="58" t="s">
        <v>3505</v>
      </c>
      <c r="BH1070" s="53" t="str">
        <f>'[1]2023'!Q1372</f>
        <v>#REF!</v>
      </c>
      <c r="BI1070" s="27"/>
      <c r="BJ1070" s="27"/>
      <c r="BK1070" s="27" t="s">
        <v>76</v>
      </c>
      <c r="BL1070" s="27"/>
    </row>
    <row r="1071" ht="14.25" customHeight="1">
      <c r="A1071" s="26" t="s">
        <v>55</v>
      </c>
      <c r="B1071" s="26" t="s">
        <v>56</v>
      </c>
      <c r="C1071" s="26" t="s">
        <v>57</v>
      </c>
      <c r="D1071" s="26" t="s">
        <v>81</v>
      </c>
      <c r="E1071" s="27" t="s">
        <v>3506</v>
      </c>
      <c r="F1071" s="28" t="s">
        <v>3507</v>
      </c>
      <c r="G1071" s="29">
        <v>45200.0</v>
      </c>
      <c r="H1071" s="30">
        <v>45200.0</v>
      </c>
      <c r="I1071" s="30">
        <v>45565.0</v>
      </c>
      <c r="J1071" s="31" t="s">
        <v>3508</v>
      </c>
      <c r="K1071" s="26" t="s">
        <v>931</v>
      </c>
      <c r="L1071" s="32" t="s">
        <v>3408</v>
      </c>
      <c r="M1071" s="33">
        <v>30680.0</v>
      </c>
      <c r="N1071" s="34">
        <v>32784.52</v>
      </c>
      <c r="O1071" s="27" t="s">
        <v>76</v>
      </c>
      <c r="P1071" s="35" t="s">
        <v>89</v>
      </c>
      <c r="Q1071" s="35" t="s">
        <v>85</v>
      </c>
      <c r="R1071" s="36">
        <v>45200.0</v>
      </c>
      <c r="S1071" s="35" t="s">
        <v>86</v>
      </c>
      <c r="T1071" s="35">
        <v>0.0</v>
      </c>
      <c r="U1071" s="37" t="s">
        <v>67</v>
      </c>
      <c r="V1071" s="38">
        <v>1300000.0</v>
      </c>
      <c r="W1071" s="78">
        <v>2135.0</v>
      </c>
      <c r="X1071" s="27">
        <v>2020.0</v>
      </c>
      <c r="Y1071" s="79" t="s">
        <v>2641</v>
      </c>
      <c r="Z1071" s="79" t="s">
        <v>407</v>
      </c>
      <c r="AA1071" s="39"/>
      <c r="AB1071" s="27"/>
      <c r="AC1071" s="27">
        <f t="shared" si="619"/>
        <v>0</v>
      </c>
      <c r="AD1071" s="41">
        <f t="shared" si="858"/>
        <v>4602</v>
      </c>
      <c r="AE1071" s="42"/>
      <c r="AF1071" s="29">
        <v>45149.0</v>
      </c>
      <c r="AG1071" s="43">
        <f>IF(O1071="Paid",IF(A1071="Alwataniya",(M1071*21%)-((M1071*21%)*5%),IF((A1071="GIG"),(M1071*25%)-((M1071*25%)*5%),IF((A1071="Allianz"),(M1071*27%)-((M1071*27%)*5%),0))),0)</f>
        <v>7869.42</v>
      </c>
      <c r="AH1071" s="29"/>
      <c r="AI1071" s="29"/>
      <c r="AJ1071" s="29"/>
      <c r="AK1071" s="29"/>
      <c r="AL1071" s="27"/>
      <c r="AM1071" s="44"/>
      <c r="AN1071" s="47"/>
      <c r="AO1071" s="46"/>
      <c r="AP1071" s="47"/>
      <c r="AQ1071" s="43">
        <f t="shared" si="853"/>
        <v>8283.6</v>
      </c>
      <c r="AR1071" s="43">
        <f t="shared" si="448"/>
        <v>414.18</v>
      </c>
      <c r="AS1071" s="43">
        <f t="shared" si="449"/>
        <v>1449.63</v>
      </c>
      <c r="AT1071" s="48">
        <f t="shared" si="753"/>
        <v>6419.79</v>
      </c>
      <c r="AU1071" s="49">
        <f t="shared" si="857"/>
        <v>6419.79</v>
      </c>
      <c r="AV1071" s="48"/>
      <c r="AW1071" s="34">
        <f t="shared" si="840"/>
        <v>28182.52</v>
      </c>
      <c r="AX1071" s="50">
        <f t="shared" si="811"/>
        <v>1817.79</v>
      </c>
      <c r="AY1071" s="43"/>
      <c r="AZ1071" s="47"/>
      <c r="BA1071" s="48">
        <f t="shared" si="801"/>
        <v>6419.79</v>
      </c>
      <c r="BB1071" s="27"/>
      <c r="BC1071" s="27"/>
      <c r="BD1071" s="51"/>
      <c r="BE1071" s="52"/>
      <c r="BF1071" s="27"/>
      <c r="BG1071" s="53">
        <v>0.0</v>
      </c>
      <c r="BH1071" s="53" t="str">
        <f>'[1]2023'!Q1417</f>
        <v>#REF!</v>
      </c>
      <c r="BI1071" s="27"/>
      <c r="BJ1071" s="27"/>
      <c r="BK1071" s="27" t="s">
        <v>76</v>
      </c>
      <c r="BL1071" s="27"/>
    </row>
    <row r="1072" ht="14.25" customHeight="1">
      <c r="A1072" s="26" t="s">
        <v>1634</v>
      </c>
      <c r="B1072" s="26" t="s">
        <v>69</v>
      </c>
      <c r="C1072" s="26" t="s">
        <v>70</v>
      </c>
      <c r="D1072" s="26" t="s">
        <v>58</v>
      </c>
      <c r="E1072" s="99" t="s">
        <v>3509</v>
      </c>
      <c r="F1072" s="26" t="s">
        <v>3510</v>
      </c>
      <c r="G1072" s="29">
        <v>45200.0</v>
      </c>
      <c r="H1072" s="30">
        <v>45200.0</v>
      </c>
      <c r="I1072" s="30">
        <v>45565.0</v>
      </c>
      <c r="J1072" s="31">
        <v>0.0</v>
      </c>
      <c r="K1072" s="26" t="s">
        <v>931</v>
      </c>
      <c r="L1072" s="89">
        <v>45225.0</v>
      </c>
      <c r="M1072" s="33">
        <v>12100.0</v>
      </c>
      <c r="N1072" s="34">
        <v>13000.0</v>
      </c>
      <c r="O1072" s="27" t="s">
        <v>76</v>
      </c>
      <c r="P1072" s="35" t="s">
        <v>77</v>
      </c>
      <c r="Q1072" s="35">
        <v>0.0</v>
      </c>
      <c r="R1072" s="36">
        <v>45200.0</v>
      </c>
      <c r="S1072" s="35" t="s">
        <v>78</v>
      </c>
      <c r="T1072" s="54" t="s">
        <v>79</v>
      </c>
      <c r="U1072" s="37" t="s">
        <v>69</v>
      </c>
      <c r="V1072" s="38">
        <v>3.7008E7</v>
      </c>
      <c r="W1072" s="78"/>
      <c r="X1072" s="27"/>
      <c r="Y1072" s="39"/>
      <c r="Z1072" s="39"/>
      <c r="AA1072" s="39"/>
      <c r="AB1072" s="27"/>
      <c r="AC1072" s="27">
        <f t="shared" si="619"/>
        <v>0</v>
      </c>
      <c r="AD1072" s="41">
        <f t="shared" si="858"/>
        <v>0</v>
      </c>
      <c r="AE1072" s="42"/>
      <c r="AF1072" s="189">
        <v>15420.0</v>
      </c>
      <c r="AG1072" s="190">
        <f t="shared" ref="AG1072:AG1073" si="859">(AF1072*16.75%)-((AF1072*16.75%)*5%)</f>
        <v>2453.7075</v>
      </c>
      <c r="AH1072" s="29"/>
      <c r="AI1072" s="29">
        <v>45284.0</v>
      </c>
      <c r="AJ1072" s="40">
        <v>0.1675</v>
      </c>
      <c r="AK1072" s="29" t="s">
        <v>3511</v>
      </c>
      <c r="AL1072" s="27">
        <f t="shared" ref="AL1072:AL1073" si="860">AF1072*AJ1072</f>
        <v>2582.85</v>
      </c>
      <c r="AM1072" s="44"/>
      <c r="AN1072" s="47"/>
      <c r="AO1072" s="149">
        <f t="shared" ref="AO1072:AO1073" si="861">((AF1072*AJ1072)-((AF1072*AJ1072)*22.5%))*80%</f>
        <v>1601.367</v>
      </c>
      <c r="AP1072" s="71">
        <v>45294.0</v>
      </c>
      <c r="AQ1072" s="43">
        <f t="shared" ref="AQ1072:AQ1073" si="862">IF(O1072="Paid",IF(U1072="Motor Plus",(M1072*27%),IF(U1072="Motor One",(M1072*22%),(IF(U1072="Golden",(M1072*25%),(IF(U1072="Classic",(M1072*15%),(IF(U1072="Wethaq",(M1072*28%),IF(U1072="Alwataniya",(M1072*21%))*0)))))))))</f>
        <v>0</v>
      </c>
      <c r="AR1072" s="43">
        <f t="shared" si="448"/>
        <v>0</v>
      </c>
      <c r="AS1072" s="43">
        <f t="shared" si="449"/>
        <v>0</v>
      </c>
      <c r="AT1072" s="48">
        <f t="shared" si="753"/>
        <v>0</v>
      </c>
      <c r="AU1072" s="49">
        <f t="shared" si="857"/>
        <v>-1601.367</v>
      </c>
      <c r="AV1072" s="48"/>
      <c r="AW1072" s="34">
        <f t="shared" si="840"/>
        <v>13000</v>
      </c>
      <c r="AX1072" s="50">
        <f t="shared" si="811"/>
        <v>-1730.5095</v>
      </c>
      <c r="AY1072" s="43"/>
      <c r="AZ1072" s="47"/>
      <c r="BA1072" s="48">
        <f t="shared" si="801"/>
        <v>-3202.734</v>
      </c>
      <c r="BB1072" s="27"/>
      <c r="BC1072" s="27"/>
      <c r="BD1072" s="51"/>
      <c r="BE1072" s="52"/>
      <c r="BF1072" s="27"/>
      <c r="BG1072" s="58" t="s">
        <v>2973</v>
      </c>
      <c r="BH1072" s="53" t="str">
        <f t="shared" ref="BH1072:BH1073" si="863">'[1]2023'!Q1563</f>
        <v>#REF!</v>
      </c>
      <c r="BI1072" s="27"/>
      <c r="BJ1072" s="27"/>
      <c r="BK1072" s="27" t="s">
        <v>76</v>
      </c>
      <c r="BL1072" s="27"/>
    </row>
    <row r="1073" ht="14.25" customHeight="1">
      <c r="A1073" s="26" t="s">
        <v>1634</v>
      </c>
      <c r="B1073" s="26" t="s">
        <v>69</v>
      </c>
      <c r="C1073" s="26" t="s">
        <v>70</v>
      </c>
      <c r="D1073" s="26" t="s">
        <v>71</v>
      </c>
      <c r="E1073" s="99" t="s">
        <v>3512</v>
      </c>
      <c r="F1073" s="26" t="s">
        <v>3513</v>
      </c>
      <c r="G1073" s="29">
        <v>45200.0</v>
      </c>
      <c r="H1073" s="30">
        <v>45200.0</v>
      </c>
      <c r="I1073" s="30">
        <v>45565.0</v>
      </c>
      <c r="J1073" s="31">
        <v>0.0</v>
      </c>
      <c r="K1073" s="26" t="s">
        <v>931</v>
      </c>
      <c r="L1073" s="89">
        <v>45225.0</v>
      </c>
      <c r="M1073" s="33">
        <v>3722.0</v>
      </c>
      <c r="N1073" s="34">
        <v>4000.0</v>
      </c>
      <c r="O1073" s="27" t="s">
        <v>76</v>
      </c>
      <c r="P1073" s="35" t="s">
        <v>77</v>
      </c>
      <c r="Q1073" s="35">
        <v>0.0</v>
      </c>
      <c r="R1073" s="36">
        <v>45200.0</v>
      </c>
      <c r="S1073" s="35" t="s">
        <v>78</v>
      </c>
      <c r="T1073" s="54" t="s">
        <v>79</v>
      </c>
      <c r="U1073" s="37" t="s">
        <v>69</v>
      </c>
      <c r="V1073" s="38"/>
      <c r="W1073" s="78"/>
      <c r="X1073" s="27"/>
      <c r="Y1073" s="39"/>
      <c r="Z1073" s="39"/>
      <c r="AA1073" s="39"/>
      <c r="AB1073" s="27"/>
      <c r="AC1073" s="27">
        <f t="shared" si="619"/>
        <v>0</v>
      </c>
      <c r="AD1073" s="41">
        <f t="shared" si="858"/>
        <v>0</v>
      </c>
      <c r="AE1073" s="42"/>
      <c r="AF1073" s="189">
        <v>14000.0</v>
      </c>
      <c r="AG1073" s="190">
        <f t="shared" si="859"/>
        <v>2227.75</v>
      </c>
      <c r="AH1073" s="29"/>
      <c r="AI1073" s="29">
        <v>45284.0</v>
      </c>
      <c r="AJ1073" s="40">
        <v>0.1675</v>
      </c>
      <c r="AK1073" s="29" t="s">
        <v>3511</v>
      </c>
      <c r="AL1073" s="27">
        <f t="shared" si="860"/>
        <v>2345</v>
      </c>
      <c r="AM1073" s="27"/>
      <c r="AN1073" s="47"/>
      <c r="AO1073" s="149">
        <f t="shared" si="861"/>
        <v>1453.9</v>
      </c>
      <c r="AP1073" s="71">
        <v>45294.0</v>
      </c>
      <c r="AQ1073" s="43">
        <f t="shared" si="862"/>
        <v>0</v>
      </c>
      <c r="AR1073" s="43">
        <f t="shared" si="448"/>
        <v>0</v>
      </c>
      <c r="AS1073" s="43">
        <f t="shared" si="449"/>
        <v>0</v>
      </c>
      <c r="AT1073" s="48">
        <f t="shared" si="753"/>
        <v>0</v>
      </c>
      <c r="AU1073" s="49">
        <f t="shared" si="857"/>
        <v>-1453.9</v>
      </c>
      <c r="AV1073" s="48"/>
      <c r="AW1073" s="34">
        <f t="shared" si="840"/>
        <v>4000</v>
      </c>
      <c r="AX1073" s="50">
        <f t="shared" si="811"/>
        <v>-1571.15</v>
      </c>
      <c r="AY1073" s="43"/>
      <c r="AZ1073" s="47"/>
      <c r="BA1073" s="48">
        <f t="shared" si="801"/>
        <v>-2907.8</v>
      </c>
      <c r="BB1073" s="27"/>
      <c r="BC1073" s="27"/>
      <c r="BD1073" s="51"/>
      <c r="BE1073" s="52"/>
      <c r="BF1073" s="27"/>
      <c r="BG1073" s="58" t="s">
        <v>3514</v>
      </c>
      <c r="BH1073" s="53" t="str">
        <f t="shared" si="863"/>
        <v>#REF!</v>
      </c>
      <c r="BI1073" s="27"/>
      <c r="BJ1073" s="27"/>
      <c r="BK1073" s="27" t="s">
        <v>76</v>
      </c>
      <c r="BL1073" s="27"/>
    </row>
    <row r="1074" ht="14.25" customHeight="1">
      <c r="A1074" s="26" t="s">
        <v>55</v>
      </c>
      <c r="B1074" s="26" t="s">
        <v>56</v>
      </c>
      <c r="C1074" s="26" t="s">
        <v>57</v>
      </c>
      <c r="D1074" s="26" t="s">
        <v>81</v>
      </c>
      <c r="E1074" s="27" t="s">
        <v>3515</v>
      </c>
      <c r="F1074" s="26" t="s">
        <v>3516</v>
      </c>
      <c r="G1074" s="29">
        <v>45201.0</v>
      </c>
      <c r="H1074" s="30">
        <v>45201.0</v>
      </c>
      <c r="I1074" s="30">
        <v>45566.0</v>
      </c>
      <c r="J1074" s="31">
        <v>0.0</v>
      </c>
      <c r="K1074" s="26" t="s">
        <v>62</v>
      </c>
      <c r="L1074" s="32" t="s">
        <v>75</v>
      </c>
      <c r="M1074" s="33">
        <v>28249.2</v>
      </c>
      <c r="N1074" s="34">
        <v>30056.91</v>
      </c>
      <c r="O1074" s="27" t="s">
        <v>76</v>
      </c>
      <c r="P1074" s="35" t="s">
        <v>104</v>
      </c>
      <c r="Q1074" s="35" t="s">
        <v>108</v>
      </c>
      <c r="R1074" s="36">
        <v>45201.0</v>
      </c>
      <c r="S1074" s="35" t="s">
        <v>86</v>
      </c>
      <c r="T1074" s="35">
        <v>0.0</v>
      </c>
      <c r="U1074" s="37" t="s">
        <v>67</v>
      </c>
      <c r="V1074" s="38"/>
      <c r="W1074" s="38"/>
      <c r="X1074" s="27"/>
      <c r="Y1074" s="39"/>
      <c r="Z1074" s="39"/>
      <c r="AA1074" s="39"/>
      <c r="AB1074" s="27"/>
      <c r="AC1074" s="27">
        <f t="shared" si="619"/>
        <v>0</v>
      </c>
      <c r="AD1074" s="41">
        <f t="shared" ref="AD1074:AD1075" si="864">IF(AND(S1074="0",O1074="Paid"),M1074*15%,0)</f>
        <v>4237.38</v>
      </c>
      <c r="AE1074" s="42"/>
      <c r="AF1074" s="60" t="s">
        <v>109</v>
      </c>
      <c r="AG1074" s="43">
        <f t="shared" ref="AG1074:AG1076" si="865">IF(O1074="Paid",IF(A1074="Alwataniya",(M1074*21%)-((M1074*21%)*5%),IF((A1074="GIG"),(M1074*25%)-((M1074*25%)*5%),IF((A1074="Allianz"),(M1074*27%)-((M1074*27%)*5%),0))),0)</f>
        <v>7245.9198</v>
      </c>
      <c r="AH1074" s="29"/>
      <c r="AI1074" s="29"/>
      <c r="AJ1074" s="29"/>
      <c r="AK1074" s="29"/>
      <c r="AL1074" s="27"/>
      <c r="AM1074" s="44"/>
      <c r="AN1074" s="68"/>
      <c r="AO1074" s="37"/>
      <c r="AP1074" s="47"/>
      <c r="AQ1074" s="43">
        <f t="shared" ref="AQ1074:AQ1079" si="866">IF(U1074="Motor Plus",(M1074*27%),IF(U1074="Motor One",(M1074*22%),(IF(U1074="Golden",(M1074*25%),(IF(U1074="Classic",(M1074*15%),(IF(U1074="Wethaq",(M1074*28%),IF(U1074="Alwataniya",(M1074*21%))*0))))))))</f>
        <v>7627.284</v>
      </c>
      <c r="AR1074" s="43">
        <f t="shared" si="448"/>
        <v>381.3642</v>
      </c>
      <c r="AS1074" s="43">
        <f t="shared" si="449"/>
        <v>1334.7747</v>
      </c>
      <c r="AT1074" s="48">
        <f t="shared" si="753"/>
        <v>5911.1451</v>
      </c>
      <c r="AU1074" s="49">
        <f t="shared" ref="AU1074:AU1076" si="867">AQ1074-AR1074-AS1074-AC1074</f>
        <v>5911.1451</v>
      </c>
      <c r="AV1074" s="48"/>
      <c r="AW1074" s="34">
        <f t="shared" si="840"/>
        <v>25819.53</v>
      </c>
      <c r="AX1074" s="50">
        <f t="shared" si="811"/>
        <v>1673.7651</v>
      </c>
      <c r="AY1074" s="43"/>
      <c r="AZ1074" s="27"/>
      <c r="BA1074" s="48">
        <f t="shared" si="801"/>
        <v>5911.1451</v>
      </c>
      <c r="BB1074" s="27"/>
      <c r="BC1074" s="27"/>
      <c r="BD1074" s="51"/>
      <c r="BE1074" s="52"/>
      <c r="BF1074" s="27" t="s">
        <v>3515</v>
      </c>
      <c r="BG1074" s="58" t="s">
        <v>105</v>
      </c>
      <c r="BH1074" s="53" t="str">
        <f t="shared" ref="BH1074:BH1075" si="868">'[1]2023'!Q98</f>
        <v>#REF!</v>
      </c>
      <c r="BI1074" s="27"/>
      <c r="BJ1074" s="27"/>
      <c r="BK1074" s="27" t="s">
        <v>76</v>
      </c>
      <c r="BL1074" s="27"/>
    </row>
    <row r="1075" ht="14.25" customHeight="1">
      <c r="A1075" s="26" t="s">
        <v>55</v>
      </c>
      <c r="B1075" s="26" t="s">
        <v>56</v>
      </c>
      <c r="C1075" s="26" t="s">
        <v>57</v>
      </c>
      <c r="D1075" s="26" t="s">
        <v>81</v>
      </c>
      <c r="E1075" s="27" t="s">
        <v>3517</v>
      </c>
      <c r="F1075" s="26" t="s">
        <v>3518</v>
      </c>
      <c r="G1075" s="29">
        <v>45201.0</v>
      </c>
      <c r="H1075" s="30">
        <v>45201.0</v>
      </c>
      <c r="I1075" s="30">
        <v>45566.0</v>
      </c>
      <c r="J1075" s="31">
        <v>0.0</v>
      </c>
      <c r="K1075" s="26" t="s">
        <v>62</v>
      </c>
      <c r="L1075" s="32" t="s">
        <v>75</v>
      </c>
      <c r="M1075" s="33">
        <v>27216.13</v>
      </c>
      <c r="N1075" s="34">
        <v>28962.89</v>
      </c>
      <c r="O1075" s="27" t="s">
        <v>76</v>
      </c>
      <c r="P1075" s="35" t="s">
        <v>104</v>
      </c>
      <c r="Q1075" s="35" t="s">
        <v>90</v>
      </c>
      <c r="R1075" s="36">
        <v>45201.0</v>
      </c>
      <c r="S1075" s="35" t="s">
        <v>86</v>
      </c>
      <c r="T1075" s="35">
        <v>0.0</v>
      </c>
      <c r="U1075" s="37" t="s">
        <v>67</v>
      </c>
      <c r="V1075" s="38"/>
      <c r="W1075" s="38"/>
      <c r="X1075" s="27"/>
      <c r="Y1075" s="39"/>
      <c r="Z1075" s="39"/>
      <c r="AA1075" s="39"/>
      <c r="AB1075" s="27"/>
      <c r="AC1075" s="27">
        <f t="shared" si="619"/>
        <v>0</v>
      </c>
      <c r="AD1075" s="41">
        <f t="shared" si="864"/>
        <v>4082.4195</v>
      </c>
      <c r="AE1075" s="42"/>
      <c r="AF1075" s="59"/>
      <c r="AG1075" s="43">
        <f t="shared" si="865"/>
        <v>6980.937345</v>
      </c>
      <c r="AH1075" s="29"/>
      <c r="AI1075" s="29"/>
      <c r="AJ1075" s="29"/>
      <c r="AK1075" s="29"/>
      <c r="AL1075" s="27"/>
      <c r="AM1075" s="44"/>
      <c r="AN1075" s="47"/>
      <c r="AO1075" s="37"/>
      <c r="AP1075" s="47"/>
      <c r="AQ1075" s="43">
        <f t="shared" si="866"/>
        <v>7348.3551</v>
      </c>
      <c r="AR1075" s="43">
        <f t="shared" si="448"/>
        <v>367.417755</v>
      </c>
      <c r="AS1075" s="43">
        <f t="shared" si="449"/>
        <v>1285.962143</v>
      </c>
      <c r="AT1075" s="48">
        <f t="shared" si="753"/>
        <v>5694.975203</v>
      </c>
      <c r="AU1075" s="49">
        <f t="shared" si="867"/>
        <v>5694.975203</v>
      </c>
      <c r="AV1075" s="48"/>
      <c r="AW1075" s="34">
        <f t="shared" si="840"/>
        <v>24880.4705</v>
      </c>
      <c r="AX1075" s="50">
        <f t="shared" si="811"/>
        <v>1612.555703</v>
      </c>
      <c r="AY1075" s="43"/>
      <c r="AZ1075" s="27"/>
      <c r="BA1075" s="48">
        <f t="shared" si="801"/>
        <v>5694.975203</v>
      </c>
      <c r="BB1075" s="27"/>
      <c r="BC1075" s="27"/>
      <c r="BD1075" s="51"/>
      <c r="BE1075" s="52"/>
      <c r="BF1075" s="27" t="s">
        <v>3517</v>
      </c>
      <c r="BG1075" s="53" t="s">
        <v>188</v>
      </c>
      <c r="BH1075" s="53" t="str">
        <f t="shared" si="868"/>
        <v>#REF!</v>
      </c>
      <c r="BI1075" s="27"/>
      <c r="BJ1075" s="27"/>
      <c r="BK1075" s="27" t="s">
        <v>76</v>
      </c>
      <c r="BL1075" s="27"/>
    </row>
    <row r="1076" ht="14.25" customHeight="1">
      <c r="A1076" s="26" t="s">
        <v>55</v>
      </c>
      <c r="B1076" s="26" t="s">
        <v>56</v>
      </c>
      <c r="C1076" s="26" t="s">
        <v>57</v>
      </c>
      <c r="D1076" s="26" t="s">
        <v>81</v>
      </c>
      <c r="E1076" s="27" t="s">
        <v>3519</v>
      </c>
      <c r="F1076" s="26" t="s">
        <v>3520</v>
      </c>
      <c r="G1076" s="29">
        <v>45201.0</v>
      </c>
      <c r="H1076" s="30">
        <v>45201.0</v>
      </c>
      <c r="I1076" s="30">
        <v>45566.0</v>
      </c>
      <c r="J1076" s="31">
        <v>0.0</v>
      </c>
      <c r="K1076" s="26" t="s">
        <v>62</v>
      </c>
      <c r="L1076" s="32" t="s">
        <v>75</v>
      </c>
      <c r="M1076" s="33">
        <v>14160.0</v>
      </c>
      <c r="N1076" s="34">
        <v>15136.44</v>
      </c>
      <c r="O1076" s="27" t="s">
        <v>76</v>
      </c>
      <c r="P1076" s="35" t="s">
        <v>122</v>
      </c>
      <c r="Q1076" s="35" t="s">
        <v>65</v>
      </c>
      <c r="R1076" s="36">
        <v>45201.0</v>
      </c>
      <c r="S1076" s="35" t="s">
        <v>86</v>
      </c>
      <c r="T1076" s="35">
        <v>0.0</v>
      </c>
      <c r="U1076" s="37" t="s">
        <v>67</v>
      </c>
      <c r="V1076" s="38"/>
      <c r="W1076" s="38"/>
      <c r="X1076" s="27"/>
      <c r="Y1076" s="39"/>
      <c r="Z1076" s="39"/>
      <c r="AA1076" s="39"/>
      <c r="AB1076" s="27"/>
      <c r="AC1076" s="27">
        <f t="shared" si="619"/>
        <v>0</v>
      </c>
      <c r="AD1076" s="41"/>
      <c r="AE1076" s="42"/>
      <c r="AF1076" s="27"/>
      <c r="AG1076" s="43">
        <f t="shared" si="865"/>
        <v>3632.04</v>
      </c>
      <c r="AH1076" s="29"/>
      <c r="AI1076" s="29"/>
      <c r="AJ1076" s="29"/>
      <c r="AK1076" s="29"/>
      <c r="AL1076" s="27"/>
      <c r="AM1076" s="44"/>
      <c r="AN1076" s="47"/>
      <c r="AO1076" s="37"/>
      <c r="AP1076" s="47"/>
      <c r="AQ1076" s="43">
        <f t="shared" si="866"/>
        <v>3823.2</v>
      </c>
      <c r="AR1076" s="43">
        <f t="shared" si="448"/>
        <v>191.16</v>
      </c>
      <c r="AS1076" s="43">
        <f t="shared" si="449"/>
        <v>669.06</v>
      </c>
      <c r="AT1076" s="48">
        <f t="shared" si="753"/>
        <v>2962.98</v>
      </c>
      <c r="AU1076" s="49">
        <f t="shared" si="867"/>
        <v>2962.98</v>
      </c>
      <c r="AV1076" s="48"/>
      <c r="AW1076" s="34">
        <f t="shared" si="840"/>
        <v>15136.44</v>
      </c>
      <c r="AX1076" s="50">
        <f t="shared" si="811"/>
        <v>2962.98</v>
      </c>
      <c r="AY1076" s="43"/>
      <c r="AZ1076" s="27"/>
      <c r="BA1076" s="48">
        <f t="shared" si="801"/>
        <v>2962.98</v>
      </c>
      <c r="BB1076" s="27"/>
      <c r="BC1076" s="27"/>
      <c r="BD1076" s="51"/>
      <c r="BE1076" s="52"/>
      <c r="BF1076" s="27" t="s">
        <v>3519</v>
      </c>
      <c r="BG1076" s="58" t="s">
        <v>3521</v>
      </c>
      <c r="BH1076" s="53" t="str">
        <f>'[1]2023'!Q161</f>
        <v>#REF!</v>
      </c>
      <c r="BI1076" s="27"/>
      <c r="BJ1076" s="27"/>
      <c r="BK1076" s="27" t="s">
        <v>76</v>
      </c>
      <c r="BL1076" s="27"/>
    </row>
    <row r="1077" ht="14.25" customHeight="1">
      <c r="A1077" s="26" t="s">
        <v>68</v>
      </c>
      <c r="B1077" s="26" t="s">
        <v>56</v>
      </c>
      <c r="C1077" s="26" t="s">
        <v>57</v>
      </c>
      <c r="D1077" s="26" t="s">
        <v>71</v>
      </c>
      <c r="E1077" s="27" t="s">
        <v>3522</v>
      </c>
      <c r="F1077" s="28" t="s">
        <v>3523</v>
      </c>
      <c r="G1077" s="29">
        <v>45201.0</v>
      </c>
      <c r="H1077" s="30">
        <v>45201.0</v>
      </c>
      <c r="I1077" s="30">
        <v>45566.0</v>
      </c>
      <c r="J1077" s="31" t="s">
        <v>3524</v>
      </c>
      <c r="K1077" s="26" t="s">
        <v>931</v>
      </c>
      <c r="L1077" s="69">
        <v>45240.0</v>
      </c>
      <c r="M1077" s="33">
        <v>18913.07</v>
      </c>
      <c r="N1077" s="34">
        <v>20250.0</v>
      </c>
      <c r="O1077" s="27" t="s">
        <v>76</v>
      </c>
      <c r="P1077" s="35" t="s">
        <v>430</v>
      </c>
      <c r="Q1077" s="35">
        <v>0.0</v>
      </c>
      <c r="R1077" s="36">
        <v>45220.0</v>
      </c>
      <c r="S1077" s="35" t="s">
        <v>66</v>
      </c>
      <c r="T1077" s="35">
        <v>0.0</v>
      </c>
      <c r="U1077" s="37" t="s">
        <v>68</v>
      </c>
      <c r="V1077" s="38">
        <v>900000.0</v>
      </c>
      <c r="W1077" s="78">
        <v>1005390.0</v>
      </c>
      <c r="X1077" s="27">
        <v>2020.0</v>
      </c>
      <c r="Y1077" s="79" t="s">
        <v>2641</v>
      </c>
      <c r="Z1077" s="39">
        <v>2008.0</v>
      </c>
      <c r="AA1077" s="39"/>
      <c r="AB1077" s="27"/>
      <c r="AC1077" s="27">
        <f t="shared" si="619"/>
        <v>0</v>
      </c>
      <c r="AD1077" s="41">
        <f>IF(AND(S1077="0",O1077="Paid"),(M1077*15%)-AC1077,0)</f>
        <v>0</v>
      </c>
      <c r="AE1077" s="42"/>
      <c r="AF1077" s="27"/>
      <c r="AG1077" s="43">
        <f>IF(O1077="Paid",IF(A1077="Wethaq",(M1077*28%)-((M1077*28%)*5%),IF((A1077="GIG"),(M1077*25%)-((M1077*25%)*5%),IF((A1077="Allianz"),(M1077*27%)-((M1077*27%)*5%),0))),0)</f>
        <v>5030.87662</v>
      </c>
      <c r="AH1077" s="29"/>
      <c r="AI1077" s="29" t="s">
        <v>926</v>
      </c>
      <c r="AJ1077" s="55">
        <v>0.28</v>
      </c>
      <c r="AK1077" s="29" t="s">
        <v>3412</v>
      </c>
      <c r="AL1077" s="27"/>
      <c r="AM1077" s="140">
        <f>AU1077*30%</f>
        <v>1231.240857</v>
      </c>
      <c r="AN1077" s="71">
        <v>45654.0</v>
      </c>
      <c r="AO1077" s="46"/>
      <c r="AP1077" s="47"/>
      <c r="AQ1077" s="43">
        <f t="shared" si="866"/>
        <v>5295.6596</v>
      </c>
      <c r="AR1077" s="43">
        <f t="shared" si="448"/>
        <v>264.78298</v>
      </c>
      <c r="AS1077" s="43">
        <f t="shared" si="449"/>
        <v>926.74043</v>
      </c>
      <c r="AT1077" s="48">
        <f t="shared" si="753"/>
        <v>4104.13619</v>
      </c>
      <c r="AU1077" s="49">
        <f t="shared" ref="AU1077:AU1088" si="869">AQ1077-AR1077-AS1077-AC1077-AO1077</f>
        <v>4104.13619</v>
      </c>
      <c r="AV1077" s="48"/>
      <c r="AW1077" s="34">
        <f t="shared" si="840"/>
        <v>20250</v>
      </c>
      <c r="AX1077" s="50">
        <f t="shared" si="811"/>
        <v>2872.895333</v>
      </c>
      <c r="AY1077" s="43"/>
      <c r="AZ1077" s="47"/>
      <c r="BA1077" s="48">
        <f t="shared" si="801"/>
        <v>2872.895333</v>
      </c>
      <c r="BB1077" s="27"/>
      <c r="BC1077" s="27"/>
      <c r="BD1077" s="51"/>
      <c r="BE1077" s="52"/>
      <c r="BF1077" s="27"/>
      <c r="BG1077" s="53">
        <v>0.0</v>
      </c>
      <c r="BH1077" s="53" t="str">
        <f t="shared" ref="BH1077:BH1078" si="870">'[1]2023'!Q1377</f>
        <v>#REF!</v>
      </c>
      <c r="BI1077" s="27"/>
      <c r="BJ1077" s="27"/>
      <c r="BK1077" s="27" t="s">
        <v>76</v>
      </c>
      <c r="BL1077" s="27"/>
    </row>
    <row r="1078" ht="14.25" customHeight="1">
      <c r="A1078" s="26" t="s">
        <v>68</v>
      </c>
      <c r="B1078" s="26" t="s">
        <v>56</v>
      </c>
      <c r="C1078" s="26" t="s">
        <v>57</v>
      </c>
      <c r="D1078" s="26" t="s">
        <v>71</v>
      </c>
      <c r="E1078" s="27" t="s">
        <v>3525</v>
      </c>
      <c r="F1078" s="28" t="s">
        <v>3526</v>
      </c>
      <c r="G1078" s="29">
        <v>45201.0</v>
      </c>
      <c r="H1078" s="30">
        <v>45201.0</v>
      </c>
      <c r="I1078" s="30">
        <v>45566.0</v>
      </c>
      <c r="J1078" s="31" t="s">
        <v>3527</v>
      </c>
      <c r="K1078" s="26" t="s">
        <v>931</v>
      </c>
      <c r="L1078" s="69">
        <v>45270.0</v>
      </c>
      <c r="M1078" s="33">
        <v>28004.8</v>
      </c>
      <c r="N1078" s="34">
        <v>30000.0</v>
      </c>
      <c r="O1078" s="27" t="s">
        <v>76</v>
      </c>
      <c r="P1078" s="35" t="s">
        <v>162</v>
      </c>
      <c r="Q1078" s="35">
        <v>0.0</v>
      </c>
      <c r="R1078" s="36">
        <v>45220.0</v>
      </c>
      <c r="S1078" s="35" t="s">
        <v>78</v>
      </c>
      <c r="T1078" s="54" t="s">
        <v>163</v>
      </c>
      <c r="U1078" s="37" t="s">
        <v>68</v>
      </c>
      <c r="V1078" s="38">
        <v>1500000.0</v>
      </c>
      <c r="W1078" s="78">
        <v>2893.0</v>
      </c>
      <c r="X1078" s="27">
        <v>2021.0</v>
      </c>
      <c r="Y1078" s="79" t="s">
        <v>2641</v>
      </c>
      <c r="Z1078" s="39">
        <v>3008.0</v>
      </c>
      <c r="AA1078" s="39"/>
      <c r="AB1078" s="27"/>
      <c r="AC1078" s="27">
        <f t="shared" si="619"/>
        <v>0</v>
      </c>
      <c r="AD1078" s="41"/>
      <c r="AE1078" s="42"/>
      <c r="AF1078" s="27"/>
      <c r="AG1078" s="50">
        <f>M1078*28%-((M1078*28%)*5%)</f>
        <v>7449.2768</v>
      </c>
      <c r="AH1078" s="29"/>
      <c r="AI1078" s="29" t="s">
        <v>926</v>
      </c>
      <c r="AJ1078" s="55">
        <v>0.28</v>
      </c>
      <c r="AK1078" s="29" t="s">
        <v>3412</v>
      </c>
      <c r="AL1078" s="27"/>
      <c r="AM1078" s="44"/>
      <c r="AN1078" s="68"/>
      <c r="AO1078" s="46">
        <f>M1078*15%</f>
        <v>4200.72</v>
      </c>
      <c r="AP1078" s="57">
        <v>45148.0</v>
      </c>
      <c r="AQ1078" s="43">
        <f t="shared" si="866"/>
        <v>7841.344</v>
      </c>
      <c r="AR1078" s="43">
        <f t="shared" si="448"/>
        <v>392.0672</v>
      </c>
      <c r="AS1078" s="43">
        <f t="shared" si="449"/>
        <v>1372.2352</v>
      </c>
      <c r="AT1078" s="48">
        <f t="shared" si="753"/>
        <v>6077.0416</v>
      </c>
      <c r="AU1078" s="49">
        <f t="shared" si="869"/>
        <v>1876.3216</v>
      </c>
      <c r="AV1078" s="48"/>
      <c r="AW1078" s="34">
        <f t="shared" si="840"/>
        <v>30000</v>
      </c>
      <c r="AX1078" s="50">
        <f t="shared" si="811"/>
        <v>1876.3216</v>
      </c>
      <c r="AY1078" s="43"/>
      <c r="AZ1078" s="47"/>
      <c r="BA1078" s="48">
        <f t="shared" si="801"/>
        <v>-2324.3984</v>
      </c>
      <c r="BB1078" s="27"/>
      <c r="BC1078" s="27"/>
      <c r="BD1078" s="51"/>
      <c r="BE1078" s="52"/>
      <c r="BF1078" s="27"/>
      <c r="BG1078" s="53">
        <v>0.0</v>
      </c>
      <c r="BH1078" s="53" t="str">
        <f t="shared" si="870"/>
        <v>#REF!</v>
      </c>
      <c r="BI1078" s="27"/>
      <c r="BJ1078" s="27"/>
      <c r="BK1078" s="27" t="s">
        <v>76</v>
      </c>
      <c r="BL1078" s="27"/>
    </row>
    <row r="1079" ht="14.25" customHeight="1">
      <c r="A1079" s="26" t="s">
        <v>55</v>
      </c>
      <c r="B1079" s="26" t="s">
        <v>56</v>
      </c>
      <c r="C1079" s="26" t="s">
        <v>57</v>
      </c>
      <c r="D1079" s="26" t="s">
        <v>71</v>
      </c>
      <c r="E1079" s="27" t="s">
        <v>3528</v>
      </c>
      <c r="F1079" s="28" t="s">
        <v>3529</v>
      </c>
      <c r="G1079" s="29">
        <v>45201.0</v>
      </c>
      <c r="H1079" s="30">
        <v>45201.0</v>
      </c>
      <c r="I1079" s="30">
        <v>45566.0</v>
      </c>
      <c r="J1079" s="31" t="s">
        <v>3530</v>
      </c>
      <c r="K1079" s="26" t="s">
        <v>931</v>
      </c>
      <c r="L1079" s="69">
        <v>45270.0</v>
      </c>
      <c r="M1079" s="33">
        <v>71261.4</v>
      </c>
      <c r="N1079" s="34">
        <v>75963.13</v>
      </c>
      <c r="O1079" s="27" t="s">
        <v>76</v>
      </c>
      <c r="P1079" s="35" t="s">
        <v>430</v>
      </c>
      <c r="Q1079" s="35" t="s">
        <v>65</v>
      </c>
      <c r="R1079" s="36">
        <v>45201.0</v>
      </c>
      <c r="S1079" s="35" t="s">
        <v>66</v>
      </c>
      <c r="T1079" s="35">
        <v>0.0</v>
      </c>
      <c r="U1079" s="37" t="s">
        <v>157</v>
      </c>
      <c r="V1079" s="38">
        <v>2100000.0</v>
      </c>
      <c r="W1079" s="78" t="s">
        <v>3531</v>
      </c>
      <c r="X1079" s="27">
        <v>2023.0</v>
      </c>
      <c r="Y1079" s="79" t="s">
        <v>3532</v>
      </c>
      <c r="Z1079" s="79" t="s">
        <v>3533</v>
      </c>
      <c r="AA1079" s="39">
        <v>3.6656961E7</v>
      </c>
      <c r="AB1079" s="27"/>
      <c r="AC1079" s="27">
        <f t="shared" si="619"/>
        <v>0</v>
      </c>
      <c r="AD1079" s="41"/>
      <c r="AE1079" s="42"/>
      <c r="AF1079" s="27"/>
      <c r="AG1079" s="43">
        <f>IF(O1079="Paid",IF(A1079="Wethaq",(M1079*28%)-((M1079*28%)*5%),IF((A1079="GIG"),(M1079*25%)-((M1079*25%)*5%),IF((A1079="Allianz"),(M1079*27%)-((M1079*27%)*5%),0))),0)</f>
        <v>18278.5491</v>
      </c>
      <c r="AH1079" s="29"/>
      <c r="AI1079" s="29"/>
      <c r="AJ1079" s="29"/>
      <c r="AK1079" s="29"/>
      <c r="AL1079" s="27"/>
      <c r="AM1079" s="140">
        <f>AU1079*30%</f>
        <v>3645.02061</v>
      </c>
      <c r="AN1079" s="71">
        <v>45654.0</v>
      </c>
      <c r="AO1079" s="46"/>
      <c r="AP1079" s="47"/>
      <c r="AQ1079" s="43">
        <f t="shared" si="866"/>
        <v>15677.508</v>
      </c>
      <c r="AR1079" s="43">
        <f t="shared" si="448"/>
        <v>783.8754</v>
      </c>
      <c r="AS1079" s="43">
        <f t="shared" si="449"/>
        <v>2743.5639</v>
      </c>
      <c r="AT1079" s="48">
        <f t="shared" si="753"/>
        <v>12150.0687</v>
      </c>
      <c r="AU1079" s="49">
        <f t="shared" si="869"/>
        <v>12150.0687</v>
      </c>
      <c r="AV1079" s="48"/>
      <c r="AW1079" s="34">
        <f t="shared" si="840"/>
        <v>75963.13</v>
      </c>
      <c r="AX1079" s="50">
        <f t="shared" si="811"/>
        <v>11889.96459</v>
      </c>
      <c r="AY1079" s="43"/>
      <c r="AZ1079" s="47"/>
      <c r="BA1079" s="48">
        <f t="shared" si="801"/>
        <v>8505.04809</v>
      </c>
      <c r="BB1079" s="27"/>
      <c r="BC1079" s="27"/>
      <c r="BD1079" s="51"/>
      <c r="BE1079" s="52"/>
      <c r="BF1079" s="27"/>
      <c r="BG1079" s="53">
        <v>0.0</v>
      </c>
      <c r="BH1079" s="53" t="str">
        <f>'[1]2023'!Q1415</f>
        <v>#REF!</v>
      </c>
      <c r="BI1079" s="27"/>
      <c r="BJ1079" s="27"/>
      <c r="BK1079" s="27" t="s">
        <v>76</v>
      </c>
      <c r="BL1079" s="27"/>
    </row>
    <row r="1080" ht="14.25" customHeight="1">
      <c r="A1080" s="26" t="s">
        <v>55</v>
      </c>
      <c r="B1080" s="26" t="s">
        <v>56</v>
      </c>
      <c r="C1080" s="26" t="s">
        <v>57</v>
      </c>
      <c r="D1080" s="26" t="s">
        <v>58</v>
      </c>
      <c r="E1080" s="27" t="s">
        <v>3534</v>
      </c>
      <c r="F1080" s="28" t="s">
        <v>3535</v>
      </c>
      <c r="G1080" s="29">
        <v>45201.0</v>
      </c>
      <c r="H1080" s="30">
        <v>45201.0</v>
      </c>
      <c r="I1080" s="30">
        <v>45566.0</v>
      </c>
      <c r="J1080" s="31">
        <v>0.0</v>
      </c>
      <c r="K1080" s="26" t="s">
        <v>931</v>
      </c>
      <c r="L1080" s="69">
        <v>44995.0</v>
      </c>
      <c r="M1080" s="33">
        <v>723.22</v>
      </c>
      <c r="N1080" s="34">
        <v>765.89</v>
      </c>
      <c r="O1080" s="27" t="s">
        <v>76</v>
      </c>
      <c r="P1080" s="35">
        <v>0.0</v>
      </c>
      <c r="Q1080" s="35" t="s">
        <v>90</v>
      </c>
      <c r="R1080" s="36">
        <v>45201.0</v>
      </c>
      <c r="S1080" s="35" t="s">
        <v>66</v>
      </c>
      <c r="T1080" s="35">
        <v>0.0</v>
      </c>
      <c r="U1080" s="37" t="s">
        <v>58</v>
      </c>
      <c r="V1080" s="38"/>
      <c r="W1080" s="78"/>
      <c r="X1080" s="27"/>
      <c r="Y1080" s="39"/>
      <c r="Z1080" s="39"/>
      <c r="AA1080" s="39"/>
      <c r="AB1080" s="27"/>
      <c r="AC1080" s="27">
        <f t="shared" si="619"/>
        <v>0</v>
      </c>
      <c r="AD1080" s="41">
        <f t="shared" ref="AD1080:AD1084" si="871">IF(AND(S1080="0",O1080="Paid"),(M1080*15%)-AC1080,0)</f>
        <v>0</v>
      </c>
      <c r="AE1080" s="42"/>
      <c r="AF1080" s="27"/>
      <c r="AG1080" s="43">
        <f t="shared" ref="AG1080:AG1082" si="872">IF(O1080="Paid",IF(A1080="Alwataniya",(M1080*21%)-((M1080*21%)*5%),IF((A1080="GIG"),(M1080*25%)-((M1080*25%)*5%),IF((A1080="Allianz"),(M1080*27%)-((M1080*27%)*5%),0))),0)</f>
        <v>185.50593</v>
      </c>
      <c r="AH1080" s="29"/>
      <c r="AI1080" s="29"/>
      <c r="AJ1080" s="29"/>
      <c r="AK1080" s="29"/>
      <c r="AL1080" s="27"/>
      <c r="AM1080" s="44"/>
      <c r="AN1080" s="68"/>
      <c r="AO1080" s="46"/>
      <c r="AP1080" s="47"/>
      <c r="AQ1080" s="43">
        <f t="shared" ref="AQ1080:AQ1083" si="873">IF(O1080="Paid",IF(U1080="Motor Plus",(M1080*27%),IF(U1080="Motor One",(M1080*22%),(IF(U1080="Golden",(M1080*25%),(IF(U1080="Classic",(M1080*15%),(IF(U1080="Wethaq",(M1080*28%),IF(U1080="Alwataniya",(M1080*21%))*0)))))))))</f>
        <v>0</v>
      </c>
      <c r="AR1080" s="43">
        <f t="shared" si="448"/>
        <v>0</v>
      </c>
      <c r="AS1080" s="43">
        <f t="shared" si="449"/>
        <v>0</v>
      </c>
      <c r="AT1080" s="48">
        <f t="shared" si="753"/>
        <v>0</v>
      </c>
      <c r="AU1080" s="49">
        <f t="shared" si="869"/>
        <v>0</v>
      </c>
      <c r="AV1080" s="48"/>
      <c r="AW1080" s="34">
        <f t="shared" si="840"/>
        <v>765.89</v>
      </c>
      <c r="AX1080" s="50">
        <f t="shared" si="811"/>
        <v>185.50593</v>
      </c>
      <c r="AY1080" s="43"/>
      <c r="AZ1080" s="47"/>
      <c r="BA1080" s="48">
        <f t="shared" si="801"/>
        <v>0</v>
      </c>
      <c r="BB1080" s="27"/>
      <c r="BC1080" s="27"/>
      <c r="BD1080" s="51"/>
      <c r="BE1080" s="52"/>
      <c r="BF1080" s="27"/>
      <c r="BG1080" s="53">
        <v>0.0</v>
      </c>
      <c r="BH1080" s="53" t="str">
        <f>'[1]2023'!Q1524</f>
        <v>#REF!</v>
      </c>
      <c r="BI1080" s="27"/>
      <c r="BJ1080" s="27"/>
      <c r="BK1080" s="27" t="s">
        <v>76</v>
      </c>
      <c r="BL1080" s="27"/>
    </row>
    <row r="1081" ht="14.25" customHeight="1">
      <c r="A1081" s="26" t="s">
        <v>55</v>
      </c>
      <c r="B1081" s="26" t="s">
        <v>3536</v>
      </c>
      <c r="C1081" s="26" t="s">
        <v>70</v>
      </c>
      <c r="D1081" s="26" t="s">
        <v>71</v>
      </c>
      <c r="E1081" s="27" t="s">
        <v>3537</v>
      </c>
      <c r="F1081" s="28" t="s">
        <v>3538</v>
      </c>
      <c r="G1081" s="29">
        <v>45201.0</v>
      </c>
      <c r="H1081" s="30">
        <v>45201.0</v>
      </c>
      <c r="I1081" s="30">
        <v>45566.0</v>
      </c>
      <c r="J1081" s="31">
        <v>0.0</v>
      </c>
      <c r="K1081" s="26" t="s">
        <v>931</v>
      </c>
      <c r="L1081" s="32" t="s">
        <v>3168</v>
      </c>
      <c r="M1081" s="33">
        <v>2000.0</v>
      </c>
      <c r="N1081" s="34">
        <v>2200.0</v>
      </c>
      <c r="O1081" s="27" t="s">
        <v>76</v>
      </c>
      <c r="P1081" s="35">
        <v>0.0</v>
      </c>
      <c r="Q1081" s="35">
        <v>0.0</v>
      </c>
      <c r="R1081" s="36">
        <v>45201.0</v>
      </c>
      <c r="S1081" s="35" t="s">
        <v>78</v>
      </c>
      <c r="T1081" s="35">
        <v>0.0</v>
      </c>
      <c r="U1081" s="37">
        <v>0.0</v>
      </c>
      <c r="V1081" s="38"/>
      <c r="W1081" s="78"/>
      <c r="X1081" s="27"/>
      <c r="Y1081" s="39"/>
      <c r="Z1081" s="39"/>
      <c r="AA1081" s="39"/>
      <c r="AB1081" s="27"/>
      <c r="AC1081" s="27">
        <f t="shared" si="619"/>
        <v>0</v>
      </c>
      <c r="AD1081" s="41">
        <f t="shared" si="871"/>
        <v>0</v>
      </c>
      <c r="AE1081" s="42"/>
      <c r="AF1081" s="27"/>
      <c r="AG1081" s="43">
        <f t="shared" si="872"/>
        <v>513</v>
      </c>
      <c r="AH1081" s="29"/>
      <c r="AI1081" s="29"/>
      <c r="AJ1081" s="29"/>
      <c r="AK1081" s="29"/>
      <c r="AL1081" s="27"/>
      <c r="AM1081" s="44"/>
      <c r="AN1081" s="47"/>
      <c r="AO1081" s="46"/>
      <c r="AP1081" s="47"/>
      <c r="AQ1081" s="43">
        <f t="shared" si="873"/>
        <v>0</v>
      </c>
      <c r="AR1081" s="43">
        <f t="shared" si="448"/>
        <v>0</v>
      </c>
      <c r="AS1081" s="43">
        <f t="shared" si="449"/>
        <v>0</v>
      </c>
      <c r="AT1081" s="48">
        <f t="shared" si="753"/>
        <v>0</v>
      </c>
      <c r="AU1081" s="49">
        <f t="shared" si="869"/>
        <v>0</v>
      </c>
      <c r="AV1081" s="48"/>
      <c r="AW1081" s="34">
        <f t="shared" si="840"/>
        <v>2200</v>
      </c>
      <c r="AX1081" s="50">
        <f t="shared" si="811"/>
        <v>513</v>
      </c>
      <c r="AY1081" s="43"/>
      <c r="AZ1081" s="47"/>
      <c r="BA1081" s="48">
        <f t="shared" si="801"/>
        <v>0</v>
      </c>
      <c r="BB1081" s="27"/>
      <c r="BC1081" s="27"/>
      <c r="BD1081" s="51"/>
      <c r="BE1081" s="52"/>
      <c r="BF1081" s="27"/>
      <c r="BG1081" s="53">
        <v>0.0</v>
      </c>
      <c r="BH1081" s="53" t="str">
        <f t="shared" ref="BH1081:BH1082" si="874">'[1]2023'!Q1532</f>
        <v>#REF!</v>
      </c>
      <c r="BI1081" s="27"/>
      <c r="BJ1081" s="27"/>
      <c r="BK1081" s="27" t="s">
        <v>76</v>
      </c>
      <c r="BL1081" s="27"/>
    </row>
    <row r="1082" ht="14.25" customHeight="1">
      <c r="A1082" s="26" t="s">
        <v>55</v>
      </c>
      <c r="B1082" s="26" t="s">
        <v>3536</v>
      </c>
      <c r="C1082" s="26" t="s">
        <v>70</v>
      </c>
      <c r="D1082" s="26" t="s">
        <v>71</v>
      </c>
      <c r="E1082" s="27" t="s">
        <v>3539</v>
      </c>
      <c r="F1082" s="28" t="s">
        <v>3538</v>
      </c>
      <c r="G1082" s="29">
        <v>45201.0</v>
      </c>
      <c r="H1082" s="30">
        <v>45201.0</v>
      </c>
      <c r="I1082" s="30">
        <v>45566.0</v>
      </c>
      <c r="J1082" s="31">
        <v>0.0</v>
      </c>
      <c r="K1082" s="26" t="s">
        <v>931</v>
      </c>
      <c r="L1082" s="32" t="s">
        <v>3168</v>
      </c>
      <c r="M1082" s="33">
        <v>2000.0</v>
      </c>
      <c r="N1082" s="34">
        <v>2200.0</v>
      </c>
      <c r="O1082" s="27" t="s">
        <v>76</v>
      </c>
      <c r="P1082" s="35">
        <v>0.0</v>
      </c>
      <c r="Q1082" s="35">
        <v>0.0</v>
      </c>
      <c r="R1082" s="36">
        <v>45201.0</v>
      </c>
      <c r="S1082" s="35" t="s">
        <v>78</v>
      </c>
      <c r="T1082" s="35">
        <v>0.0</v>
      </c>
      <c r="U1082" s="37">
        <v>0.0</v>
      </c>
      <c r="V1082" s="38"/>
      <c r="W1082" s="78"/>
      <c r="X1082" s="27"/>
      <c r="Y1082" s="39"/>
      <c r="Z1082" s="39"/>
      <c r="AA1082" s="39"/>
      <c r="AB1082" s="27"/>
      <c r="AC1082" s="27">
        <f t="shared" si="619"/>
        <v>0</v>
      </c>
      <c r="AD1082" s="41">
        <f t="shared" si="871"/>
        <v>0</v>
      </c>
      <c r="AE1082" s="42"/>
      <c r="AF1082" s="27"/>
      <c r="AG1082" s="43">
        <f t="shared" si="872"/>
        <v>513</v>
      </c>
      <c r="AH1082" s="29"/>
      <c r="AI1082" s="29"/>
      <c r="AJ1082" s="29"/>
      <c r="AK1082" s="29"/>
      <c r="AL1082" s="27"/>
      <c r="AM1082" s="27"/>
      <c r="AN1082" s="47"/>
      <c r="AO1082" s="46"/>
      <c r="AP1082" s="47"/>
      <c r="AQ1082" s="43">
        <f t="shared" si="873"/>
        <v>0</v>
      </c>
      <c r="AR1082" s="43">
        <f t="shared" si="448"/>
        <v>0</v>
      </c>
      <c r="AS1082" s="43">
        <f t="shared" si="449"/>
        <v>0</v>
      </c>
      <c r="AT1082" s="48">
        <f t="shared" si="753"/>
        <v>0</v>
      </c>
      <c r="AU1082" s="49">
        <f t="shared" si="869"/>
        <v>0</v>
      </c>
      <c r="AV1082" s="48"/>
      <c r="AW1082" s="34">
        <f t="shared" si="840"/>
        <v>2200</v>
      </c>
      <c r="AX1082" s="50">
        <f t="shared" si="811"/>
        <v>513</v>
      </c>
      <c r="AY1082" s="43"/>
      <c r="AZ1082" s="47"/>
      <c r="BA1082" s="48">
        <f t="shared" si="801"/>
        <v>0</v>
      </c>
      <c r="BB1082" s="27"/>
      <c r="BC1082" s="27"/>
      <c r="BD1082" s="51"/>
      <c r="BE1082" s="52"/>
      <c r="BF1082" s="27"/>
      <c r="BG1082" s="53">
        <v>0.0</v>
      </c>
      <c r="BH1082" s="53" t="str">
        <f t="shared" si="874"/>
        <v>#REF!</v>
      </c>
      <c r="BI1082" s="27"/>
      <c r="BJ1082" s="27"/>
      <c r="BK1082" s="27" t="s">
        <v>76</v>
      </c>
      <c r="BL1082" s="27"/>
    </row>
    <row r="1083" ht="14.25" customHeight="1">
      <c r="A1083" s="26" t="s">
        <v>55</v>
      </c>
      <c r="B1083" s="26" t="s">
        <v>56</v>
      </c>
      <c r="C1083" s="26" t="s">
        <v>57</v>
      </c>
      <c r="D1083" s="26" t="s">
        <v>58</v>
      </c>
      <c r="E1083" s="27" t="s">
        <v>3540</v>
      </c>
      <c r="F1083" s="28" t="s">
        <v>1420</v>
      </c>
      <c r="G1083" s="29">
        <v>45201.0</v>
      </c>
      <c r="H1083" s="30">
        <v>45201.0</v>
      </c>
      <c r="I1083" s="30">
        <v>45566.0</v>
      </c>
      <c r="J1083" s="31" t="s">
        <v>86</v>
      </c>
      <c r="K1083" s="26" t="s">
        <v>3541</v>
      </c>
      <c r="L1083" s="89">
        <v>45202.0</v>
      </c>
      <c r="M1083" s="33">
        <v>2557.46</v>
      </c>
      <c r="N1083" s="34">
        <v>2708.34</v>
      </c>
      <c r="O1083" s="27" t="s">
        <v>76</v>
      </c>
      <c r="P1083" s="35" t="s">
        <v>122</v>
      </c>
      <c r="Q1083" s="35">
        <v>0.0</v>
      </c>
      <c r="R1083" s="36">
        <v>0.0</v>
      </c>
      <c r="S1083" s="35" t="s">
        <v>66</v>
      </c>
      <c r="T1083" s="35">
        <v>0.0</v>
      </c>
      <c r="U1083" s="37">
        <v>0.0</v>
      </c>
      <c r="V1083" s="38"/>
      <c r="W1083" s="78"/>
      <c r="X1083" s="27"/>
      <c r="Y1083" s="39"/>
      <c r="Z1083" s="39"/>
      <c r="AA1083" s="39"/>
      <c r="AB1083" s="27"/>
      <c r="AC1083" s="27">
        <f t="shared" si="619"/>
        <v>0</v>
      </c>
      <c r="AD1083" s="41">
        <f t="shared" si="871"/>
        <v>0</v>
      </c>
      <c r="AE1083" s="42"/>
      <c r="AF1083" s="27"/>
      <c r="AG1083" s="43">
        <f>IF(O1083="Paid",IF(A1083="Wethaq",(M1083*28%)-((M1083*28%)*5%),IF((A1083="GIG"),(M1083*25%)-((M1083*25%)*5%),IF((A1083="Allianz"),(M1083*27%)-((M1083*27%)*20%),0))),0)</f>
        <v>552.41136</v>
      </c>
      <c r="AH1083" s="29"/>
      <c r="AI1083" s="29"/>
      <c r="AJ1083" s="29"/>
      <c r="AK1083" s="29"/>
      <c r="AL1083" s="27"/>
      <c r="AM1083" s="44"/>
      <c r="AN1083" s="68"/>
      <c r="AO1083" s="46"/>
      <c r="AP1083" s="47"/>
      <c r="AQ1083" s="43">
        <f t="shared" si="873"/>
        <v>0</v>
      </c>
      <c r="AR1083" s="43">
        <f t="shared" si="448"/>
        <v>0</v>
      </c>
      <c r="AS1083" s="43">
        <f t="shared" si="449"/>
        <v>0</v>
      </c>
      <c r="AT1083" s="48">
        <f t="shared" si="753"/>
        <v>0</v>
      </c>
      <c r="AU1083" s="49">
        <f t="shared" si="869"/>
        <v>0</v>
      </c>
      <c r="AV1083" s="48"/>
      <c r="AW1083" s="34">
        <f t="shared" si="840"/>
        <v>2708.34</v>
      </c>
      <c r="AX1083" s="50">
        <f t="shared" si="811"/>
        <v>552.41136</v>
      </c>
      <c r="AY1083" s="43"/>
      <c r="AZ1083" s="47"/>
      <c r="BA1083" s="48">
        <f t="shared" si="801"/>
        <v>0</v>
      </c>
      <c r="BB1083" s="27"/>
      <c r="BC1083" s="27"/>
      <c r="BD1083" s="51"/>
      <c r="BE1083" s="52"/>
      <c r="BF1083" s="27"/>
      <c r="BG1083" s="53">
        <v>0.0</v>
      </c>
      <c r="BH1083" s="53" t="str">
        <f>'[1]2023'!Q1695</f>
        <v>#REF!</v>
      </c>
      <c r="BI1083" s="27"/>
      <c r="BJ1083" s="27"/>
      <c r="BK1083" s="27" t="s">
        <v>1102</v>
      </c>
      <c r="BL1083" s="27"/>
    </row>
    <row r="1084" ht="14.25" customHeight="1">
      <c r="A1084" s="26" t="s">
        <v>55</v>
      </c>
      <c r="B1084" s="26" t="s">
        <v>56</v>
      </c>
      <c r="C1084" s="26" t="s">
        <v>57</v>
      </c>
      <c r="D1084" s="26" t="s">
        <v>81</v>
      </c>
      <c r="E1084" s="27" t="s">
        <v>3542</v>
      </c>
      <c r="F1084" s="28" t="s">
        <v>3543</v>
      </c>
      <c r="G1084" s="29">
        <v>45202.0</v>
      </c>
      <c r="H1084" s="30">
        <v>45202.0</v>
      </c>
      <c r="I1084" s="30">
        <v>45567.0</v>
      </c>
      <c r="J1084" s="31" t="s">
        <v>1716</v>
      </c>
      <c r="K1084" s="26" t="s">
        <v>931</v>
      </c>
      <c r="L1084" s="32" t="s">
        <v>2369</v>
      </c>
      <c r="M1084" s="33">
        <v>27877.5</v>
      </c>
      <c r="N1084" s="34">
        <v>29802.67</v>
      </c>
      <c r="O1084" s="27" t="s">
        <v>76</v>
      </c>
      <c r="P1084" s="35" t="s">
        <v>122</v>
      </c>
      <c r="Q1084" s="35" t="s">
        <v>85</v>
      </c>
      <c r="R1084" s="36">
        <v>45202.0</v>
      </c>
      <c r="S1084" s="35" t="s">
        <v>86</v>
      </c>
      <c r="T1084" s="35">
        <v>0.0</v>
      </c>
      <c r="U1084" s="37" t="s">
        <v>67</v>
      </c>
      <c r="V1084" s="38"/>
      <c r="W1084" s="38"/>
      <c r="X1084" s="27"/>
      <c r="Y1084" s="39"/>
      <c r="Z1084" s="39"/>
      <c r="AA1084" s="39"/>
      <c r="AB1084" s="27"/>
      <c r="AC1084" s="27">
        <f t="shared" si="619"/>
        <v>0</v>
      </c>
      <c r="AD1084" s="41">
        <f t="shared" si="871"/>
        <v>4181.625</v>
      </c>
      <c r="AE1084" s="42"/>
      <c r="AF1084" s="29">
        <v>45149.0</v>
      </c>
      <c r="AG1084" s="43">
        <f t="shared" ref="AG1084:AG1085" si="875">IF(O1084="Paid",IF(A1084="Alwataniya",(M1084*21%)-((M1084*21%)*5%),IF((A1084="GIG"),(M1084*25%)-((M1084*25%)*5%),IF((A1084="Allianz"),(M1084*27%)-((M1084*27%)*5%),0))),0)</f>
        <v>7150.57875</v>
      </c>
      <c r="AH1084" s="29"/>
      <c r="AI1084" s="29"/>
      <c r="AJ1084" s="29"/>
      <c r="AK1084" s="29"/>
      <c r="AL1084" s="27"/>
      <c r="AM1084" s="44"/>
      <c r="AN1084" s="47"/>
      <c r="AO1084" s="46"/>
      <c r="AP1084" s="47"/>
      <c r="AQ1084" s="43">
        <f t="shared" ref="AQ1084:AQ1087" si="876">IF(U1084="Motor Plus",(M1084*27%),IF(U1084="Motor One",(M1084*22%),(IF(U1084="Golden",(M1084*25%),(IF(U1084="Classic",(M1084*15%),(IF(U1084="Wethaq",(M1084*28%),IF(U1084="Alwataniya",(M1084*21%))*0))))))))</f>
        <v>7526.925</v>
      </c>
      <c r="AR1084" s="43">
        <f t="shared" si="448"/>
        <v>376.34625</v>
      </c>
      <c r="AS1084" s="43">
        <f t="shared" si="449"/>
        <v>1317.211875</v>
      </c>
      <c r="AT1084" s="48">
        <f t="shared" si="753"/>
        <v>5833.366875</v>
      </c>
      <c r="AU1084" s="49">
        <f t="shared" si="869"/>
        <v>5833.366875</v>
      </c>
      <c r="AV1084" s="48"/>
      <c r="AW1084" s="34">
        <f t="shared" si="840"/>
        <v>25621.045</v>
      </c>
      <c r="AX1084" s="50">
        <f t="shared" si="811"/>
        <v>1651.741875</v>
      </c>
      <c r="AY1084" s="43"/>
      <c r="AZ1084" s="47"/>
      <c r="BA1084" s="48">
        <f t="shared" si="801"/>
        <v>5833.366875</v>
      </c>
      <c r="BB1084" s="27"/>
      <c r="BC1084" s="27"/>
      <c r="BD1084" s="51"/>
      <c r="BE1084" s="52"/>
      <c r="BF1084" s="27"/>
      <c r="BG1084" s="53">
        <v>0.0</v>
      </c>
      <c r="BH1084" s="53" t="str">
        <f>'[1]2023'!Q1316</f>
        <v>#REF!</v>
      </c>
      <c r="BI1084" s="27"/>
      <c r="BJ1084" s="27"/>
      <c r="BK1084" s="27" t="s">
        <v>76</v>
      </c>
      <c r="BL1084" s="27"/>
    </row>
    <row r="1085" ht="14.25" customHeight="1">
      <c r="A1085" s="26" t="s">
        <v>55</v>
      </c>
      <c r="B1085" s="26" t="s">
        <v>56</v>
      </c>
      <c r="C1085" s="26" t="s">
        <v>57</v>
      </c>
      <c r="D1085" s="26" t="s">
        <v>81</v>
      </c>
      <c r="E1085" s="27" t="s">
        <v>3544</v>
      </c>
      <c r="F1085" s="28" t="s">
        <v>3545</v>
      </c>
      <c r="G1085" s="29">
        <v>45202.0</v>
      </c>
      <c r="H1085" s="30">
        <v>45202.0</v>
      </c>
      <c r="I1085" s="30">
        <v>45567.0</v>
      </c>
      <c r="J1085" s="31" t="s">
        <v>3546</v>
      </c>
      <c r="K1085" s="26" t="s">
        <v>931</v>
      </c>
      <c r="L1085" s="69">
        <v>44967.0</v>
      </c>
      <c r="M1085" s="33">
        <v>31200.0</v>
      </c>
      <c r="N1085" s="34">
        <v>33337.8</v>
      </c>
      <c r="O1085" s="27" t="s">
        <v>76</v>
      </c>
      <c r="P1085" s="35" t="s">
        <v>122</v>
      </c>
      <c r="Q1085" s="35" t="s">
        <v>65</v>
      </c>
      <c r="R1085" s="36">
        <v>45202.0</v>
      </c>
      <c r="S1085" s="35" t="s">
        <v>86</v>
      </c>
      <c r="T1085" s="35">
        <v>0.0</v>
      </c>
      <c r="U1085" s="37" t="s">
        <v>67</v>
      </c>
      <c r="V1085" s="38">
        <v>1200000.0</v>
      </c>
      <c r="W1085" s="78" t="s">
        <v>3547</v>
      </c>
      <c r="X1085" s="27">
        <v>2022.0</v>
      </c>
      <c r="Y1085" s="79" t="s">
        <v>3548</v>
      </c>
      <c r="Z1085" s="79" t="s">
        <v>436</v>
      </c>
      <c r="AA1085" s="39">
        <v>2799523.0</v>
      </c>
      <c r="AB1085" s="55">
        <v>0.05</v>
      </c>
      <c r="AC1085" s="34">
        <f t="shared" si="619"/>
        <v>1560</v>
      </c>
      <c r="AD1085" s="41"/>
      <c r="AE1085" s="42"/>
      <c r="AF1085" s="27"/>
      <c r="AG1085" s="43">
        <f t="shared" si="875"/>
        <v>8002.8</v>
      </c>
      <c r="AH1085" s="29"/>
      <c r="AI1085" s="29"/>
      <c r="AJ1085" s="29"/>
      <c r="AK1085" s="29"/>
      <c r="AL1085" s="27"/>
      <c r="AM1085" s="27"/>
      <c r="AN1085" s="47"/>
      <c r="AO1085" s="46"/>
      <c r="AP1085" s="47"/>
      <c r="AQ1085" s="43">
        <f t="shared" si="876"/>
        <v>8424</v>
      </c>
      <c r="AR1085" s="43">
        <f t="shared" si="448"/>
        <v>421.2</v>
      </c>
      <c r="AS1085" s="43">
        <f t="shared" si="449"/>
        <v>1474.2</v>
      </c>
      <c r="AT1085" s="48">
        <f t="shared" si="753"/>
        <v>6528.6</v>
      </c>
      <c r="AU1085" s="49">
        <f t="shared" si="869"/>
        <v>4968.6</v>
      </c>
      <c r="AV1085" s="48"/>
      <c r="AW1085" s="34">
        <f t="shared" si="840"/>
        <v>31777.8</v>
      </c>
      <c r="AX1085" s="50">
        <f t="shared" si="811"/>
        <v>6528.6</v>
      </c>
      <c r="AY1085" s="43"/>
      <c r="AZ1085" s="47"/>
      <c r="BA1085" s="48">
        <f t="shared" si="801"/>
        <v>4968.6</v>
      </c>
      <c r="BB1085" s="27"/>
      <c r="BC1085" s="27"/>
      <c r="BD1085" s="51"/>
      <c r="BE1085" s="52"/>
      <c r="BF1085" s="27"/>
      <c r="BG1085" s="53">
        <v>0.0</v>
      </c>
      <c r="BH1085" s="53" t="str">
        <f>'[1]2023'!Q1373</f>
        <v>#REF!</v>
      </c>
      <c r="BI1085" s="27"/>
      <c r="BJ1085" s="27"/>
      <c r="BK1085" s="27" t="s">
        <v>76</v>
      </c>
      <c r="BL1085" s="27"/>
    </row>
    <row r="1086" ht="14.25" customHeight="1">
      <c r="A1086" s="26" t="s">
        <v>111</v>
      </c>
      <c r="B1086" s="26" t="s">
        <v>56</v>
      </c>
      <c r="C1086" s="26" t="s">
        <v>57</v>
      </c>
      <c r="D1086" s="26" t="s">
        <v>71</v>
      </c>
      <c r="E1086" s="27" t="s">
        <v>3549</v>
      </c>
      <c r="F1086" s="28" t="s">
        <v>3550</v>
      </c>
      <c r="G1086" s="29">
        <v>45202.0</v>
      </c>
      <c r="H1086" s="30">
        <v>45202.0</v>
      </c>
      <c r="I1086" s="30">
        <v>45567.0</v>
      </c>
      <c r="J1086" s="31" t="s">
        <v>3551</v>
      </c>
      <c r="K1086" s="26" t="s">
        <v>931</v>
      </c>
      <c r="L1086" s="32" t="s">
        <v>75</v>
      </c>
      <c r="M1086" s="33">
        <v>10967.29</v>
      </c>
      <c r="N1086" s="34">
        <v>11925.0</v>
      </c>
      <c r="O1086" s="27" t="s">
        <v>76</v>
      </c>
      <c r="P1086" s="35" t="s">
        <v>89</v>
      </c>
      <c r="Q1086" s="35" t="s">
        <v>114</v>
      </c>
      <c r="R1086" s="36">
        <v>45211.0</v>
      </c>
      <c r="S1086" s="35" t="s">
        <v>1103</v>
      </c>
      <c r="T1086" s="54" t="s">
        <v>3421</v>
      </c>
      <c r="U1086" s="37" t="s">
        <v>149</v>
      </c>
      <c r="V1086" s="38">
        <v>450000.0</v>
      </c>
      <c r="W1086" s="78">
        <v>508742.0</v>
      </c>
      <c r="X1086" s="27">
        <v>2017.0</v>
      </c>
      <c r="Y1086" s="39">
        <v>301.0</v>
      </c>
      <c r="Z1086" s="79" t="s">
        <v>2641</v>
      </c>
      <c r="AA1086" s="39"/>
      <c r="AB1086" s="27"/>
      <c r="AC1086" s="27">
        <f t="shared" si="619"/>
        <v>0</v>
      </c>
      <c r="AD1086" s="41"/>
      <c r="AE1086" s="42"/>
      <c r="AF1086" s="27"/>
      <c r="AG1086" s="43">
        <f>IF(O1086="Paid",IF(A1086="Alwataniya",(M1086*21%)-((M1086*21%)*5%),IF((A1086="GIG"),(M1086*15%)-((M1086*15%)*5%),IF((A1086="Allianz"),(M1086*27%)-((M1086*27%)*20%),0))),0)</f>
        <v>1562.838825</v>
      </c>
      <c r="AH1086" s="29">
        <v>45270.0</v>
      </c>
      <c r="AI1086" s="29" t="s">
        <v>3486</v>
      </c>
      <c r="AJ1086" s="29"/>
      <c r="AK1086" s="29" t="s">
        <v>3486</v>
      </c>
      <c r="AL1086" s="27"/>
      <c r="AM1086" s="202">
        <f>AU1086*30%</f>
        <v>119.2692788</v>
      </c>
      <c r="AN1086" s="71">
        <v>45654.0</v>
      </c>
      <c r="AO1086" s="46">
        <f>M1086*8%</f>
        <v>877.3832</v>
      </c>
      <c r="AP1086" s="57">
        <v>45057.0</v>
      </c>
      <c r="AQ1086" s="43">
        <f t="shared" si="876"/>
        <v>1645.0935</v>
      </c>
      <c r="AR1086" s="43">
        <f t="shared" si="448"/>
        <v>82.254675</v>
      </c>
      <c r="AS1086" s="43">
        <f t="shared" si="449"/>
        <v>287.8913625</v>
      </c>
      <c r="AT1086" s="48">
        <f t="shared" si="753"/>
        <v>1274.947463</v>
      </c>
      <c r="AU1086" s="49">
        <f t="shared" si="869"/>
        <v>397.5642625</v>
      </c>
      <c r="AV1086" s="106">
        <f>(AU1086-AM1086)*10%</f>
        <v>27.82949838</v>
      </c>
      <c r="AW1086" s="34">
        <f t="shared" si="840"/>
        <v>11925</v>
      </c>
      <c r="AX1086" s="50">
        <f t="shared" si="811"/>
        <v>250.4654854</v>
      </c>
      <c r="AY1086" s="43"/>
      <c r="AZ1086" s="47"/>
      <c r="BA1086" s="48">
        <f t="shared" si="801"/>
        <v>-599.0882163</v>
      </c>
      <c r="BB1086" s="27"/>
      <c r="BC1086" s="27"/>
      <c r="BD1086" s="51"/>
      <c r="BE1086" s="52"/>
      <c r="BF1086" s="27"/>
      <c r="BG1086" s="53">
        <v>0.0</v>
      </c>
      <c r="BH1086" s="53" t="str">
        <f>'[1]2023'!Q1384</f>
        <v>#REF!</v>
      </c>
      <c r="BI1086" s="27"/>
      <c r="BJ1086" s="27"/>
      <c r="BK1086" s="27" t="s">
        <v>76</v>
      </c>
      <c r="BL1086" s="27"/>
    </row>
    <row r="1087" ht="14.25" customHeight="1">
      <c r="A1087" s="26" t="s">
        <v>55</v>
      </c>
      <c r="B1087" s="26" t="s">
        <v>56</v>
      </c>
      <c r="C1087" s="26" t="s">
        <v>57</v>
      </c>
      <c r="D1087" s="26" t="s">
        <v>81</v>
      </c>
      <c r="E1087" s="27" t="s">
        <v>3552</v>
      </c>
      <c r="F1087" s="28" t="s">
        <v>3553</v>
      </c>
      <c r="G1087" s="29">
        <v>45202.0</v>
      </c>
      <c r="H1087" s="30">
        <v>45202.0</v>
      </c>
      <c r="I1087" s="30">
        <v>45567.0</v>
      </c>
      <c r="J1087" s="31" t="s">
        <v>3554</v>
      </c>
      <c r="K1087" s="26" t="s">
        <v>931</v>
      </c>
      <c r="L1087" s="32" t="s">
        <v>3555</v>
      </c>
      <c r="M1087" s="33">
        <v>23765.63</v>
      </c>
      <c r="N1087" s="34">
        <v>25427.63</v>
      </c>
      <c r="O1087" s="27" t="s">
        <v>76</v>
      </c>
      <c r="P1087" s="35" t="s">
        <v>122</v>
      </c>
      <c r="Q1087" s="35">
        <v>0.0</v>
      </c>
      <c r="R1087" s="36">
        <v>45202.0</v>
      </c>
      <c r="S1087" s="35" t="s">
        <v>86</v>
      </c>
      <c r="T1087" s="35">
        <v>0.0</v>
      </c>
      <c r="U1087" s="37" t="s">
        <v>67</v>
      </c>
      <c r="V1087" s="38">
        <v>975000.0</v>
      </c>
      <c r="W1087" s="78">
        <v>2405596.0</v>
      </c>
      <c r="X1087" s="27">
        <v>2019.0</v>
      </c>
      <c r="Y1087" s="79" t="s">
        <v>3556</v>
      </c>
      <c r="Z1087" s="39"/>
      <c r="AA1087" s="39"/>
      <c r="AB1087" s="27"/>
      <c r="AC1087" s="27">
        <f t="shared" si="619"/>
        <v>0</v>
      </c>
      <c r="AD1087" s="41">
        <f t="shared" ref="AD1087:AD1088" si="877">IF(AND(S1087="0",O1087="Paid"),(M1087*15%)-AC1087,0)</f>
        <v>3564.8445</v>
      </c>
      <c r="AE1087" s="42"/>
      <c r="AF1087" s="27"/>
      <c r="AG1087" s="43">
        <f>IF(O1087="Paid",IF(A1087="Alwataniya",(M1087*21%)-((M1087*21%)*5%),IF((A1087="GIG"),(M1087*25%)-((M1087*25%)*5%),IF((A1087="Allianz"),(M1087*27%)-((M1087*27%)*5%),0))),0)</f>
        <v>6095.884095</v>
      </c>
      <c r="AH1087" s="29"/>
      <c r="AI1087" s="29"/>
      <c r="AJ1087" s="29"/>
      <c r="AK1087" s="29"/>
      <c r="AL1087" s="27"/>
      <c r="AM1087" s="27"/>
      <c r="AN1087" s="47"/>
      <c r="AO1087" s="46"/>
      <c r="AP1087" s="47"/>
      <c r="AQ1087" s="43">
        <f t="shared" si="876"/>
        <v>6416.7201</v>
      </c>
      <c r="AR1087" s="43">
        <f t="shared" si="448"/>
        <v>320.836005</v>
      </c>
      <c r="AS1087" s="43">
        <f t="shared" si="449"/>
        <v>1122.926018</v>
      </c>
      <c r="AT1087" s="48">
        <f t="shared" si="753"/>
        <v>4972.958078</v>
      </c>
      <c r="AU1087" s="49">
        <f t="shared" si="869"/>
        <v>4972.958078</v>
      </c>
      <c r="AV1087" s="48"/>
      <c r="AW1087" s="34">
        <f t="shared" si="840"/>
        <v>21862.7855</v>
      </c>
      <c r="AX1087" s="50">
        <f t="shared" si="811"/>
        <v>1408.113578</v>
      </c>
      <c r="AY1087" s="43"/>
      <c r="AZ1087" s="47"/>
      <c r="BA1087" s="48">
        <f t="shared" si="801"/>
        <v>4972.958078</v>
      </c>
      <c r="BB1087" s="27"/>
      <c r="BC1087" s="27"/>
      <c r="BD1087" s="51"/>
      <c r="BE1087" s="52"/>
      <c r="BF1087" s="27"/>
      <c r="BG1087" s="53">
        <v>0.0</v>
      </c>
      <c r="BH1087" s="53" t="str">
        <f>'[1]2023'!Q1491</f>
        <v>#REF!</v>
      </c>
      <c r="BI1087" s="27"/>
      <c r="BJ1087" s="27"/>
      <c r="BK1087" s="27" t="s">
        <v>76</v>
      </c>
      <c r="BL1087" s="27"/>
    </row>
    <row r="1088" ht="14.25" customHeight="1">
      <c r="A1088" s="26" t="s">
        <v>55</v>
      </c>
      <c r="B1088" s="26" t="s">
        <v>56</v>
      </c>
      <c r="C1088" s="26" t="s">
        <v>57</v>
      </c>
      <c r="D1088" s="26" t="s">
        <v>58</v>
      </c>
      <c r="E1088" s="203" t="s">
        <v>3557</v>
      </c>
      <c r="F1088" s="28" t="s">
        <v>3558</v>
      </c>
      <c r="G1088" s="29">
        <v>45202.0</v>
      </c>
      <c r="H1088" s="30">
        <v>45202.0</v>
      </c>
      <c r="I1088" s="30">
        <v>45567.0</v>
      </c>
      <c r="J1088" s="31" t="s">
        <v>86</v>
      </c>
      <c r="K1088" s="26" t="s">
        <v>3541</v>
      </c>
      <c r="L1088" s="89">
        <v>45209.0</v>
      </c>
      <c r="M1088" s="33">
        <v>1642.32</v>
      </c>
      <c r="N1088" s="34">
        <v>1739.21</v>
      </c>
      <c r="O1088" s="27" t="s">
        <v>76</v>
      </c>
      <c r="P1088" s="35" t="s">
        <v>122</v>
      </c>
      <c r="Q1088" s="35">
        <v>0.0</v>
      </c>
      <c r="R1088" s="36">
        <v>0.0</v>
      </c>
      <c r="S1088" s="35" t="s">
        <v>66</v>
      </c>
      <c r="T1088" s="35">
        <v>0.0</v>
      </c>
      <c r="U1088" s="37">
        <v>0.0</v>
      </c>
      <c r="V1088" s="38"/>
      <c r="W1088" s="78"/>
      <c r="X1088" s="27"/>
      <c r="Y1088" s="39"/>
      <c r="Z1088" s="39"/>
      <c r="AA1088" s="39"/>
      <c r="AB1088" s="27"/>
      <c r="AC1088" s="27">
        <f t="shared" si="619"/>
        <v>0</v>
      </c>
      <c r="AD1088" s="41">
        <f t="shared" si="877"/>
        <v>0</v>
      </c>
      <c r="AE1088" s="42"/>
      <c r="AF1088" s="27"/>
      <c r="AG1088" s="43">
        <f>IF(O1088="Paid",IF(A1088="Wethaq",(M1088*28%)-((M1088*28%)*5%),IF((A1088="GIG"),(M1088*25%)-((M1088*25%)*5%),IF((A1088="Allianz"),(M1088*27%)-((M1088*27%)*20%),0))),0)</f>
        <v>354.74112</v>
      </c>
      <c r="AH1088" s="29"/>
      <c r="AI1088" s="29"/>
      <c r="AJ1088" s="29"/>
      <c r="AK1088" s="29"/>
      <c r="AL1088" s="27"/>
      <c r="AM1088" s="27"/>
      <c r="AN1088" s="47"/>
      <c r="AO1088" s="46"/>
      <c r="AP1088" s="47"/>
      <c r="AQ1088" s="43">
        <f>IF(O1088="Paid",IF(U1088="Motor Plus",(M1088*27%),IF(U1088="Motor One",(M1088*22%),(IF(U1088="Golden",(M1088*25%),(IF(U1088="Classic",(M1088*15%),(IF(U1088="Wethaq",(M1088*28%),IF(U1088="Alwataniya",(M1088*21%))*0)))))))))</f>
        <v>0</v>
      </c>
      <c r="AR1088" s="43">
        <f t="shared" si="448"/>
        <v>0</v>
      </c>
      <c r="AS1088" s="43">
        <f t="shared" si="449"/>
        <v>0</v>
      </c>
      <c r="AT1088" s="48">
        <f t="shared" si="753"/>
        <v>0</v>
      </c>
      <c r="AU1088" s="49">
        <f t="shared" si="869"/>
        <v>0</v>
      </c>
      <c r="AV1088" s="48"/>
      <c r="AW1088" s="34">
        <f t="shared" si="840"/>
        <v>1739.21</v>
      </c>
      <c r="AX1088" s="50">
        <f t="shared" si="811"/>
        <v>354.74112</v>
      </c>
      <c r="AY1088" s="43"/>
      <c r="AZ1088" s="47"/>
      <c r="BA1088" s="48">
        <f t="shared" si="801"/>
        <v>0</v>
      </c>
      <c r="BB1088" s="27"/>
      <c r="BC1088" s="27"/>
      <c r="BD1088" s="51"/>
      <c r="BE1088" s="52"/>
      <c r="BF1088" s="27"/>
      <c r="BG1088" s="53">
        <v>0.0</v>
      </c>
      <c r="BH1088" s="53" t="str">
        <f>'[1]2023'!Q1698</f>
        <v>#REF!</v>
      </c>
      <c r="BI1088" s="27"/>
      <c r="BJ1088" s="27"/>
      <c r="BK1088" s="27" t="s">
        <v>1102</v>
      </c>
      <c r="BL1088" s="27"/>
    </row>
    <row r="1089" ht="14.25" customHeight="1">
      <c r="A1089" s="26" t="s">
        <v>55</v>
      </c>
      <c r="B1089" s="26" t="s">
        <v>56</v>
      </c>
      <c r="C1089" s="26" t="s">
        <v>57</v>
      </c>
      <c r="D1089" s="26" t="s">
        <v>81</v>
      </c>
      <c r="E1089" s="27" t="s">
        <v>3559</v>
      </c>
      <c r="F1089" s="28" t="s">
        <v>3560</v>
      </c>
      <c r="G1089" s="29">
        <v>45203.0</v>
      </c>
      <c r="H1089" s="30">
        <v>45203.0</v>
      </c>
      <c r="I1089" s="30">
        <v>45568.0</v>
      </c>
      <c r="J1089" s="31" t="s">
        <v>3561</v>
      </c>
      <c r="K1089" s="26" t="s">
        <v>420</v>
      </c>
      <c r="L1089" s="32" t="s">
        <v>75</v>
      </c>
      <c r="M1089" s="33">
        <v>31104.0</v>
      </c>
      <c r="N1089" s="34">
        <v>33080.13</v>
      </c>
      <c r="O1089" s="27" t="s">
        <v>76</v>
      </c>
      <c r="P1089" s="35" t="s">
        <v>122</v>
      </c>
      <c r="Q1089" s="35" t="s">
        <v>90</v>
      </c>
      <c r="R1089" s="36">
        <v>45203.0</v>
      </c>
      <c r="S1089" s="35" t="s">
        <v>86</v>
      </c>
      <c r="T1089" s="35">
        <v>0.0</v>
      </c>
      <c r="U1089" s="37" t="s">
        <v>67</v>
      </c>
      <c r="V1089" s="38"/>
      <c r="W1089" s="38"/>
      <c r="X1089" s="27"/>
      <c r="Y1089" s="39"/>
      <c r="Z1089" s="39">
        <v>3008.0</v>
      </c>
      <c r="AA1089" s="39"/>
      <c r="AB1089" s="40"/>
      <c r="AC1089" s="27">
        <f t="shared" si="619"/>
        <v>0</v>
      </c>
      <c r="AD1089" s="41">
        <f t="shared" ref="AD1089:AD1090" si="878">IF(AND(S1089="0",O1089="Paid"),M1089*15%,0)</f>
        <v>4665.6</v>
      </c>
      <c r="AE1089" s="42"/>
      <c r="AF1089" s="27"/>
      <c r="AG1089" s="43">
        <f t="shared" ref="AG1089:AG1091" si="879">IF(O1089="Paid",IF(A1089="Alwataniya",(M1089*21%)-((M1089*21%)*5%),IF((A1089="GIG"),(M1089*25%)-((M1089*25%)*5%),IF((A1089="Allianz"),(M1089*27%)-((M1089*27%)*5%),0))),0)</f>
        <v>7978.176</v>
      </c>
      <c r="AH1089" s="29"/>
      <c r="AI1089" s="29"/>
      <c r="AJ1089" s="29"/>
      <c r="AK1089" s="29"/>
      <c r="AL1089" s="27"/>
      <c r="AM1089" s="27"/>
      <c r="AN1089" s="47"/>
      <c r="AO1089" s="46"/>
      <c r="AP1089" s="47"/>
      <c r="AQ1089" s="43">
        <f t="shared" ref="AQ1089:AQ1090" si="880">IF(U1089="Motor Plus",(M1089*27%),IF(U1089="Motor One",(M1089*22%),(IF(U1089="Golden",(M1089*25%),(IF(U1089="Classic",(M1089*15%),(IF(U1089="Wethaq",(M1089*28%),IF(U1089="Alwataniya",(M1089*21%))*0))))))))</f>
        <v>8398.08</v>
      </c>
      <c r="AR1089" s="43">
        <f t="shared" si="448"/>
        <v>419.904</v>
      </c>
      <c r="AS1089" s="43">
        <f t="shared" si="449"/>
        <v>1469.664</v>
      </c>
      <c r="AT1089" s="48">
        <f t="shared" si="753"/>
        <v>6508.512</v>
      </c>
      <c r="AU1089" s="49">
        <f t="shared" ref="AU1089:AU1095" si="881">AQ1089-AR1089-AS1089-AC1089</f>
        <v>6508.512</v>
      </c>
      <c r="AV1089" s="48"/>
      <c r="AW1089" s="34">
        <f t="shared" si="840"/>
        <v>28414.53</v>
      </c>
      <c r="AX1089" s="50">
        <f t="shared" si="811"/>
        <v>1842.912</v>
      </c>
      <c r="AY1089" s="43"/>
      <c r="AZ1089" s="27"/>
      <c r="BA1089" s="48">
        <f t="shared" si="801"/>
        <v>6508.512</v>
      </c>
      <c r="BB1089" s="27"/>
      <c r="BC1089" s="27"/>
      <c r="BD1089" s="51"/>
      <c r="BE1089" s="52"/>
      <c r="BF1089" s="27" t="s">
        <v>3559</v>
      </c>
      <c r="BG1089" s="58" t="s">
        <v>3562</v>
      </c>
      <c r="BH1089" s="53" t="str">
        <f>'[1]2023'!Q369</f>
        <v>#REF!</v>
      </c>
      <c r="BI1089" s="27"/>
      <c r="BJ1089" s="27"/>
      <c r="BK1089" s="27" t="s">
        <v>76</v>
      </c>
      <c r="BL1089" s="27"/>
    </row>
    <row r="1090" ht="14.25" customHeight="1">
      <c r="A1090" s="26" t="s">
        <v>55</v>
      </c>
      <c r="B1090" s="26" t="s">
        <v>56</v>
      </c>
      <c r="C1090" s="26" t="s">
        <v>57</v>
      </c>
      <c r="D1090" s="26" t="s">
        <v>81</v>
      </c>
      <c r="E1090" s="27" t="s">
        <v>3563</v>
      </c>
      <c r="F1090" s="28" t="s">
        <v>3564</v>
      </c>
      <c r="G1090" s="29">
        <v>45203.0</v>
      </c>
      <c r="H1090" s="30">
        <v>45203.0</v>
      </c>
      <c r="I1090" s="30">
        <v>45568.0</v>
      </c>
      <c r="J1090" s="31">
        <v>0.0</v>
      </c>
      <c r="K1090" s="26" t="s">
        <v>420</v>
      </c>
      <c r="L1090" s="32" t="s">
        <v>75</v>
      </c>
      <c r="M1090" s="33">
        <v>33040.0</v>
      </c>
      <c r="N1090" s="34">
        <v>35130.36</v>
      </c>
      <c r="O1090" s="27" t="s">
        <v>76</v>
      </c>
      <c r="P1090" s="35" t="s">
        <v>89</v>
      </c>
      <c r="Q1090" s="35" t="s">
        <v>90</v>
      </c>
      <c r="R1090" s="36">
        <v>45203.0</v>
      </c>
      <c r="S1090" s="35" t="s">
        <v>86</v>
      </c>
      <c r="T1090" s="35">
        <v>0.0</v>
      </c>
      <c r="U1090" s="37" t="s">
        <v>67</v>
      </c>
      <c r="V1090" s="38"/>
      <c r="W1090" s="38"/>
      <c r="X1090" s="27"/>
      <c r="Y1090" s="39"/>
      <c r="Z1090" s="39">
        <v>3008.0</v>
      </c>
      <c r="AA1090" s="39"/>
      <c r="AB1090" s="40"/>
      <c r="AC1090" s="27">
        <f t="shared" si="619"/>
        <v>0</v>
      </c>
      <c r="AD1090" s="41">
        <f t="shared" si="878"/>
        <v>4956</v>
      </c>
      <c r="AE1090" s="42"/>
      <c r="AF1090" s="27"/>
      <c r="AG1090" s="43">
        <f t="shared" si="879"/>
        <v>8474.76</v>
      </c>
      <c r="AH1090" s="29"/>
      <c r="AI1090" s="29"/>
      <c r="AJ1090" s="29"/>
      <c r="AK1090" s="29"/>
      <c r="AL1090" s="27"/>
      <c r="AM1090" s="44"/>
      <c r="AN1090" s="68"/>
      <c r="AO1090" s="46"/>
      <c r="AP1090" s="47"/>
      <c r="AQ1090" s="43">
        <f t="shared" si="880"/>
        <v>8920.8</v>
      </c>
      <c r="AR1090" s="43">
        <f t="shared" si="448"/>
        <v>446.04</v>
      </c>
      <c r="AS1090" s="43">
        <f t="shared" si="449"/>
        <v>1561.14</v>
      </c>
      <c r="AT1090" s="48">
        <f t="shared" si="753"/>
        <v>6913.62</v>
      </c>
      <c r="AU1090" s="49">
        <f t="shared" si="881"/>
        <v>6913.62</v>
      </c>
      <c r="AV1090" s="48"/>
      <c r="AW1090" s="34">
        <f t="shared" si="840"/>
        <v>30174.36</v>
      </c>
      <c r="AX1090" s="50">
        <f t="shared" si="811"/>
        <v>1957.62</v>
      </c>
      <c r="AY1090" s="43"/>
      <c r="AZ1090" s="27"/>
      <c r="BA1090" s="48">
        <f t="shared" si="801"/>
        <v>6913.62</v>
      </c>
      <c r="BB1090" s="27"/>
      <c r="BC1090" s="27"/>
      <c r="BD1090" s="51"/>
      <c r="BE1090" s="52"/>
      <c r="BF1090" s="204" t="s">
        <v>3563</v>
      </c>
      <c r="BG1090" s="58" t="s">
        <v>3565</v>
      </c>
      <c r="BH1090" s="53" t="str">
        <f>'[1]2023'!Q414</f>
        <v>#REF!</v>
      </c>
      <c r="BI1090" s="27"/>
      <c r="BJ1090" s="27"/>
      <c r="BK1090" s="27" t="s">
        <v>76</v>
      </c>
      <c r="BL1090" s="27"/>
    </row>
    <row r="1091" ht="14.25" customHeight="1">
      <c r="A1091" s="26" t="s">
        <v>55</v>
      </c>
      <c r="B1091" s="26" t="s">
        <v>56</v>
      </c>
      <c r="C1091" s="26" t="s">
        <v>57</v>
      </c>
      <c r="D1091" s="26" t="s">
        <v>81</v>
      </c>
      <c r="E1091" s="27" t="s">
        <v>3566</v>
      </c>
      <c r="F1091" s="26" t="s">
        <v>3567</v>
      </c>
      <c r="G1091" s="29">
        <v>45203.0</v>
      </c>
      <c r="H1091" s="30">
        <v>45203.0</v>
      </c>
      <c r="I1091" s="30">
        <v>45568.0</v>
      </c>
      <c r="J1091" s="31">
        <v>0.0</v>
      </c>
      <c r="K1091" s="26" t="s">
        <v>420</v>
      </c>
      <c r="L1091" s="32" t="s">
        <v>63</v>
      </c>
      <c r="M1091" s="33">
        <v>0.0</v>
      </c>
      <c r="N1091" s="34">
        <v>0.0</v>
      </c>
      <c r="O1091" s="27" t="s">
        <v>64</v>
      </c>
      <c r="P1091" s="35">
        <v>0.0</v>
      </c>
      <c r="Q1091" s="35" t="s">
        <v>65</v>
      </c>
      <c r="R1091" s="36">
        <v>45203.0</v>
      </c>
      <c r="S1091" s="35" t="s">
        <v>86</v>
      </c>
      <c r="T1091" s="35">
        <v>0.0</v>
      </c>
      <c r="U1091" s="37" t="s">
        <v>67</v>
      </c>
      <c r="V1091" s="38"/>
      <c r="W1091" s="38"/>
      <c r="X1091" s="27"/>
      <c r="Y1091" s="39"/>
      <c r="Z1091" s="39"/>
      <c r="AA1091" s="39"/>
      <c r="AB1091" s="40"/>
      <c r="AC1091" s="27">
        <f t="shared" si="619"/>
        <v>0</v>
      </c>
      <c r="AD1091" s="41">
        <f t="shared" ref="AD1091:AD1096" si="882">IF(AND(S1091="0",O1091="Paid"),(M1091*15%)-AC1091,0)</f>
        <v>0</v>
      </c>
      <c r="AE1091" s="42"/>
      <c r="AF1091" s="27"/>
      <c r="AG1091" s="43">
        <f t="shared" si="879"/>
        <v>0</v>
      </c>
      <c r="AH1091" s="29"/>
      <c r="AI1091" s="29"/>
      <c r="AJ1091" s="29"/>
      <c r="AK1091" s="29"/>
      <c r="AL1091" s="27"/>
      <c r="AM1091" s="44"/>
      <c r="AN1091" s="93"/>
      <c r="AO1091" s="46"/>
      <c r="AP1091" s="47"/>
      <c r="AQ1091" s="43" t="b">
        <f t="shared" ref="AQ1091:AQ1093" si="883">IF(O1091="Paid",IF(U1091="Motor Plus",(M1091*27%),IF(U1091="Motor One",(M1091*22%),(IF(U1091="Golden",(M1091*25%),(IF(U1091="Classic",(M1091*15%),(IF(U1091="Wethaq",(M1091*28%),IF(U1091="Alwataniya",(M1091*21%))*0)))))))))</f>
        <v>0</v>
      </c>
      <c r="AR1091" s="43">
        <f t="shared" si="448"/>
        <v>0</v>
      </c>
      <c r="AS1091" s="43">
        <f t="shared" si="449"/>
        <v>0</v>
      </c>
      <c r="AT1091" s="48">
        <f t="shared" si="753"/>
        <v>0</v>
      </c>
      <c r="AU1091" s="49">
        <f t="shared" si="881"/>
        <v>0</v>
      </c>
      <c r="AV1091" s="48"/>
      <c r="AW1091" s="34">
        <f t="shared" si="840"/>
        <v>0</v>
      </c>
      <c r="AX1091" s="50">
        <f t="shared" si="811"/>
        <v>0</v>
      </c>
      <c r="AY1091" s="43"/>
      <c r="AZ1091" s="43"/>
      <c r="BA1091" s="48">
        <f t="shared" si="801"/>
        <v>0</v>
      </c>
      <c r="BB1091" s="27"/>
      <c r="BC1091" s="27"/>
      <c r="BD1091" s="51"/>
      <c r="BE1091" s="52"/>
      <c r="BF1091" s="27" t="s">
        <v>3566</v>
      </c>
      <c r="BG1091" s="58" t="s">
        <v>562</v>
      </c>
      <c r="BH1091" s="53" t="str">
        <f>'[1]2023'!Q469</f>
        <v>#REF!</v>
      </c>
      <c r="BI1091" s="27"/>
      <c r="BJ1091" s="27"/>
      <c r="BK1091" s="27" t="s">
        <v>64</v>
      </c>
      <c r="BL1091" s="27"/>
    </row>
    <row r="1092" ht="14.25" customHeight="1">
      <c r="A1092" s="26" t="s">
        <v>55</v>
      </c>
      <c r="B1092" s="26" t="s">
        <v>56</v>
      </c>
      <c r="C1092" s="26" t="s">
        <v>57</v>
      </c>
      <c r="D1092" s="26" t="s">
        <v>58</v>
      </c>
      <c r="E1092" s="27" t="s">
        <v>3568</v>
      </c>
      <c r="F1092" s="28" t="s">
        <v>3569</v>
      </c>
      <c r="G1092" s="29">
        <v>45203.0</v>
      </c>
      <c r="H1092" s="30">
        <v>45203.0</v>
      </c>
      <c r="I1092" s="30">
        <v>45568.0</v>
      </c>
      <c r="J1092" s="31" t="s">
        <v>3570</v>
      </c>
      <c r="K1092" s="26" t="s">
        <v>63</v>
      </c>
      <c r="L1092" s="32" t="s">
        <v>63</v>
      </c>
      <c r="M1092" s="33">
        <v>0.0</v>
      </c>
      <c r="N1092" s="34">
        <v>0.0</v>
      </c>
      <c r="O1092" s="27" t="s">
        <v>64</v>
      </c>
      <c r="P1092" s="35">
        <v>0.0</v>
      </c>
      <c r="Q1092" s="35" t="s">
        <v>90</v>
      </c>
      <c r="R1092" s="36">
        <v>45203.0</v>
      </c>
      <c r="S1092" s="35" t="s">
        <v>86</v>
      </c>
      <c r="T1092" s="35">
        <v>0.0</v>
      </c>
      <c r="U1092" s="37">
        <v>0.0</v>
      </c>
      <c r="V1092" s="38"/>
      <c r="W1092" s="38"/>
      <c r="X1092" s="27"/>
      <c r="Y1092" s="39"/>
      <c r="Z1092" s="39"/>
      <c r="AA1092" s="39"/>
      <c r="AB1092" s="40"/>
      <c r="AC1092" s="27">
        <f t="shared" si="619"/>
        <v>0</v>
      </c>
      <c r="AD1092" s="41">
        <f t="shared" si="882"/>
        <v>0</v>
      </c>
      <c r="AE1092" s="42"/>
      <c r="AF1092" s="27"/>
      <c r="AG1092" s="43">
        <f>IF(O1092="Paid",IF(A1092="Alwataniya",(M1092*21%)-((M1092*21%)*5%),IF((A1092="GIG"),(M1092*25%)-((M1092*25%)*5%),IF((A1092="Allianz"),(M1092*27%)-((M1092*27%)*20%),0))),0)</f>
        <v>0</v>
      </c>
      <c r="AH1092" s="29"/>
      <c r="AI1092" s="29"/>
      <c r="AJ1092" s="29"/>
      <c r="AK1092" s="29"/>
      <c r="AL1092" s="27"/>
      <c r="AM1092" s="44"/>
      <c r="AN1092" s="93"/>
      <c r="AO1092" s="46"/>
      <c r="AP1092" s="47"/>
      <c r="AQ1092" s="43" t="b">
        <f t="shared" si="883"/>
        <v>0</v>
      </c>
      <c r="AR1092" s="43">
        <f t="shared" si="448"/>
        <v>0</v>
      </c>
      <c r="AS1092" s="43">
        <f t="shared" si="449"/>
        <v>0</v>
      </c>
      <c r="AT1092" s="48">
        <f t="shared" si="753"/>
        <v>0</v>
      </c>
      <c r="AU1092" s="49">
        <f t="shared" si="881"/>
        <v>0</v>
      </c>
      <c r="AV1092" s="48"/>
      <c r="AW1092" s="34">
        <f t="shared" si="840"/>
        <v>0</v>
      </c>
      <c r="AX1092" s="50">
        <f t="shared" si="811"/>
        <v>0</v>
      </c>
      <c r="AY1092" s="43"/>
      <c r="AZ1092" s="43"/>
      <c r="BA1092" s="48">
        <f t="shared" si="801"/>
        <v>0</v>
      </c>
      <c r="BB1092" s="27"/>
      <c r="BC1092" s="27"/>
      <c r="BD1092" s="51"/>
      <c r="BE1092" s="52"/>
      <c r="BF1092" s="27" t="s">
        <v>3568</v>
      </c>
      <c r="BG1092" s="53">
        <v>0.0</v>
      </c>
      <c r="BH1092" s="53" t="str">
        <f>'[1]2023'!Q474</f>
        <v>#REF!</v>
      </c>
      <c r="BI1092" s="27"/>
      <c r="BJ1092" s="27"/>
      <c r="BK1092" s="27" t="s">
        <v>64</v>
      </c>
      <c r="BL1092" s="27"/>
    </row>
    <row r="1093" ht="14.25" customHeight="1">
      <c r="A1093" s="26" t="s">
        <v>55</v>
      </c>
      <c r="B1093" s="26" t="s">
        <v>56</v>
      </c>
      <c r="C1093" s="26" t="s">
        <v>57</v>
      </c>
      <c r="D1093" s="26" t="s">
        <v>81</v>
      </c>
      <c r="E1093" s="27" t="s">
        <v>3571</v>
      </c>
      <c r="F1093" s="28" t="s">
        <v>3572</v>
      </c>
      <c r="G1093" s="29">
        <v>45203.0</v>
      </c>
      <c r="H1093" s="30">
        <v>45203.0</v>
      </c>
      <c r="I1093" s="30">
        <v>45568.0</v>
      </c>
      <c r="J1093" s="31">
        <v>0.0</v>
      </c>
      <c r="K1093" s="26" t="s">
        <v>420</v>
      </c>
      <c r="L1093" s="32" t="s">
        <v>63</v>
      </c>
      <c r="M1093" s="33">
        <v>0.0</v>
      </c>
      <c r="N1093" s="34">
        <v>0.0</v>
      </c>
      <c r="O1093" s="27" t="s">
        <v>64</v>
      </c>
      <c r="P1093" s="35">
        <v>0.0</v>
      </c>
      <c r="Q1093" s="35" t="s">
        <v>85</v>
      </c>
      <c r="R1093" s="36">
        <v>45203.0</v>
      </c>
      <c r="S1093" s="35" t="s">
        <v>86</v>
      </c>
      <c r="T1093" s="35">
        <v>0.0</v>
      </c>
      <c r="U1093" s="37" t="s">
        <v>67</v>
      </c>
      <c r="V1093" s="38"/>
      <c r="W1093" s="38"/>
      <c r="X1093" s="27"/>
      <c r="Y1093" s="39"/>
      <c r="Z1093" s="39"/>
      <c r="AA1093" s="39"/>
      <c r="AB1093" s="40"/>
      <c r="AC1093" s="27">
        <f t="shared" si="619"/>
        <v>0</v>
      </c>
      <c r="AD1093" s="41">
        <f t="shared" si="882"/>
        <v>0</v>
      </c>
      <c r="AE1093" s="42"/>
      <c r="AF1093" s="27"/>
      <c r="AG1093" s="43">
        <f t="shared" ref="AG1093:AG1095" si="884">IF(O1093="Paid",IF(A1093="Alwataniya",(M1093*21%)-((M1093*21%)*5%),IF((A1093="GIG"),(M1093*25%)-((M1093*25%)*5%),IF((A1093="Allianz"),(M1093*27%)-((M1093*27%)*5%),0))),0)</f>
        <v>0</v>
      </c>
      <c r="AH1093" s="29"/>
      <c r="AI1093" s="29"/>
      <c r="AJ1093" s="29"/>
      <c r="AK1093" s="29"/>
      <c r="AL1093" s="27"/>
      <c r="AM1093" s="44"/>
      <c r="AN1093" s="93"/>
      <c r="AO1093" s="46"/>
      <c r="AP1093" s="47"/>
      <c r="AQ1093" s="43" t="b">
        <f t="shared" si="883"/>
        <v>0</v>
      </c>
      <c r="AR1093" s="43">
        <f t="shared" si="448"/>
        <v>0</v>
      </c>
      <c r="AS1093" s="43">
        <f t="shared" si="449"/>
        <v>0</v>
      </c>
      <c r="AT1093" s="48">
        <f t="shared" si="753"/>
        <v>0</v>
      </c>
      <c r="AU1093" s="49">
        <f t="shared" si="881"/>
        <v>0</v>
      </c>
      <c r="AV1093" s="48"/>
      <c r="AW1093" s="34">
        <f t="shared" si="840"/>
        <v>0</v>
      </c>
      <c r="AX1093" s="50">
        <f t="shared" si="811"/>
        <v>0</v>
      </c>
      <c r="AY1093" s="43"/>
      <c r="AZ1093" s="43"/>
      <c r="BA1093" s="48">
        <f t="shared" si="801"/>
        <v>0</v>
      </c>
      <c r="BB1093" s="27"/>
      <c r="BC1093" s="27"/>
      <c r="BD1093" s="51"/>
      <c r="BE1093" s="52"/>
      <c r="BF1093" s="27" t="s">
        <v>3571</v>
      </c>
      <c r="BG1093" s="53">
        <v>0.0</v>
      </c>
      <c r="BH1093" s="53" t="str">
        <f>'[1]2023'!Q488</f>
        <v>#REF!</v>
      </c>
      <c r="BI1093" s="27"/>
      <c r="BJ1093" s="27"/>
      <c r="BK1093" s="27" t="s">
        <v>64</v>
      </c>
      <c r="BL1093" s="27"/>
    </row>
    <row r="1094" ht="14.25" customHeight="1">
      <c r="A1094" s="26" t="s">
        <v>55</v>
      </c>
      <c r="B1094" s="26" t="s">
        <v>56</v>
      </c>
      <c r="C1094" s="26" t="s">
        <v>57</v>
      </c>
      <c r="D1094" s="26" t="s">
        <v>58</v>
      </c>
      <c r="E1094" s="27" t="s">
        <v>3573</v>
      </c>
      <c r="F1094" s="28" t="s">
        <v>3574</v>
      </c>
      <c r="G1094" s="29">
        <v>45203.0</v>
      </c>
      <c r="H1094" s="30">
        <v>45203.0</v>
      </c>
      <c r="I1094" s="30">
        <v>45568.0</v>
      </c>
      <c r="J1094" s="31">
        <v>0.0</v>
      </c>
      <c r="K1094" s="26" t="s">
        <v>420</v>
      </c>
      <c r="L1094" s="32" t="s">
        <v>75</v>
      </c>
      <c r="M1094" s="33">
        <v>0.0</v>
      </c>
      <c r="N1094" s="34">
        <v>4569.67</v>
      </c>
      <c r="O1094" s="27" t="s">
        <v>76</v>
      </c>
      <c r="P1094" s="35" t="s">
        <v>95</v>
      </c>
      <c r="Q1094" s="35" t="s">
        <v>90</v>
      </c>
      <c r="R1094" s="36">
        <v>45203.0</v>
      </c>
      <c r="S1094" s="35" t="s">
        <v>86</v>
      </c>
      <c r="T1094" s="35">
        <v>0.0</v>
      </c>
      <c r="U1094" s="37" t="s">
        <v>67</v>
      </c>
      <c r="V1094" s="38"/>
      <c r="W1094" s="38"/>
      <c r="X1094" s="27"/>
      <c r="Y1094" s="39"/>
      <c r="Z1094" s="39"/>
      <c r="AA1094" s="39"/>
      <c r="AB1094" s="40"/>
      <c r="AC1094" s="27">
        <f t="shared" si="619"/>
        <v>0</v>
      </c>
      <c r="AD1094" s="41">
        <f t="shared" si="882"/>
        <v>0</v>
      </c>
      <c r="AE1094" s="42"/>
      <c r="AF1094" s="27"/>
      <c r="AG1094" s="43">
        <f t="shared" si="884"/>
        <v>0</v>
      </c>
      <c r="AH1094" s="29"/>
      <c r="AI1094" s="29"/>
      <c r="AJ1094" s="29"/>
      <c r="AK1094" s="29"/>
      <c r="AL1094" s="27"/>
      <c r="AM1094" s="44"/>
      <c r="AN1094" s="93"/>
      <c r="AO1094" s="46"/>
      <c r="AP1094" s="47"/>
      <c r="AQ1094" s="43">
        <f>IF(U1094="Motor Plus",(M1094*27%),IF(U1094="Motor One",(M1094*22%),(IF(U1094="Golden",(M1094*25%),(IF(U1094="Classic",(M1094*15%),(IF(U1094="Wethaq",(M1094*28%),IF(U1094="Alwataniya",(M1094*21%))*0))))))))</f>
        <v>0</v>
      </c>
      <c r="AR1094" s="43">
        <f t="shared" si="448"/>
        <v>0</v>
      </c>
      <c r="AS1094" s="43">
        <f t="shared" si="449"/>
        <v>0</v>
      </c>
      <c r="AT1094" s="48">
        <f t="shared" si="753"/>
        <v>0</v>
      </c>
      <c r="AU1094" s="49">
        <f t="shared" si="881"/>
        <v>0</v>
      </c>
      <c r="AV1094" s="48"/>
      <c r="AW1094" s="34">
        <f t="shared" si="840"/>
        <v>4569.67</v>
      </c>
      <c r="AX1094" s="50">
        <f t="shared" si="811"/>
        <v>0</v>
      </c>
      <c r="AY1094" s="43"/>
      <c r="AZ1094" s="43"/>
      <c r="BA1094" s="48">
        <f t="shared" si="801"/>
        <v>0</v>
      </c>
      <c r="BB1094" s="27"/>
      <c r="BC1094" s="27"/>
      <c r="BD1094" s="51"/>
      <c r="BE1094" s="52"/>
      <c r="BF1094" s="27" t="s">
        <v>3575</v>
      </c>
      <c r="BG1094" s="53">
        <v>0.0</v>
      </c>
      <c r="BH1094" s="53" t="str">
        <f>'[1]2023'!Q496</f>
        <v>#REF!</v>
      </c>
      <c r="BI1094" s="27"/>
      <c r="BJ1094" s="27"/>
      <c r="BK1094" s="27" t="s">
        <v>76</v>
      </c>
      <c r="BL1094" s="27"/>
    </row>
    <row r="1095" ht="14.25" customHeight="1">
      <c r="A1095" s="26" t="s">
        <v>55</v>
      </c>
      <c r="B1095" s="26" t="s">
        <v>56</v>
      </c>
      <c r="C1095" s="26" t="s">
        <v>57</v>
      </c>
      <c r="D1095" s="26" t="s">
        <v>81</v>
      </c>
      <c r="E1095" s="27" t="s">
        <v>3576</v>
      </c>
      <c r="F1095" s="28" t="s">
        <v>3577</v>
      </c>
      <c r="G1095" s="29">
        <v>45203.0</v>
      </c>
      <c r="H1095" s="30">
        <v>45203.0</v>
      </c>
      <c r="I1095" s="30">
        <v>45568.0</v>
      </c>
      <c r="J1095" s="31">
        <v>0.0</v>
      </c>
      <c r="K1095" s="26" t="s">
        <v>420</v>
      </c>
      <c r="L1095" s="32" t="s">
        <v>63</v>
      </c>
      <c r="M1095" s="33">
        <v>0.0</v>
      </c>
      <c r="N1095" s="34">
        <v>0.0</v>
      </c>
      <c r="O1095" s="27" t="s">
        <v>64</v>
      </c>
      <c r="P1095" s="35">
        <v>0.0</v>
      </c>
      <c r="Q1095" s="35" t="s">
        <v>85</v>
      </c>
      <c r="R1095" s="36">
        <v>45203.0</v>
      </c>
      <c r="S1095" s="35" t="s">
        <v>86</v>
      </c>
      <c r="T1095" s="35">
        <v>0.0</v>
      </c>
      <c r="U1095" s="37" t="s">
        <v>67</v>
      </c>
      <c r="V1095" s="38"/>
      <c r="W1095" s="38"/>
      <c r="X1095" s="27"/>
      <c r="Y1095" s="39"/>
      <c r="Z1095" s="39"/>
      <c r="AA1095" s="39"/>
      <c r="AB1095" s="40"/>
      <c r="AC1095" s="27">
        <f t="shared" si="619"/>
        <v>0</v>
      </c>
      <c r="AD1095" s="41">
        <f t="shared" si="882"/>
        <v>0</v>
      </c>
      <c r="AE1095" s="42"/>
      <c r="AF1095" s="27"/>
      <c r="AG1095" s="43">
        <f t="shared" si="884"/>
        <v>0</v>
      </c>
      <c r="AH1095" s="29"/>
      <c r="AI1095" s="29"/>
      <c r="AJ1095" s="29"/>
      <c r="AK1095" s="29"/>
      <c r="AL1095" s="27"/>
      <c r="AM1095" s="44"/>
      <c r="AN1095" s="93"/>
      <c r="AO1095" s="46"/>
      <c r="AP1095" s="47"/>
      <c r="AQ1095" s="43" t="b">
        <f t="shared" ref="AQ1095:AQ1096" si="885">IF(O1095="Paid",IF(U1095="Motor Plus",(M1095*27%),IF(U1095="Motor One",(M1095*22%),(IF(U1095="Golden",(M1095*25%),(IF(U1095="Classic",(M1095*15%),(IF(U1095="Wethaq",(M1095*28%),IF(U1095="Alwataniya",(M1095*21%))*0)))))))))</f>
        <v>0</v>
      </c>
      <c r="AR1095" s="43">
        <f t="shared" si="448"/>
        <v>0</v>
      </c>
      <c r="AS1095" s="43">
        <f t="shared" si="449"/>
        <v>0</v>
      </c>
      <c r="AT1095" s="48">
        <f t="shared" si="753"/>
        <v>0</v>
      </c>
      <c r="AU1095" s="49">
        <f t="shared" si="881"/>
        <v>0</v>
      </c>
      <c r="AV1095" s="48"/>
      <c r="AW1095" s="34">
        <f t="shared" si="840"/>
        <v>0</v>
      </c>
      <c r="AX1095" s="50">
        <f t="shared" si="811"/>
        <v>0</v>
      </c>
      <c r="AY1095" s="43"/>
      <c r="AZ1095" s="43"/>
      <c r="BA1095" s="48">
        <f t="shared" si="801"/>
        <v>0</v>
      </c>
      <c r="BB1095" s="27"/>
      <c r="BC1095" s="27"/>
      <c r="BD1095" s="51"/>
      <c r="BE1095" s="52"/>
      <c r="BF1095" s="27" t="s">
        <v>3576</v>
      </c>
      <c r="BG1095" s="53">
        <v>0.0</v>
      </c>
      <c r="BH1095" s="53" t="str">
        <f>'[1]2023'!Q519</f>
        <v>#REF!</v>
      </c>
      <c r="BI1095" s="27"/>
      <c r="BJ1095" s="27"/>
      <c r="BK1095" s="27" t="s">
        <v>64</v>
      </c>
      <c r="BL1095" s="27"/>
    </row>
    <row r="1096" ht="14.25" customHeight="1">
      <c r="A1096" s="26" t="s">
        <v>111</v>
      </c>
      <c r="B1096" s="26" t="s">
        <v>56</v>
      </c>
      <c r="C1096" s="26" t="s">
        <v>57</v>
      </c>
      <c r="D1096" s="26" t="s">
        <v>71</v>
      </c>
      <c r="E1096" s="27" t="s">
        <v>3578</v>
      </c>
      <c r="F1096" s="28" t="s">
        <v>3579</v>
      </c>
      <c r="G1096" s="29">
        <v>45203.0</v>
      </c>
      <c r="H1096" s="30">
        <v>45203.0</v>
      </c>
      <c r="I1096" s="30">
        <v>45568.0</v>
      </c>
      <c r="J1096" s="31" t="s">
        <v>3580</v>
      </c>
      <c r="K1096" s="26" t="s">
        <v>931</v>
      </c>
      <c r="L1096" s="32" t="s">
        <v>63</v>
      </c>
      <c r="M1096" s="33">
        <v>32748.31</v>
      </c>
      <c r="N1096" s="34">
        <v>35100.0</v>
      </c>
      <c r="O1096" s="27" t="s">
        <v>64</v>
      </c>
      <c r="P1096" s="35">
        <v>0.0</v>
      </c>
      <c r="Q1096" s="35" t="s">
        <v>114</v>
      </c>
      <c r="R1096" s="36">
        <v>45212.0</v>
      </c>
      <c r="S1096" s="35" t="s">
        <v>78</v>
      </c>
      <c r="T1096" s="35">
        <v>0.0</v>
      </c>
      <c r="U1096" s="37" t="s">
        <v>115</v>
      </c>
      <c r="V1096" s="38">
        <v>1350000.0</v>
      </c>
      <c r="W1096" s="78">
        <v>515380.0</v>
      </c>
      <c r="X1096" s="27">
        <v>2022.0</v>
      </c>
      <c r="Y1096" s="39">
        <v>2008.0</v>
      </c>
      <c r="Z1096" s="79" t="s">
        <v>2641</v>
      </c>
      <c r="AA1096" s="39"/>
      <c r="AB1096" s="27"/>
      <c r="AC1096" s="27">
        <f t="shared" si="619"/>
        <v>0</v>
      </c>
      <c r="AD1096" s="41">
        <f t="shared" si="882"/>
        <v>0</v>
      </c>
      <c r="AE1096" s="42"/>
      <c r="AF1096" s="27"/>
      <c r="AG1096" s="43">
        <f t="shared" ref="AG1096:AG1097" si="886">IF(O1096="Paid",IF(A1096="Alwataniya",(M1096*21%)-((M1096*21%)*5%),IF((A1096="GIG"),(M1096*25%)-((M1096*25%)*5%),IF((A1096="Allianz"),(M1096*27%)-((M1096*27%)*20%),0))),0)</f>
        <v>0</v>
      </c>
      <c r="AH1096" s="29"/>
      <c r="AI1096" s="29"/>
      <c r="AJ1096" s="29"/>
      <c r="AK1096" s="29"/>
      <c r="AL1096" s="27"/>
      <c r="AM1096" s="27"/>
      <c r="AN1096" s="47"/>
      <c r="AO1096" s="46"/>
      <c r="AP1096" s="47"/>
      <c r="AQ1096" s="43" t="b">
        <f t="shared" si="885"/>
        <v>0</v>
      </c>
      <c r="AR1096" s="43">
        <f t="shared" si="448"/>
        <v>0</v>
      </c>
      <c r="AS1096" s="43">
        <f t="shared" si="449"/>
        <v>0</v>
      </c>
      <c r="AT1096" s="48">
        <f t="shared" si="753"/>
        <v>0</v>
      </c>
      <c r="AU1096" s="49">
        <f t="shared" ref="AU1096:AU1101" si="887">AQ1096-AR1096-AS1096-AC1096-AO1096</f>
        <v>0</v>
      </c>
      <c r="AV1096" s="48"/>
      <c r="AW1096" s="34">
        <f t="shared" si="840"/>
        <v>35100</v>
      </c>
      <c r="AX1096" s="50">
        <f t="shared" si="811"/>
        <v>0</v>
      </c>
      <c r="AY1096" s="43"/>
      <c r="AZ1096" s="47"/>
      <c r="BA1096" s="48">
        <f t="shared" si="801"/>
        <v>0</v>
      </c>
      <c r="BB1096" s="27"/>
      <c r="BC1096" s="27"/>
      <c r="BD1096" s="51"/>
      <c r="BE1096" s="52"/>
      <c r="BF1096" s="27"/>
      <c r="BG1096" s="58" t="s">
        <v>3581</v>
      </c>
      <c r="BH1096" s="53" t="str">
        <f t="shared" ref="BH1096:BH1097" si="888">'[1]2023'!Q1382</f>
        <v>#REF!</v>
      </c>
      <c r="BI1096" s="27"/>
      <c r="BJ1096" s="27"/>
      <c r="BK1096" s="27" t="s">
        <v>64</v>
      </c>
      <c r="BL1096" s="27"/>
    </row>
    <row r="1097" ht="14.25" customHeight="1">
      <c r="A1097" s="26" t="s">
        <v>111</v>
      </c>
      <c r="B1097" s="26" t="s">
        <v>56</v>
      </c>
      <c r="C1097" s="26" t="s">
        <v>57</v>
      </c>
      <c r="D1097" s="26" t="s">
        <v>71</v>
      </c>
      <c r="E1097" s="27" t="s">
        <v>3582</v>
      </c>
      <c r="F1097" s="28" t="s">
        <v>3583</v>
      </c>
      <c r="G1097" s="29">
        <v>45203.0</v>
      </c>
      <c r="H1097" s="30">
        <v>45203.0</v>
      </c>
      <c r="I1097" s="30">
        <v>45568.0</v>
      </c>
      <c r="J1097" s="31" t="s">
        <v>3584</v>
      </c>
      <c r="K1097" s="26" t="s">
        <v>931</v>
      </c>
      <c r="L1097" s="69">
        <v>45026.0</v>
      </c>
      <c r="M1097" s="33">
        <v>26639.29</v>
      </c>
      <c r="N1097" s="34">
        <v>28600.0</v>
      </c>
      <c r="O1097" s="27" t="s">
        <v>76</v>
      </c>
      <c r="P1097" s="35" t="s">
        <v>430</v>
      </c>
      <c r="Q1097" s="35" t="s">
        <v>114</v>
      </c>
      <c r="R1097" s="36">
        <v>45212.0</v>
      </c>
      <c r="S1097" s="35" t="s">
        <v>848</v>
      </c>
      <c r="T1097" s="54" t="s">
        <v>1281</v>
      </c>
      <c r="U1097" s="37" t="s">
        <v>115</v>
      </c>
      <c r="V1097" s="38">
        <v>1100000.0</v>
      </c>
      <c r="W1097" s="78">
        <v>508.0</v>
      </c>
      <c r="X1097" s="27">
        <v>2020.0</v>
      </c>
      <c r="Y1097" s="79" t="s">
        <v>3585</v>
      </c>
      <c r="Z1097" s="79" t="s">
        <v>3586</v>
      </c>
      <c r="AA1097" s="39"/>
      <c r="AB1097" s="27"/>
      <c r="AC1097" s="27">
        <f t="shared" si="619"/>
        <v>0</v>
      </c>
      <c r="AD1097" s="41"/>
      <c r="AE1097" s="42"/>
      <c r="AF1097" s="27"/>
      <c r="AG1097" s="43">
        <f t="shared" si="886"/>
        <v>6326.831375</v>
      </c>
      <c r="AH1097" s="29">
        <v>45209.0</v>
      </c>
      <c r="AI1097" s="29" t="s">
        <v>1325</v>
      </c>
      <c r="AJ1097" s="29"/>
      <c r="AK1097" s="29" t="s">
        <v>3408</v>
      </c>
      <c r="AL1097" s="27"/>
      <c r="AM1097" s="44">
        <f>IF((BD1097&lt;=2),AU1097*10%,(IF((BD1097=3),AU1097*20%,IF((BD1097=4),AU1097*20%,IF((BD1097&gt;=5),AU1097*30%,(IF((BD1097="lead"),AU1097*30%,0)))))))</f>
        <v>116.5468938</v>
      </c>
      <c r="AN1097" s="68"/>
      <c r="AO1097" s="46">
        <f>M1097*15%</f>
        <v>3995.8935</v>
      </c>
      <c r="AP1097" s="57">
        <v>45240.0</v>
      </c>
      <c r="AQ1097" s="43">
        <f t="shared" ref="AQ1097:AQ1099" si="889">IF(U1097="Motor Plus",(M1097*27%),IF(U1097="Motor One",(M1097*22%),(IF(U1097="Golden",(M1097*25%),(IF(U1097="Classic",(M1097*15%),(IF(U1097="Wethaq",(M1097*28%),IF(U1097="Alwataniya",(M1097*21%))*0))))))))</f>
        <v>6659.8225</v>
      </c>
      <c r="AR1097" s="43">
        <f t="shared" si="448"/>
        <v>332.991125</v>
      </c>
      <c r="AS1097" s="43">
        <f t="shared" si="449"/>
        <v>1165.468938</v>
      </c>
      <c r="AT1097" s="48">
        <f t="shared" si="753"/>
        <v>5161.362438</v>
      </c>
      <c r="AU1097" s="49">
        <f t="shared" si="887"/>
        <v>1165.468938</v>
      </c>
      <c r="AV1097" s="106">
        <f>AU1097*10%</f>
        <v>116.5468938</v>
      </c>
      <c r="AW1097" s="34">
        <f t="shared" si="840"/>
        <v>28600</v>
      </c>
      <c r="AX1097" s="50">
        <f t="shared" si="811"/>
        <v>932.37515</v>
      </c>
      <c r="AY1097" s="43"/>
      <c r="AZ1097" s="47"/>
      <c r="BA1097" s="48">
        <f t="shared" si="801"/>
        <v>-2946.971456</v>
      </c>
      <c r="BB1097" s="27"/>
      <c r="BC1097" s="27"/>
      <c r="BD1097" s="51"/>
      <c r="BE1097" s="52"/>
      <c r="BF1097" s="27"/>
      <c r="BG1097" s="53">
        <v>0.0</v>
      </c>
      <c r="BH1097" s="53" t="str">
        <f t="shared" si="888"/>
        <v>#REF!</v>
      </c>
      <c r="BI1097" s="27"/>
      <c r="BJ1097" s="27"/>
      <c r="BK1097" s="27" t="s">
        <v>76</v>
      </c>
      <c r="BL1097" s="27"/>
    </row>
    <row r="1098" ht="14.25" customHeight="1">
      <c r="A1098" s="26" t="s">
        <v>68</v>
      </c>
      <c r="B1098" s="26" t="s">
        <v>56</v>
      </c>
      <c r="C1098" s="26" t="s">
        <v>57</v>
      </c>
      <c r="D1098" s="26" t="s">
        <v>71</v>
      </c>
      <c r="E1098" s="27" t="s">
        <v>3587</v>
      </c>
      <c r="F1098" s="28" t="s">
        <v>3588</v>
      </c>
      <c r="G1098" s="29">
        <v>45203.0</v>
      </c>
      <c r="H1098" s="30">
        <v>45203.0</v>
      </c>
      <c r="I1098" s="30">
        <v>45568.0</v>
      </c>
      <c r="J1098" s="31" t="s">
        <v>3589</v>
      </c>
      <c r="K1098" s="26" t="s">
        <v>931</v>
      </c>
      <c r="L1098" s="69">
        <v>45270.0</v>
      </c>
      <c r="M1098" s="33">
        <v>16916.69</v>
      </c>
      <c r="N1098" s="34">
        <v>18115.0</v>
      </c>
      <c r="O1098" s="27" t="s">
        <v>76</v>
      </c>
      <c r="P1098" s="35" t="s">
        <v>142</v>
      </c>
      <c r="Q1098" s="35" t="s">
        <v>90</v>
      </c>
      <c r="R1098" s="36">
        <v>45222.0</v>
      </c>
      <c r="S1098" s="35" t="s">
        <v>78</v>
      </c>
      <c r="T1098" s="54" t="s">
        <v>456</v>
      </c>
      <c r="U1098" s="37" t="s">
        <v>68</v>
      </c>
      <c r="V1098" s="38">
        <v>805000.0</v>
      </c>
      <c r="W1098" s="78">
        <v>20538.0</v>
      </c>
      <c r="X1098" s="27">
        <v>2024.0</v>
      </c>
      <c r="Y1098" s="27" t="s">
        <v>3239</v>
      </c>
      <c r="Z1098" s="39" t="s">
        <v>3239</v>
      </c>
      <c r="AA1098" s="39" t="s">
        <v>3590</v>
      </c>
      <c r="AB1098" s="27"/>
      <c r="AC1098" s="27">
        <f t="shared" si="619"/>
        <v>0</v>
      </c>
      <c r="AD1098" s="109">
        <f>M1098*15%</f>
        <v>2537.5035</v>
      </c>
      <c r="AE1098" s="42">
        <v>400.0</v>
      </c>
      <c r="AF1098" s="29">
        <v>45209.0</v>
      </c>
      <c r="AG1098" s="50">
        <f>M1098*28%-((M1098*28%)*5%)</f>
        <v>4499.83954</v>
      </c>
      <c r="AH1098" s="29"/>
      <c r="AI1098" s="29" t="s">
        <v>926</v>
      </c>
      <c r="AJ1098" s="55">
        <v>0.28</v>
      </c>
      <c r="AK1098" s="29" t="s">
        <v>3412</v>
      </c>
      <c r="AL1098" s="27"/>
      <c r="AM1098" s="44"/>
      <c r="AN1098" s="47"/>
      <c r="AO1098" s="46"/>
      <c r="AP1098" s="47"/>
      <c r="AQ1098" s="43">
        <f t="shared" si="889"/>
        <v>4736.6732</v>
      </c>
      <c r="AR1098" s="43">
        <f t="shared" si="448"/>
        <v>236.83366</v>
      </c>
      <c r="AS1098" s="43">
        <f t="shared" si="449"/>
        <v>828.91781</v>
      </c>
      <c r="AT1098" s="48">
        <f t="shared" si="753"/>
        <v>3670.92173</v>
      </c>
      <c r="AU1098" s="49">
        <f t="shared" si="887"/>
        <v>3670.92173</v>
      </c>
      <c r="AV1098" s="48"/>
      <c r="AW1098" s="34">
        <f t="shared" si="840"/>
        <v>15177.4965</v>
      </c>
      <c r="AX1098" s="50">
        <f t="shared" si="811"/>
        <v>733.41823</v>
      </c>
      <c r="AY1098" s="43"/>
      <c r="AZ1098" s="47"/>
      <c r="BA1098" s="48">
        <f t="shared" si="801"/>
        <v>3670.92173</v>
      </c>
      <c r="BB1098" s="27"/>
      <c r="BC1098" s="27"/>
      <c r="BD1098" s="51"/>
      <c r="BE1098" s="52"/>
      <c r="BF1098" s="27"/>
      <c r="BG1098" s="53">
        <v>0.0</v>
      </c>
      <c r="BH1098" s="53" t="str">
        <f>'[1]2023'!Q1395</f>
        <v>#REF!</v>
      </c>
      <c r="BI1098" s="27"/>
      <c r="BJ1098" s="27"/>
      <c r="BK1098" s="27" t="s">
        <v>76</v>
      </c>
      <c r="BL1098" s="27"/>
    </row>
    <row r="1099" ht="14.25" customHeight="1">
      <c r="A1099" s="26" t="s">
        <v>55</v>
      </c>
      <c r="B1099" s="26" t="s">
        <v>56</v>
      </c>
      <c r="C1099" s="26" t="s">
        <v>57</v>
      </c>
      <c r="D1099" s="26" t="s">
        <v>81</v>
      </c>
      <c r="E1099" s="27" t="s">
        <v>3591</v>
      </c>
      <c r="F1099" s="28" t="s">
        <v>3592</v>
      </c>
      <c r="G1099" s="182">
        <v>45203.0</v>
      </c>
      <c r="H1099" s="30">
        <v>45203.0</v>
      </c>
      <c r="I1099" s="30">
        <v>45568.0</v>
      </c>
      <c r="J1099" s="31" t="s">
        <v>3593</v>
      </c>
      <c r="K1099" s="26" t="s">
        <v>931</v>
      </c>
      <c r="L1099" s="192">
        <v>45270.0</v>
      </c>
      <c r="M1099" s="33">
        <v>18585.0</v>
      </c>
      <c r="N1099" s="34">
        <v>19915.45</v>
      </c>
      <c r="O1099" s="27" t="s">
        <v>76</v>
      </c>
      <c r="P1099" s="35" t="s">
        <v>142</v>
      </c>
      <c r="Q1099" s="35" t="s">
        <v>90</v>
      </c>
      <c r="R1099" s="36">
        <v>45203.0</v>
      </c>
      <c r="S1099" s="35" t="s">
        <v>86</v>
      </c>
      <c r="T1099" s="35">
        <v>0.0</v>
      </c>
      <c r="U1099" s="37" t="s">
        <v>67</v>
      </c>
      <c r="V1099" s="38">
        <v>900000.0</v>
      </c>
      <c r="W1099" s="78">
        <v>687742.0</v>
      </c>
      <c r="X1099" s="27">
        <v>2021.0</v>
      </c>
      <c r="Y1099" s="79" t="s">
        <v>232</v>
      </c>
      <c r="Z1099" s="39"/>
      <c r="AA1099" s="39"/>
      <c r="AB1099" s="27"/>
      <c r="AC1099" s="27">
        <f t="shared" si="619"/>
        <v>0</v>
      </c>
      <c r="AD1099" s="41">
        <f t="shared" ref="AD1099:AD1101" si="890">IF(AND(S1099="0",O1099="Paid"),(M1099*15%)-AC1099,0)</f>
        <v>2787.75</v>
      </c>
      <c r="AE1099" s="42"/>
      <c r="AF1099" s="27" t="s">
        <v>3502</v>
      </c>
      <c r="AG1099" s="43">
        <f>IF(O1099="Paid",IF(A1099="Alwataniya",(M1099*21%)-((M1099*21%)*5%),IF((A1099="GIG"),(M1099*25%)-((M1099*25%)*5%),IF((A1099="Allianz"),(M1099*27%)-((M1099*27%)*5%),0))),0)</f>
        <v>4767.0525</v>
      </c>
      <c r="AH1099" s="29"/>
      <c r="AI1099" s="29"/>
      <c r="AJ1099" s="29"/>
      <c r="AK1099" s="29"/>
      <c r="AL1099" s="27"/>
      <c r="AM1099" s="27"/>
      <c r="AN1099" s="47"/>
      <c r="AO1099" s="46"/>
      <c r="AP1099" s="47"/>
      <c r="AQ1099" s="43">
        <f t="shared" si="889"/>
        <v>5017.95</v>
      </c>
      <c r="AR1099" s="43">
        <f t="shared" si="448"/>
        <v>250.8975</v>
      </c>
      <c r="AS1099" s="43">
        <f t="shared" si="449"/>
        <v>878.14125</v>
      </c>
      <c r="AT1099" s="48">
        <f t="shared" si="753"/>
        <v>3888.91125</v>
      </c>
      <c r="AU1099" s="49">
        <f t="shared" si="887"/>
        <v>3888.91125</v>
      </c>
      <c r="AV1099" s="48"/>
      <c r="AW1099" s="34">
        <f t="shared" si="840"/>
        <v>17127.7</v>
      </c>
      <c r="AX1099" s="50">
        <f t="shared" si="811"/>
        <v>1101.16125</v>
      </c>
      <c r="AY1099" s="43"/>
      <c r="AZ1099" s="47"/>
      <c r="BA1099" s="48">
        <f t="shared" si="801"/>
        <v>3888.91125</v>
      </c>
      <c r="BB1099" s="27"/>
      <c r="BC1099" s="27"/>
      <c r="BD1099" s="51"/>
      <c r="BE1099" s="52"/>
      <c r="BF1099" s="27"/>
      <c r="BG1099" s="53">
        <v>0.0</v>
      </c>
      <c r="BH1099" s="53" t="str">
        <f>'[1]2023'!Q1452</f>
        <v>#REF!</v>
      </c>
      <c r="BI1099" s="27"/>
      <c r="BJ1099" s="27"/>
      <c r="BK1099" s="27" t="s">
        <v>76</v>
      </c>
      <c r="BL1099" s="27"/>
    </row>
    <row r="1100" ht="14.25" customHeight="1">
      <c r="A1100" s="26" t="s">
        <v>55</v>
      </c>
      <c r="B1100" s="26" t="s">
        <v>56</v>
      </c>
      <c r="C1100" s="26" t="s">
        <v>57</v>
      </c>
      <c r="D1100" s="26" t="s">
        <v>58</v>
      </c>
      <c r="E1100" s="80" t="s">
        <v>3594</v>
      </c>
      <c r="F1100" s="28" t="s">
        <v>3595</v>
      </c>
      <c r="G1100" s="29">
        <v>45203.0</v>
      </c>
      <c r="H1100" s="30">
        <v>45203.0</v>
      </c>
      <c r="I1100" s="30">
        <v>45568.0</v>
      </c>
      <c r="J1100" s="31" t="s">
        <v>86</v>
      </c>
      <c r="K1100" s="26" t="s">
        <v>3541</v>
      </c>
      <c r="L1100" s="89">
        <v>45207.0</v>
      </c>
      <c r="M1100" s="33">
        <v>7160.89</v>
      </c>
      <c r="N1100" s="34">
        <v>7583.38</v>
      </c>
      <c r="O1100" s="27" t="s">
        <v>76</v>
      </c>
      <c r="P1100" s="35" t="s">
        <v>89</v>
      </c>
      <c r="Q1100" s="35">
        <v>0.0</v>
      </c>
      <c r="R1100" s="36">
        <v>0.0</v>
      </c>
      <c r="S1100" s="35" t="s">
        <v>66</v>
      </c>
      <c r="T1100" s="35">
        <v>0.0</v>
      </c>
      <c r="U1100" s="37">
        <v>0.0</v>
      </c>
      <c r="V1100" s="38"/>
      <c r="W1100" s="78"/>
      <c r="X1100" s="27"/>
      <c r="Y1100" s="39"/>
      <c r="Z1100" s="39"/>
      <c r="AA1100" s="39"/>
      <c r="AB1100" s="27"/>
      <c r="AC1100" s="27">
        <f t="shared" si="619"/>
        <v>0</v>
      </c>
      <c r="AD1100" s="41">
        <f t="shared" si="890"/>
        <v>0</v>
      </c>
      <c r="AE1100" s="42"/>
      <c r="AF1100" s="27"/>
      <c r="AG1100" s="43">
        <f t="shared" ref="AG1100:AG1101" si="891">IF(O1100="Paid",IF(A1100="Wethaq",(M1100*28%)-((M1100*28%)*5%),IF((A1100="GIG"),(M1100*25%)-((M1100*25%)*5%),IF((A1100="Allianz"),(M1100*27%)-((M1100*27%)*20%),0))),0)</f>
        <v>1546.75224</v>
      </c>
      <c r="AH1100" s="29"/>
      <c r="AI1100" s="29"/>
      <c r="AJ1100" s="29"/>
      <c r="AK1100" s="29"/>
      <c r="AL1100" s="27"/>
      <c r="AM1100" s="44"/>
      <c r="AN1100" s="68"/>
      <c r="AO1100" s="46"/>
      <c r="AP1100" s="47"/>
      <c r="AQ1100" s="43">
        <f t="shared" ref="AQ1100:AQ1101" si="892">IF(O1100="Paid",IF(U1100="Motor Plus",(M1100*27%),IF(U1100="Motor One",(M1100*22%),(IF(U1100="Golden",(M1100*25%),(IF(U1100="Classic",(M1100*15%),(IF(U1100="Wethaq",(M1100*28%),IF(U1100="Alwataniya",(M1100*21%))*0)))))))))</f>
        <v>0</v>
      </c>
      <c r="AR1100" s="43">
        <f t="shared" si="448"/>
        <v>0</v>
      </c>
      <c r="AS1100" s="43">
        <f t="shared" si="449"/>
        <v>0</v>
      </c>
      <c r="AT1100" s="48">
        <f t="shared" si="753"/>
        <v>0</v>
      </c>
      <c r="AU1100" s="49">
        <f t="shared" si="887"/>
        <v>0</v>
      </c>
      <c r="AV1100" s="48"/>
      <c r="AW1100" s="34">
        <f t="shared" si="840"/>
        <v>7583.38</v>
      </c>
      <c r="AX1100" s="50">
        <f t="shared" si="811"/>
        <v>1546.75224</v>
      </c>
      <c r="AY1100" s="43"/>
      <c r="AZ1100" s="47"/>
      <c r="BA1100" s="48">
        <f t="shared" si="801"/>
        <v>0</v>
      </c>
      <c r="BB1100" s="27"/>
      <c r="BC1100" s="27"/>
      <c r="BD1100" s="51"/>
      <c r="BE1100" s="52"/>
      <c r="BF1100" s="27"/>
      <c r="BG1100" s="53">
        <v>0.0</v>
      </c>
      <c r="BH1100" s="53" t="str">
        <f>'[1]2023'!Q1694</f>
        <v>#REF!</v>
      </c>
      <c r="BI1100" s="27"/>
      <c r="BJ1100" s="27"/>
      <c r="BK1100" s="27" t="s">
        <v>1102</v>
      </c>
      <c r="BL1100" s="27"/>
    </row>
    <row r="1101" ht="14.25" customHeight="1">
      <c r="A1101" s="26" t="s">
        <v>55</v>
      </c>
      <c r="B1101" s="26" t="s">
        <v>56</v>
      </c>
      <c r="C1101" s="26" t="s">
        <v>57</v>
      </c>
      <c r="D1101" s="26" t="s">
        <v>58</v>
      </c>
      <c r="E1101" s="80" t="s">
        <v>3596</v>
      </c>
      <c r="F1101" s="28" t="s">
        <v>3597</v>
      </c>
      <c r="G1101" s="29">
        <v>45203.0</v>
      </c>
      <c r="H1101" s="30">
        <v>45203.0</v>
      </c>
      <c r="I1101" s="30">
        <v>45568.0</v>
      </c>
      <c r="J1101" s="31" t="s">
        <v>86</v>
      </c>
      <c r="K1101" s="26" t="s">
        <v>3541</v>
      </c>
      <c r="L1101" s="89">
        <v>45210.0</v>
      </c>
      <c r="M1101" s="33">
        <v>3476.56</v>
      </c>
      <c r="N1101" s="34">
        <v>3681.68</v>
      </c>
      <c r="O1101" s="27" t="s">
        <v>76</v>
      </c>
      <c r="P1101" s="35" t="s">
        <v>122</v>
      </c>
      <c r="Q1101" s="35">
        <v>0.0</v>
      </c>
      <c r="R1101" s="36">
        <v>0.0</v>
      </c>
      <c r="S1101" s="35" t="s">
        <v>86</v>
      </c>
      <c r="T1101" s="35">
        <v>0.0</v>
      </c>
      <c r="U1101" s="37">
        <v>0.0</v>
      </c>
      <c r="V1101" s="38"/>
      <c r="W1101" s="78"/>
      <c r="X1101" s="27"/>
      <c r="Y1101" s="39"/>
      <c r="Z1101" s="39"/>
      <c r="AA1101" s="39"/>
      <c r="AB1101" s="27"/>
      <c r="AC1101" s="27">
        <f t="shared" si="619"/>
        <v>0</v>
      </c>
      <c r="AD1101" s="41">
        <f t="shared" si="890"/>
        <v>521.484</v>
      </c>
      <c r="AE1101" s="42"/>
      <c r="AF1101" s="27"/>
      <c r="AG1101" s="43">
        <f t="shared" si="891"/>
        <v>750.93696</v>
      </c>
      <c r="AH1101" s="29"/>
      <c r="AI1101" s="29"/>
      <c r="AJ1101" s="29"/>
      <c r="AK1101" s="29"/>
      <c r="AL1101" s="27"/>
      <c r="AM1101" s="44"/>
      <c r="AN1101" s="47"/>
      <c r="AO1101" s="46"/>
      <c r="AP1101" s="47"/>
      <c r="AQ1101" s="43">
        <f t="shared" si="892"/>
        <v>0</v>
      </c>
      <c r="AR1101" s="43">
        <f t="shared" si="448"/>
        <v>0</v>
      </c>
      <c r="AS1101" s="43">
        <f t="shared" si="449"/>
        <v>0</v>
      </c>
      <c r="AT1101" s="48">
        <f t="shared" si="753"/>
        <v>0</v>
      </c>
      <c r="AU1101" s="49">
        <f t="shared" si="887"/>
        <v>0</v>
      </c>
      <c r="AV1101" s="48"/>
      <c r="AW1101" s="34">
        <f t="shared" si="840"/>
        <v>3160.196</v>
      </c>
      <c r="AX1101" s="50">
        <f t="shared" si="811"/>
        <v>229.45296</v>
      </c>
      <c r="AY1101" s="43"/>
      <c r="AZ1101" s="47"/>
      <c r="BA1101" s="48">
        <f t="shared" si="801"/>
        <v>0</v>
      </c>
      <c r="BB1101" s="27"/>
      <c r="BC1101" s="27"/>
      <c r="BD1101" s="51"/>
      <c r="BE1101" s="52"/>
      <c r="BF1101" s="27"/>
      <c r="BG1101" s="53">
        <v>0.0</v>
      </c>
      <c r="BH1101" s="53" t="str">
        <f>'[1]2023'!Q1699</f>
        <v>#REF!</v>
      </c>
      <c r="BI1101" s="27"/>
      <c r="BJ1101" s="27"/>
      <c r="BK1101" s="27" t="s">
        <v>1102</v>
      </c>
      <c r="BL1101" s="27"/>
    </row>
    <row r="1102" ht="14.25" customHeight="1">
      <c r="A1102" s="26" t="s">
        <v>55</v>
      </c>
      <c r="B1102" s="26" t="s">
        <v>56</v>
      </c>
      <c r="C1102" s="26" t="s">
        <v>57</v>
      </c>
      <c r="D1102" s="26" t="s">
        <v>81</v>
      </c>
      <c r="E1102" s="27" t="s">
        <v>3598</v>
      </c>
      <c r="F1102" s="28" t="s">
        <v>3599</v>
      </c>
      <c r="G1102" s="29">
        <v>45204.0</v>
      </c>
      <c r="H1102" s="30">
        <v>45204.0</v>
      </c>
      <c r="I1102" s="30">
        <v>45569.0</v>
      </c>
      <c r="J1102" s="31">
        <v>0.0</v>
      </c>
      <c r="K1102" s="26" t="s">
        <v>427</v>
      </c>
      <c r="L1102" s="32" t="s">
        <v>75</v>
      </c>
      <c r="M1102" s="33">
        <v>14326.0</v>
      </c>
      <c r="N1102" s="34">
        <v>15314.24</v>
      </c>
      <c r="O1102" s="27" t="s">
        <v>76</v>
      </c>
      <c r="P1102" s="35" t="s">
        <v>122</v>
      </c>
      <c r="Q1102" s="35" t="s">
        <v>65</v>
      </c>
      <c r="R1102" s="36">
        <v>45204.0</v>
      </c>
      <c r="S1102" s="35" t="s">
        <v>86</v>
      </c>
      <c r="T1102" s="35">
        <v>0.0</v>
      </c>
      <c r="U1102" s="37" t="s">
        <v>67</v>
      </c>
      <c r="V1102" s="38"/>
      <c r="W1102" s="38"/>
      <c r="X1102" s="27"/>
      <c r="Y1102" s="39"/>
      <c r="Z1102" s="39"/>
      <c r="AA1102" s="39"/>
      <c r="AB1102" s="40"/>
      <c r="AC1102" s="27">
        <f t="shared" si="619"/>
        <v>0</v>
      </c>
      <c r="AD1102" s="41"/>
      <c r="AE1102" s="42"/>
      <c r="AF1102" s="27"/>
      <c r="AG1102" s="43">
        <f t="shared" ref="AG1102:AG1106" si="893">IF(O1102="Paid",IF(A1102="Alwataniya",(M1102*21%)-((M1102*21%)*5%),IF((A1102="GIG"),(M1102*25%)-((M1102*25%)*5%),IF((A1102="Allianz"),(M1102*27%)-((M1102*27%)*5%),0))),0)</f>
        <v>3674.619</v>
      </c>
      <c r="AH1102" s="29"/>
      <c r="AI1102" s="29"/>
      <c r="AJ1102" s="29"/>
      <c r="AK1102" s="75"/>
      <c r="AL1102" s="44"/>
      <c r="AM1102" s="27"/>
      <c r="AN1102" s="93"/>
      <c r="AO1102" s="76"/>
      <c r="AP1102" s="68"/>
      <c r="AQ1102" s="43">
        <f>IF(U1102="Motor Plus",(M1102*27%),IF(U1102="Motor One",(M1102*22%),(IF(U1102="Golden",(M1102*25%),(IF(U1102="Classic",(M1102*15%),(IF(U1102="Wethaq",(M1102*28%),IF(U1102="Alwataniya",(M1102*21%))*0))))))))</f>
        <v>3868.02</v>
      </c>
      <c r="AR1102" s="43">
        <f t="shared" si="448"/>
        <v>193.401</v>
      </c>
      <c r="AS1102" s="43">
        <f t="shared" si="449"/>
        <v>676.9035</v>
      </c>
      <c r="AT1102" s="48">
        <f t="shared" si="753"/>
        <v>2997.7155</v>
      </c>
      <c r="AU1102" s="49">
        <f t="shared" ref="AU1102:AU1110" si="894">AQ1102-AR1102-AS1102-AC1102</f>
        <v>2997.7155</v>
      </c>
      <c r="AV1102" s="48"/>
      <c r="AW1102" s="34">
        <f t="shared" si="840"/>
        <v>15314.24</v>
      </c>
      <c r="AX1102" s="50">
        <f t="shared" si="811"/>
        <v>2997.7155</v>
      </c>
      <c r="AY1102" s="43"/>
      <c r="AZ1102" s="43"/>
      <c r="BA1102" s="48">
        <f t="shared" si="801"/>
        <v>2997.7155</v>
      </c>
      <c r="BB1102" s="27"/>
      <c r="BC1102" s="27"/>
      <c r="BD1102" s="51"/>
      <c r="BE1102" s="52"/>
      <c r="BF1102" s="27" t="s">
        <v>3598</v>
      </c>
      <c r="BG1102" s="53">
        <v>0.0</v>
      </c>
      <c r="BH1102" s="53" t="str">
        <f t="shared" ref="BH1102:BH1103" si="895">'[1]2023'!Q510</f>
        <v>#REF!</v>
      </c>
      <c r="BI1102" s="27"/>
      <c r="BJ1102" s="27"/>
      <c r="BK1102" s="27" t="s">
        <v>76</v>
      </c>
      <c r="BL1102" s="27"/>
    </row>
    <row r="1103" ht="14.25" customHeight="1">
      <c r="A1103" s="26" t="s">
        <v>55</v>
      </c>
      <c r="B1103" s="26" t="s">
        <v>56</v>
      </c>
      <c r="C1103" s="26" t="s">
        <v>57</v>
      </c>
      <c r="D1103" s="26" t="s">
        <v>81</v>
      </c>
      <c r="E1103" s="27" t="s">
        <v>3600</v>
      </c>
      <c r="F1103" s="28" t="s">
        <v>3601</v>
      </c>
      <c r="G1103" s="29">
        <v>45204.0</v>
      </c>
      <c r="H1103" s="30">
        <v>45204.0</v>
      </c>
      <c r="I1103" s="30">
        <v>45569.0</v>
      </c>
      <c r="J1103" s="31">
        <v>0.0</v>
      </c>
      <c r="K1103" s="26" t="s">
        <v>427</v>
      </c>
      <c r="L1103" s="32" t="s">
        <v>63</v>
      </c>
      <c r="M1103" s="33">
        <v>0.0</v>
      </c>
      <c r="N1103" s="34">
        <v>0.0</v>
      </c>
      <c r="O1103" s="27" t="s">
        <v>64</v>
      </c>
      <c r="P1103" s="35">
        <v>0.0</v>
      </c>
      <c r="Q1103" s="35" t="s">
        <v>108</v>
      </c>
      <c r="R1103" s="36">
        <v>45204.0</v>
      </c>
      <c r="S1103" s="35" t="s">
        <v>86</v>
      </c>
      <c r="T1103" s="35">
        <v>0.0</v>
      </c>
      <c r="U1103" s="37" t="s">
        <v>67</v>
      </c>
      <c r="V1103" s="38"/>
      <c r="W1103" s="38"/>
      <c r="X1103" s="27"/>
      <c r="Y1103" s="39"/>
      <c r="Z1103" s="39"/>
      <c r="AA1103" s="39"/>
      <c r="AB1103" s="40"/>
      <c r="AC1103" s="27">
        <f t="shared" si="619"/>
        <v>0</v>
      </c>
      <c r="AD1103" s="41">
        <f t="shared" ref="AD1103:AD1104" si="896">IF(AND(S1103="0",O1103="Paid"),(M1103*15%)-AC1103,0)</f>
        <v>0</v>
      </c>
      <c r="AE1103" s="42"/>
      <c r="AF1103" s="27" t="s">
        <v>63</v>
      </c>
      <c r="AG1103" s="43">
        <f t="shared" si="893"/>
        <v>0</v>
      </c>
      <c r="AH1103" s="29"/>
      <c r="AI1103" s="29"/>
      <c r="AJ1103" s="29"/>
      <c r="AK1103" s="29"/>
      <c r="AL1103" s="27"/>
      <c r="AM1103" s="44"/>
      <c r="AN1103" s="115"/>
      <c r="AO1103" s="46"/>
      <c r="AP1103" s="47"/>
      <c r="AQ1103" s="43" t="b">
        <f t="shared" ref="AQ1103:AQ1104" si="897">IF(O1103="Paid",IF(U1103="Motor Plus",(M1103*27%),IF(U1103="Motor One",(M1103*22%),(IF(U1103="Golden",(M1103*25%),(IF(U1103="Classic",(M1103*15%),(IF(U1103="Wethaq",(M1103*28%),IF(U1103="Alwataniya",(M1103*21%))*0)))))))))</f>
        <v>0</v>
      </c>
      <c r="AR1103" s="43">
        <f t="shared" si="448"/>
        <v>0</v>
      </c>
      <c r="AS1103" s="43">
        <f t="shared" si="449"/>
        <v>0</v>
      </c>
      <c r="AT1103" s="48">
        <f t="shared" si="753"/>
        <v>0</v>
      </c>
      <c r="AU1103" s="49">
        <f t="shared" si="894"/>
        <v>0</v>
      </c>
      <c r="AV1103" s="48"/>
      <c r="AW1103" s="34">
        <f t="shared" si="840"/>
        <v>0</v>
      </c>
      <c r="AX1103" s="50">
        <f t="shared" si="811"/>
        <v>0</v>
      </c>
      <c r="AY1103" s="43"/>
      <c r="AZ1103" s="43"/>
      <c r="BA1103" s="48">
        <f t="shared" si="801"/>
        <v>0</v>
      </c>
      <c r="BB1103" s="27"/>
      <c r="BC1103" s="27"/>
      <c r="BD1103" s="51"/>
      <c r="BE1103" s="52"/>
      <c r="BF1103" s="27" t="s">
        <v>3600</v>
      </c>
      <c r="BG1103" s="53">
        <v>0.0</v>
      </c>
      <c r="BH1103" s="53" t="str">
        <f t="shared" si="895"/>
        <v>#REF!</v>
      </c>
      <c r="BI1103" s="27"/>
      <c r="BJ1103" s="27"/>
      <c r="BK1103" s="27" t="s">
        <v>64</v>
      </c>
      <c r="BL1103" s="27"/>
    </row>
    <row r="1104" ht="14.25" customHeight="1">
      <c r="A1104" s="26" t="s">
        <v>55</v>
      </c>
      <c r="B1104" s="26" t="s">
        <v>56</v>
      </c>
      <c r="C1104" s="26" t="s">
        <v>57</v>
      </c>
      <c r="D1104" s="26" t="s">
        <v>81</v>
      </c>
      <c r="E1104" s="27" t="s">
        <v>3602</v>
      </c>
      <c r="F1104" s="28" t="s">
        <v>3603</v>
      </c>
      <c r="G1104" s="29">
        <v>45204.0</v>
      </c>
      <c r="H1104" s="30">
        <v>45204.0</v>
      </c>
      <c r="I1104" s="30">
        <v>45569.0</v>
      </c>
      <c r="J1104" s="31">
        <v>0.0</v>
      </c>
      <c r="K1104" s="26" t="s">
        <v>427</v>
      </c>
      <c r="L1104" s="32" t="s">
        <v>63</v>
      </c>
      <c r="M1104" s="33">
        <v>0.0</v>
      </c>
      <c r="N1104" s="34">
        <v>0.0</v>
      </c>
      <c r="O1104" s="27" t="s">
        <v>64</v>
      </c>
      <c r="P1104" s="35">
        <v>0.0</v>
      </c>
      <c r="Q1104" s="35" t="s">
        <v>90</v>
      </c>
      <c r="R1104" s="36">
        <v>45204.0</v>
      </c>
      <c r="S1104" s="35" t="s">
        <v>86</v>
      </c>
      <c r="T1104" s="35">
        <v>0.0</v>
      </c>
      <c r="U1104" s="37" t="s">
        <v>67</v>
      </c>
      <c r="V1104" s="38"/>
      <c r="W1104" s="38"/>
      <c r="X1104" s="27"/>
      <c r="Y1104" s="39"/>
      <c r="Z1104" s="79" t="s">
        <v>764</v>
      </c>
      <c r="AA1104" s="39"/>
      <c r="AB1104" s="40"/>
      <c r="AC1104" s="27">
        <f t="shared" si="619"/>
        <v>0</v>
      </c>
      <c r="AD1104" s="41">
        <f t="shared" si="896"/>
        <v>0</v>
      </c>
      <c r="AE1104" s="42"/>
      <c r="AF1104" s="27"/>
      <c r="AG1104" s="43">
        <f t="shared" si="893"/>
        <v>0</v>
      </c>
      <c r="AH1104" s="29"/>
      <c r="AI1104" s="29"/>
      <c r="AJ1104" s="29"/>
      <c r="AK1104" s="29"/>
      <c r="AL1104" s="27"/>
      <c r="AM1104" s="44"/>
      <c r="AN1104" s="93"/>
      <c r="AO1104" s="46"/>
      <c r="AP1104" s="47"/>
      <c r="AQ1104" s="43" t="b">
        <f t="shared" si="897"/>
        <v>0</v>
      </c>
      <c r="AR1104" s="43">
        <f t="shared" si="448"/>
        <v>0</v>
      </c>
      <c r="AS1104" s="43">
        <f t="shared" si="449"/>
        <v>0</v>
      </c>
      <c r="AT1104" s="48">
        <f t="shared" si="753"/>
        <v>0</v>
      </c>
      <c r="AU1104" s="49">
        <f t="shared" si="894"/>
        <v>0</v>
      </c>
      <c r="AV1104" s="48"/>
      <c r="AW1104" s="34">
        <f t="shared" si="840"/>
        <v>0</v>
      </c>
      <c r="AX1104" s="50">
        <f t="shared" si="811"/>
        <v>0</v>
      </c>
      <c r="AY1104" s="43"/>
      <c r="AZ1104" s="43"/>
      <c r="BA1104" s="48">
        <f t="shared" si="801"/>
        <v>0</v>
      </c>
      <c r="BB1104" s="27"/>
      <c r="BC1104" s="27"/>
      <c r="BD1104" s="51"/>
      <c r="BE1104" s="52"/>
      <c r="BF1104" s="27" t="s">
        <v>3602</v>
      </c>
      <c r="BG1104" s="53">
        <v>0.0</v>
      </c>
      <c r="BH1104" s="53" t="str">
        <f>'[1]2023'!Q544</f>
        <v>#REF!</v>
      </c>
      <c r="BI1104" s="27"/>
      <c r="BJ1104" s="27"/>
      <c r="BK1104" s="27" t="s">
        <v>64</v>
      </c>
      <c r="BL1104" s="27"/>
    </row>
    <row r="1105" ht="14.25" customHeight="1">
      <c r="A1105" s="26" t="s">
        <v>55</v>
      </c>
      <c r="B1105" s="26" t="s">
        <v>56</v>
      </c>
      <c r="C1105" s="26" t="s">
        <v>57</v>
      </c>
      <c r="D1105" s="26" t="s">
        <v>81</v>
      </c>
      <c r="E1105" s="27" t="s">
        <v>3604</v>
      </c>
      <c r="F1105" s="28" t="s">
        <v>3605</v>
      </c>
      <c r="G1105" s="29">
        <v>45204.0</v>
      </c>
      <c r="H1105" s="30">
        <v>45204.0</v>
      </c>
      <c r="I1105" s="30">
        <v>45569.0</v>
      </c>
      <c r="J1105" s="31">
        <v>0.0</v>
      </c>
      <c r="K1105" s="26" t="s">
        <v>427</v>
      </c>
      <c r="L1105" s="32" t="s">
        <v>75</v>
      </c>
      <c r="M1105" s="33">
        <v>19617.5</v>
      </c>
      <c r="N1105" s="34">
        <v>20915.95</v>
      </c>
      <c r="O1105" s="27" t="s">
        <v>76</v>
      </c>
      <c r="P1105" s="35" t="s">
        <v>122</v>
      </c>
      <c r="Q1105" s="35" t="s">
        <v>90</v>
      </c>
      <c r="R1105" s="36">
        <v>45204.0</v>
      </c>
      <c r="S1105" s="35" t="s">
        <v>86</v>
      </c>
      <c r="T1105" s="35">
        <v>0.0</v>
      </c>
      <c r="U1105" s="37" t="s">
        <v>67</v>
      </c>
      <c r="V1105" s="38"/>
      <c r="W1105" s="38"/>
      <c r="X1105" s="27"/>
      <c r="Y1105" s="39"/>
      <c r="Z1105" s="79" t="s">
        <v>208</v>
      </c>
      <c r="AA1105" s="39"/>
      <c r="AB1105" s="40"/>
      <c r="AC1105" s="27">
        <f t="shared" si="619"/>
        <v>0</v>
      </c>
      <c r="AD1105" s="41">
        <f t="shared" ref="AD1105:AD1106" si="898">IF(AND(S1105="0",O1105="Paid"),M1105*15%,0)</f>
        <v>2942.625</v>
      </c>
      <c r="AE1105" s="42"/>
      <c r="AF1105" s="27"/>
      <c r="AG1105" s="43">
        <f t="shared" si="893"/>
        <v>5031.88875</v>
      </c>
      <c r="AH1105" s="29"/>
      <c r="AI1105" s="29"/>
      <c r="AJ1105" s="29"/>
      <c r="AK1105" s="29"/>
      <c r="AL1105" s="27"/>
      <c r="AM1105" s="44"/>
      <c r="AN1105" s="93"/>
      <c r="AO1105" s="46"/>
      <c r="AP1105" s="47"/>
      <c r="AQ1105" s="43">
        <f t="shared" ref="AQ1105:AQ1106" si="899">IF(U1105="Motor Plus",(M1105*27%),IF(U1105="Motor One",(M1105*22%),(IF(U1105="Golden",(M1105*25%),(IF(U1105="Classic",(M1105*15%),(IF(U1105="Wethaq",(M1105*28%),IF(U1105="Alwataniya",(M1105*21%))*0))))))))</f>
        <v>5296.725</v>
      </c>
      <c r="AR1105" s="43">
        <f t="shared" si="448"/>
        <v>264.83625</v>
      </c>
      <c r="AS1105" s="43">
        <f t="shared" si="449"/>
        <v>926.926875</v>
      </c>
      <c r="AT1105" s="48">
        <f t="shared" si="753"/>
        <v>4104.961875</v>
      </c>
      <c r="AU1105" s="49">
        <f t="shared" si="894"/>
        <v>4104.961875</v>
      </c>
      <c r="AV1105" s="48"/>
      <c r="AW1105" s="34">
        <f t="shared" si="840"/>
        <v>17973.325</v>
      </c>
      <c r="AX1105" s="50">
        <f t="shared" si="811"/>
        <v>1162.336875</v>
      </c>
      <c r="AY1105" s="43"/>
      <c r="AZ1105" s="43"/>
      <c r="BA1105" s="48">
        <f t="shared" si="801"/>
        <v>4104.961875</v>
      </c>
      <c r="BB1105" s="27"/>
      <c r="BC1105" s="27"/>
      <c r="BD1105" s="51"/>
      <c r="BE1105" s="52"/>
      <c r="BF1105" s="27" t="s">
        <v>3604</v>
      </c>
      <c r="BG1105" s="53">
        <v>0.0</v>
      </c>
      <c r="BH1105" s="53" t="str">
        <f>'[1]2023'!Q582</f>
        <v>#REF!</v>
      </c>
      <c r="BI1105" s="27"/>
      <c r="BJ1105" s="27"/>
      <c r="BK1105" s="27" t="s">
        <v>76</v>
      </c>
      <c r="BL1105" s="27"/>
    </row>
    <row r="1106" ht="14.25" customHeight="1">
      <c r="A1106" s="26" t="s">
        <v>55</v>
      </c>
      <c r="B1106" s="26" t="s">
        <v>56</v>
      </c>
      <c r="C1106" s="26" t="s">
        <v>57</v>
      </c>
      <c r="D1106" s="26" t="s">
        <v>81</v>
      </c>
      <c r="E1106" s="27" t="s">
        <v>3606</v>
      </c>
      <c r="F1106" s="28" t="s">
        <v>3607</v>
      </c>
      <c r="G1106" s="29">
        <v>45204.0</v>
      </c>
      <c r="H1106" s="30">
        <v>45204.0</v>
      </c>
      <c r="I1106" s="30">
        <v>45569.0</v>
      </c>
      <c r="J1106" s="31">
        <v>0.0</v>
      </c>
      <c r="K1106" s="26" t="s">
        <v>427</v>
      </c>
      <c r="L1106" s="32" t="s">
        <v>75</v>
      </c>
      <c r="M1106" s="33">
        <v>17517.5</v>
      </c>
      <c r="N1106" s="34">
        <v>18692.05</v>
      </c>
      <c r="O1106" s="27" t="s">
        <v>76</v>
      </c>
      <c r="P1106" s="35" t="s">
        <v>89</v>
      </c>
      <c r="Q1106" s="35" t="s">
        <v>90</v>
      </c>
      <c r="R1106" s="36">
        <v>45204.0</v>
      </c>
      <c r="S1106" s="35" t="s">
        <v>86</v>
      </c>
      <c r="T1106" s="35">
        <v>0.0</v>
      </c>
      <c r="U1106" s="37" t="s">
        <v>67</v>
      </c>
      <c r="V1106" s="38"/>
      <c r="W1106" s="38"/>
      <c r="X1106" s="27"/>
      <c r="Y1106" s="39"/>
      <c r="Z1106" s="79" t="s">
        <v>764</v>
      </c>
      <c r="AA1106" s="39"/>
      <c r="AB1106" s="40"/>
      <c r="AC1106" s="27">
        <f t="shared" si="619"/>
        <v>0</v>
      </c>
      <c r="AD1106" s="41">
        <f t="shared" si="898"/>
        <v>2627.625</v>
      </c>
      <c r="AE1106" s="42"/>
      <c r="AF1106" s="27"/>
      <c r="AG1106" s="43">
        <f t="shared" si="893"/>
        <v>4493.23875</v>
      </c>
      <c r="AH1106" s="29"/>
      <c r="AI1106" s="29"/>
      <c r="AJ1106" s="29"/>
      <c r="AK1106" s="29"/>
      <c r="AL1106" s="27"/>
      <c r="AM1106" s="44"/>
      <c r="AN1106" s="93"/>
      <c r="AO1106" s="46"/>
      <c r="AP1106" s="47"/>
      <c r="AQ1106" s="43">
        <f t="shared" si="899"/>
        <v>4729.725</v>
      </c>
      <c r="AR1106" s="43">
        <f t="shared" si="448"/>
        <v>236.48625</v>
      </c>
      <c r="AS1106" s="43">
        <f t="shared" si="449"/>
        <v>827.701875</v>
      </c>
      <c r="AT1106" s="48">
        <f t="shared" si="753"/>
        <v>3665.536875</v>
      </c>
      <c r="AU1106" s="49">
        <f t="shared" si="894"/>
        <v>3665.536875</v>
      </c>
      <c r="AV1106" s="48"/>
      <c r="AW1106" s="34">
        <f t="shared" si="840"/>
        <v>16064.425</v>
      </c>
      <c r="AX1106" s="50">
        <f t="shared" si="811"/>
        <v>1037.911875</v>
      </c>
      <c r="AY1106" s="43"/>
      <c r="AZ1106" s="43"/>
      <c r="BA1106" s="48">
        <f t="shared" si="801"/>
        <v>3665.536875</v>
      </c>
      <c r="BB1106" s="27"/>
      <c r="BC1106" s="27"/>
      <c r="BD1106" s="51"/>
      <c r="BE1106" s="52"/>
      <c r="BF1106" s="27" t="s">
        <v>3606</v>
      </c>
      <c r="BG1106" s="58" t="s">
        <v>3608</v>
      </c>
      <c r="BH1106" s="53" t="str">
        <f>'[1]2023'!Q592</f>
        <v>#REF!</v>
      </c>
      <c r="BI1106" s="27"/>
      <c r="BJ1106" s="27"/>
      <c r="BK1106" s="27" t="s">
        <v>76</v>
      </c>
      <c r="BL1106" s="27"/>
    </row>
    <row r="1107" ht="14.25" customHeight="1">
      <c r="A1107" s="26" t="s">
        <v>111</v>
      </c>
      <c r="B1107" s="26" t="s">
        <v>56</v>
      </c>
      <c r="C1107" s="26" t="s">
        <v>57</v>
      </c>
      <c r="D1107" s="26" t="s">
        <v>71</v>
      </c>
      <c r="E1107" s="27" t="s">
        <v>3609</v>
      </c>
      <c r="F1107" s="28" t="s">
        <v>3610</v>
      </c>
      <c r="G1107" s="29">
        <v>45204.0</v>
      </c>
      <c r="H1107" s="30">
        <v>45204.0</v>
      </c>
      <c r="I1107" s="30">
        <v>45569.0</v>
      </c>
      <c r="J1107" s="31" t="s">
        <v>3611</v>
      </c>
      <c r="K1107" s="26" t="s">
        <v>427</v>
      </c>
      <c r="L1107" s="32" t="s">
        <v>63</v>
      </c>
      <c r="M1107" s="33">
        <v>42723.51</v>
      </c>
      <c r="N1107" s="34">
        <v>45500.0</v>
      </c>
      <c r="O1107" s="27" t="s">
        <v>64</v>
      </c>
      <c r="P1107" s="35" t="s">
        <v>142</v>
      </c>
      <c r="Q1107" s="35" t="s">
        <v>108</v>
      </c>
      <c r="R1107" s="36">
        <v>45213.0</v>
      </c>
      <c r="S1107" s="35" t="s">
        <v>86</v>
      </c>
      <c r="T1107" s="35">
        <v>0.0</v>
      </c>
      <c r="U1107" s="37" t="s">
        <v>115</v>
      </c>
      <c r="V1107" s="38">
        <v>1750000.0</v>
      </c>
      <c r="W1107" s="38"/>
      <c r="X1107" s="27"/>
      <c r="Y1107" s="39"/>
      <c r="Z1107" s="79" t="s">
        <v>3612</v>
      </c>
      <c r="AA1107" s="39"/>
      <c r="AB1107" s="40"/>
      <c r="AC1107" s="27">
        <f t="shared" si="619"/>
        <v>0</v>
      </c>
      <c r="AD1107" s="41">
        <f t="shared" ref="AD1107:AD1108" si="900">IF(AND(S1107="0",O1107="Paid"),(M1107*15%)-AC1107,0)</f>
        <v>0</v>
      </c>
      <c r="AE1107" s="42"/>
      <c r="AF1107" s="27"/>
      <c r="AG1107" s="43">
        <f>IF(O1107="Paid",IF(A1107="Alwataniya",(M1107*21%)-((M1107*21%)*5%),IF((A1107="GIG"),(M1107*25%)-((M1107*25%)*5%),IF((A1107="Allianz"),(M1107*27%)-((M1107*27%)*20%),0))),0)</f>
        <v>0</v>
      </c>
      <c r="AH1107" s="29"/>
      <c r="AI1107" s="29"/>
      <c r="AJ1107" s="29"/>
      <c r="AK1107" s="29"/>
      <c r="AL1107" s="27"/>
      <c r="AM1107" s="44"/>
      <c r="AN1107" s="93"/>
      <c r="AO1107" s="46"/>
      <c r="AP1107" s="47"/>
      <c r="AQ1107" s="43" t="b">
        <f t="shared" ref="AQ1107:AQ1108" si="901">IF(O1107="Paid",IF(U1107="Motor Plus",(M1107*27%),IF(U1107="Motor One",(M1107*22%),(IF(U1107="Golden",(M1107*25%),(IF(U1107="Classic",(M1107*15%),(IF(U1107="Wethaq",(M1107*28%),IF(U1107="Alwataniya",(M1107*21%))*0)))))))))</f>
        <v>0</v>
      </c>
      <c r="AR1107" s="43">
        <f t="shared" si="448"/>
        <v>0</v>
      </c>
      <c r="AS1107" s="43">
        <f t="shared" si="449"/>
        <v>0</v>
      </c>
      <c r="AT1107" s="48">
        <f t="shared" si="753"/>
        <v>0</v>
      </c>
      <c r="AU1107" s="49">
        <f t="shared" si="894"/>
        <v>0</v>
      </c>
      <c r="AV1107" s="48"/>
      <c r="AW1107" s="34">
        <f t="shared" si="840"/>
        <v>45500</v>
      </c>
      <c r="AX1107" s="50">
        <f t="shared" si="811"/>
        <v>0</v>
      </c>
      <c r="AY1107" s="43"/>
      <c r="AZ1107" s="43"/>
      <c r="BA1107" s="48">
        <f t="shared" si="801"/>
        <v>0</v>
      </c>
      <c r="BB1107" s="27"/>
      <c r="BC1107" s="27"/>
      <c r="BD1107" s="51"/>
      <c r="BE1107" s="52"/>
      <c r="BF1107" s="27" t="s">
        <v>3609</v>
      </c>
      <c r="BG1107" s="53">
        <v>0.0</v>
      </c>
      <c r="BH1107" s="53" t="str">
        <f>'[1]2023'!Q610</f>
        <v>#REF!</v>
      </c>
      <c r="BI1107" s="27"/>
      <c r="BJ1107" s="27"/>
      <c r="BK1107" s="27" t="s">
        <v>64</v>
      </c>
      <c r="BL1107" s="64" t="s">
        <v>998</v>
      </c>
    </row>
    <row r="1108" ht="14.25" customHeight="1">
      <c r="A1108" s="26" t="s">
        <v>55</v>
      </c>
      <c r="B1108" s="26" t="s">
        <v>56</v>
      </c>
      <c r="C1108" s="26" t="s">
        <v>57</v>
      </c>
      <c r="D1108" s="26" t="s">
        <v>81</v>
      </c>
      <c r="E1108" s="27" t="s">
        <v>3613</v>
      </c>
      <c r="F1108" s="28" t="s">
        <v>3614</v>
      </c>
      <c r="G1108" s="29">
        <v>45204.0</v>
      </c>
      <c r="H1108" s="30">
        <v>45204.0</v>
      </c>
      <c r="I1108" s="30">
        <v>45569.0</v>
      </c>
      <c r="J1108" s="31">
        <v>0.0</v>
      </c>
      <c r="K1108" s="26" t="s">
        <v>427</v>
      </c>
      <c r="L1108" s="32" t="s">
        <v>63</v>
      </c>
      <c r="M1108" s="33">
        <v>0.0</v>
      </c>
      <c r="N1108" s="34">
        <v>0.0</v>
      </c>
      <c r="O1108" s="27" t="s">
        <v>64</v>
      </c>
      <c r="P1108" s="35">
        <v>0.0</v>
      </c>
      <c r="Q1108" s="35" t="s">
        <v>90</v>
      </c>
      <c r="R1108" s="36">
        <v>45204.0</v>
      </c>
      <c r="S1108" s="35" t="s">
        <v>86</v>
      </c>
      <c r="T1108" s="35">
        <v>0.0</v>
      </c>
      <c r="U1108" s="37" t="s">
        <v>67</v>
      </c>
      <c r="V1108" s="38"/>
      <c r="W1108" s="38"/>
      <c r="X1108" s="27"/>
      <c r="Y1108" s="39"/>
      <c r="Z1108" s="79" t="s">
        <v>764</v>
      </c>
      <c r="AA1108" s="39"/>
      <c r="AB1108" s="40"/>
      <c r="AC1108" s="27">
        <f t="shared" si="619"/>
        <v>0</v>
      </c>
      <c r="AD1108" s="41">
        <f t="shared" si="900"/>
        <v>0</v>
      </c>
      <c r="AE1108" s="42"/>
      <c r="AF1108" s="27"/>
      <c r="AG1108" s="43">
        <f t="shared" ref="AG1108:AG1109" si="902">IF(O1108="Paid",IF(A1108="Alwataniya",(M1108*21%)-((M1108*21%)*5%),IF((A1108="GIG"),(M1108*25%)-((M1108*25%)*5%),IF((A1108="Allianz"),(M1108*27%)-((M1108*27%)*5%),0))),0)</f>
        <v>0</v>
      </c>
      <c r="AH1108" s="29"/>
      <c r="AI1108" s="29"/>
      <c r="AJ1108" s="29"/>
      <c r="AK1108" s="29"/>
      <c r="AL1108" s="27"/>
      <c r="AM1108" s="44"/>
      <c r="AN1108" s="93"/>
      <c r="AO1108" s="46"/>
      <c r="AP1108" s="47"/>
      <c r="AQ1108" s="43" t="b">
        <f t="shared" si="901"/>
        <v>0</v>
      </c>
      <c r="AR1108" s="43">
        <f t="shared" si="448"/>
        <v>0</v>
      </c>
      <c r="AS1108" s="43">
        <f t="shared" si="449"/>
        <v>0</v>
      </c>
      <c r="AT1108" s="48">
        <f t="shared" si="753"/>
        <v>0</v>
      </c>
      <c r="AU1108" s="49">
        <f t="shared" si="894"/>
        <v>0</v>
      </c>
      <c r="AV1108" s="48"/>
      <c r="AW1108" s="34">
        <f t="shared" si="840"/>
        <v>0</v>
      </c>
      <c r="AX1108" s="50">
        <f t="shared" si="811"/>
        <v>0</v>
      </c>
      <c r="AY1108" s="43"/>
      <c r="AZ1108" s="43"/>
      <c r="BA1108" s="48">
        <f t="shared" si="801"/>
        <v>0</v>
      </c>
      <c r="BB1108" s="27"/>
      <c r="BC1108" s="27"/>
      <c r="BD1108" s="51"/>
      <c r="BE1108" s="52"/>
      <c r="BF1108" s="27" t="s">
        <v>3613</v>
      </c>
      <c r="BG1108" s="53">
        <v>0.0</v>
      </c>
      <c r="BH1108" s="53" t="str">
        <f>'[1]2023'!Q623</f>
        <v>#REF!</v>
      </c>
      <c r="BI1108" s="27"/>
      <c r="BJ1108" s="27"/>
      <c r="BK1108" s="27" t="s">
        <v>64</v>
      </c>
      <c r="BL1108" s="27"/>
    </row>
    <row r="1109" ht="14.25" customHeight="1">
      <c r="A1109" s="26" t="s">
        <v>55</v>
      </c>
      <c r="B1109" s="26" t="s">
        <v>56</v>
      </c>
      <c r="C1109" s="26" t="s">
        <v>57</v>
      </c>
      <c r="D1109" s="26" t="s">
        <v>81</v>
      </c>
      <c r="E1109" s="27" t="s">
        <v>3615</v>
      </c>
      <c r="F1109" s="28" t="s">
        <v>3324</v>
      </c>
      <c r="G1109" s="29">
        <v>45204.0</v>
      </c>
      <c r="H1109" s="30">
        <v>45204.0</v>
      </c>
      <c r="I1109" s="30">
        <v>45569.0</v>
      </c>
      <c r="J1109" s="31">
        <v>0.0</v>
      </c>
      <c r="K1109" s="26" t="s">
        <v>427</v>
      </c>
      <c r="L1109" s="32" t="s">
        <v>75</v>
      </c>
      <c r="M1109" s="33">
        <v>263200.0</v>
      </c>
      <c r="N1109" s="34">
        <v>278869.8</v>
      </c>
      <c r="O1109" s="27" t="s">
        <v>76</v>
      </c>
      <c r="P1109" s="35" t="s">
        <v>77</v>
      </c>
      <c r="Q1109" s="35" t="s">
        <v>108</v>
      </c>
      <c r="R1109" s="36">
        <v>45204.0</v>
      </c>
      <c r="S1109" s="35" t="s">
        <v>86</v>
      </c>
      <c r="T1109" s="35">
        <v>0.0</v>
      </c>
      <c r="U1109" s="37" t="s">
        <v>157</v>
      </c>
      <c r="V1109" s="38"/>
      <c r="W1109" s="38"/>
      <c r="X1109" s="27"/>
      <c r="Y1109" s="39"/>
      <c r="Z1109" s="39"/>
      <c r="AA1109" s="39"/>
      <c r="AB1109" s="40"/>
      <c r="AC1109" s="27">
        <f t="shared" si="619"/>
        <v>0</v>
      </c>
      <c r="AD1109" s="41"/>
      <c r="AE1109" s="42"/>
      <c r="AF1109" s="27" t="s">
        <v>3327</v>
      </c>
      <c r="AG1109" s="43">
        <f t="shared" si="902"/>
        <v>67510.8</v>
      </c>
      <c r="AH1109" s="29"/>
      <c r="AI1109" s="29"/>
      <c r="AJ1109" s="29"/>
      <c r="AK1109" s="29"/>
      <c r="AL1109" s="27"/>
      <c r="AM1109" s="44"/>
      <c r="AN1109" s="93"/>
      <c r="AO1109" s="46"/>
      <c r="AP1109" s="47"/>
      <c r="AQ1109" s="43">
        <f>IF(U1109="Motor Plus",(M1109*27%),IF(U1109="Motor One",(M1109*22%),(IF(U1109="Golden",(M1109*25%),(IF(U1109="Classic",(M1109*15%),(IF(U1109="Wethaq",(M1109*28%),IF(U1109="Alwataniya",(M1109*21%))*0))))))))</f>
        <v>57904</v>
      </c>
      <c r="AR1109" s="43">
        <f t="shared" si="448"/>
        <v>2895.2</v>
      </c>
      <c r="AS1109" s="43">
        <f t="shared" si="449"/>
        <v>10133.2</v>
      </c>
      <c r="AT1109" s="48">
        <f t="shared" si="753"/>
        <v>44875.6</v>
      </c>
      <c r="AU1109" s="49">
        <f t="shared" si="894"/>
        <v>44875.6</v>
      </c>
      <c r="AV1109" s="48"/>
      <c r="AW1109" s="34">
        <f t="shared" si="840"/>
        <v>278869.8</v>
      </c>
      <c r="AX1109" s="50">
        <f t="shared" si="811"/>
        <v>57377.6</v>
      </c>
      <c r="AY1109" s="43"/>
      <c r="AZ1109" s="43"/>
      <c r="BA1109" s="48">
        <f t="shared" si="801"/>
        <v>44875.6</v>
      </c>
      <c r="BB1109" s="27"/>
      <c r="BC1109" s="27"/>
      <c r="BD1109" s="51"/>
      <c r="BE1109" s="52"/>
      <c r="BF1109" s="27" t="s">
        <v>3615</v>
      </c>
      <c r="BG1109" s="53">
        <v>0.0</v>
      </c>
      <c r="BH1109" s="53" t="str">
        <f>'[1]2023'!Q633</f>
        <v>#REF!</v>
      </c>
      <c r="BI1109" s="27"/>
      <c r="BJ1109" s="27"/>
      <c r="BK1109" s="27" t="s">
        <v>76</v>
      </c>
      <c r="BL1109" s="27"/>
    </row>
    <row r="1110" ht="14.25" customHeight="1">
      <c r="A1110" s="26" t="s">
        <v>111</v>
      </c>
      <c r="B1110" s="26" t="s">
        <v>56</v>
      </c>
      <c r="C1110" s="26" t="s">
        <v>57</v>
      </c>
      <c r="D1110" s="26" t="s">
        <v>71</v>
      </c>
      <c r="E1110" s="27" t="s">
        <v>3616</v>
      </c>
      <c r="F1110" s="28" t="s">
        <v>3617</v>
      </c>
      <c r="G1110" s="29">
        <v>45204.0</v>
      </c>
      <c r="H1110" s="30">
        <v>45204.0</v>
      </c>
      <c r="I1110" s="30">
        <v>45569.0</v>
      </c>
      <c r="J1110" s="31" t="s">
        <v>3618</v>
      </c>
      <c r="K1110" s="26" t="s">
        <v>475</v>
      </c>
      <c r="L1110" s="32" t="s">
        <v>63</v>
      </c>
      <c r="M1110" s="33">
        <v>12034.18</v>
      </c>
      <c r="N1110" s="34">
        <v>13000.0</v>
      </c>
      <c r="O1110" s="27" t="s">
        <v>64</v>
      </c>
      <c r="P1110" s="35">
        <v>0.0</v>
      </c>
      <c r="Q1110" s="35" t="s">
        <v>114</v>
      </c>
      <c r="R1110" s="36">
        <v>45213.0</v>
      </c>
      <c r="S1110" s="35" t="s">
        <v>676</v>
      </c>
      <c r="T1110" s="35">
        <v>0.0</v>
      </c>
      <c r="U1110" s="37" t="s">
        <v>115</v>
      </c>
      <c r="V1110" s="38">
        <v>500000.0</v>
      </c>
      <c r="W1110" s="38"/>
      <c r="X1110" s="27"/>
      <c r="Y1110" s="39"/>
      <c r="Z1110" s="39" t="s">
        <v>3619</v>
      </c>
      <c r="AA1110" s="39"/>
      <c r="AB1110" s="40"/>
      <c r="AC1110" s="27">
        <f t="shared" si="619"/>
        <v>0</v>
      </c>
      <c r="AD1110" s="41">
        <f t="shared" ref="AD1110:AD1116" si="903">IF(AND(S1110="0",O1110="Paid"),(M1110*15%)-AC1110,0)</f>
        <v>0</v>
      </c>
      <c r="AE1110" s="42"/>
      <c r="AF1110" s="27"/>
      <c r="AG1110" s="43">
        <f>IF(O1110="Paid",IF(A1110="Alwataniya",(M1110*21%)-((M1110*21%)*5%),IF((A1110="GIG"),(M1110*25%)-((M1110*25%)*5%),IF((A1110="Allianz"),(M1110*27%)-((M1110*27%)*20%),0))),0)</f>
        <v>0</v>
      </c>
      <c r="AH1110" s="29"/>
      <c r="AI1110" s="29"/>
      <c r="AJ1110" s="29"/>
      <c r="AK1110" s="29"/>
      <c r="AL1110" s="27"/>
      <c r="AM1110" s="27"/>
      <c r="AN1110" s="93"/>
      <c r="AO1110" s="68"/>
      <c r="AP1110" s="47"/>
      <c r="AQ1110" s="43" t="b">
        <f>IF(O1110="Paid",IF(U1110="Motor Plus",(M1110*27%),IF(U1110="Motor One",(M1110*22%),(IF(U1110="Golden",(M1110*25%),(IF(U1110="Classic",(M1110*15%),(IF(U1110="Wethaq",(M1110*28%),IF(U1110="Alwataniya",(M1110*21%))*0)))))))))</f>
        <v>0</v>
      </c>
      <c r="AR1110" s="43">
        <f t="shared" si="448"/>
        <v>0</v>
      </c>
      <c r="AS1110" s="43">
        <f t="shared" si="449"/>
        <v>0</v>
      </c>
      <c r="AT1110" s="48">
        <f t="shared" si="753"/>
        <v>0</v>
      </c>
      <c r="AU1110" s="49">
        <f t="shared" si="894"/>
        <v>0</v>
      </c>
      <c r="AV1110" s="48"/>
      <c r="AW1110" s="34">
        <f t="shared" si="840"/>
        <v>13000</v>
      </c>
      <c r="AX1110" s="50">
        <f t="shared" si="811"/>
        <v>0</v>
      </c>
      <c r="AY1110" s="43"/>
      <c r="AZ1110" s="43"/>
      <c r="BA1110" s="48">
        <f t="shared" si="801"/>
        <v>0</v>
      </c>
      <c r="BB1110" s="27"/>
      <c r="BC1110" s="27"/>
      <c r="BD1110" s="51"/>
      <c r="BE1110" s="52"/>
      <c r="BF1110" s="27" t="s">
        <v>3616</v>
      </c>
      <c r="BG1110" s="58" t="s">
        <v>3620</v>
      </c>
      <c r="BH1110" s="53" t="str">
        <f>'[1]2023'!Q644</f>
        <v>#REF!</v>
      </c>
      <c r="BI1110" s="27"/>
      <c r="BJ1110" s="27"/>
      <c r="BK1110" s="27" t="s">
        <v>64</v>
      </c>
      <c r="BL1110" s="27"/>
    </row>
    <row r="1111" ht="14.25" customHeight="1">
      <c r="A1111" s="26" t="s">
        <v>55</v>
      </c>
      <c r="B1111" s="26" t="s">
        <v>56</v>
      </c>
      <c r="C1111" s="26" t="s">
        <v>57</v>
      </c>
      <c r="D1111" s="26" t="s">
        <v>81</v>
      </c>
      <c r="E1111" s="27" t="s">
        <v>3621</v>
      </c>
      <c r="F1111" s="28" t="s">
        <v>3622</v>
      </c>
      <c r="G1111" s="29">
        <v>45204.0</v>
      </c>
      <c r="H1111" s="30">
        <v>45204.0</v>
      </c>
      <c r="I1111" s="30">
        <v>45569.0</v>
      </c>
      <c r="J1111" s="31" t="s">
        <v>3623</v>
      </c>
      <c r="K1111" s="26" t="s">
        <v>931</v>
      </c>
      <c r="L1111" s="32" t="s">
        <v>3408</v>
      </c>
      <c r="M1111" s="33">
        <v>16245.0</v>
      </c>
      <c r="N1111" s="34">
        <v>17425.69</v>
      </c>
      <c r="O1111" s="27" t="s">
        <v>76</v>
      </c>
      <c r="P1111" s="35" t="s">
        <v>95</v>
      </c>
      <c r="Q1111" s="35">
        <v>0.0</v>
      </c>
      <c r="R1111" s="36">
        <v>45204.0</v>
      </c>
      <c r="S1111" s="35" t="s">
        <v>86</v>
      </c>
      <c r="T1111" s="35">
        <v>0.0</v>
      </c>
      <c r="U1111" s="37" t="s">
        <v>67</v>
      </c>
      <c r="V1111" s="38">
        <v>900000.0</v>
      </c>
      <c r="W1111" s="78">
        <v>263956.0</v>
      </c>
      <c r="X1111" s="27">
        <v>2019.0</v>
      </c>
      <c r="Y1111" s="79" t="s">
        <v>3295</v>
      </c>
      <c r="Z1111" s="79" t="s">
        <v>1155</v>
      </c>
      <c r="AA1111" s="39">
        <v>964286.0</v>
      </c>
      <c r="AB1111" s="55">
        <v>0.09</v>
      </c>
      <c r="AC1111" s="27">
        <f t="shared" si="619"/>
        <v>1462.05</v>
      </c>
      <c r="AD1111" s="41">
        <f t="shared" si="903"/>
        <v>974.7</v>
      </c>
      <c r="AE1111" s="42"/>
      <c r="AF1111" s="27"/>
      <c r="AG1111" s="43">
        <f t="shared" ref="AG1111:AG1113" si="904">IF(O1111="Paid",IF(A1111="Alwataniya",(M1111*21%)-((M1111*21%)*5%),IF((A1111="GIG"),(M1111*25%)-((M1111*25%)*5%),IF((A1111="Allianz"),(M1111*27%)-((M1111*27%)*5%),0))),0)</f>
        <v>4166.8425</v>
      </c>
      <c r="AH1111" s="29"/>
      <c r="AI1111" s="29"/>
      <c r="AJ1111" s="29"/>
      <c r="AK1111" s="29"/>
      <c r="AL1111" s="27"/>
      <c r="AM1111" s="44"/>
      <c r="AN1111" s="68"/>
      <c r="AO1111" s="46"/>
      <c r="AP1111" s="47"/>
      <c r="AQ1111" s="43">
        <f>IF(U1111="Motor Plus",(M1111*11.5%),IF(U1111="Motor One",(M1111*22%),(IF(U1111="Golden",(M1111*25%),(IF(U1111="Classic",(M1111*15%),(IF(U1111="Wethaq",(M1111*28%),IF(U1111="Alwataniya",(M1111*21%))*0))))))))</f>
        <v>1868.175</v>
      </c>
      <c r="AR1111" s="43">
        <f t="shared" si="448"/>
        <v>93.40875</v>
      </c>
      <c r="AS1111" s="43">
        <f t="shared" si="449"/>
        <v>326.930625</v>
      </c>
      <c r="AT1111" s="48">
        <f t="shared" si="753"/>
        <v>1447.835625</v>
      </c>
      <c r="AU1111" s="49">
        <f t="shared" ref="AU1111:AU1114" si="905">AQ1111-AR1111-AS1111-AC1111-AO1111</f>
        <v>-14.214375</v>
      </c>
      <c r="AV1111" s="48"/>
      <c r="AW1111" s="34">
        <f t="shared" si="840"/>
        <v>14988.94</v>
      </c>
      <c r="AX1111" s="50">
        <f t="shared" si="811"/>
        <v>2865.211875</v>
      </c>
      <c r="AY1111" s="43"/>
      <c r="AZ1111" s="47"/>
      <c r="BA1111" s="48">
        <f t="shared" si="801"/>
        <v>-14.214375</v>
      </c>
      <c r="BB1111" s="27"/>
      <c r="BC1111" s="27"/>
      <c r="BD1111" s="51"/>
      <c r="BE1111" s="52"/>
      <c r="BF1111" s="27"/>
      <c r="BG1111" s="53">
        <v>0.0</v>
      </c>
      <c r="BH1111" s="53" t="str">
        <f>'[1]2023'!Q1419</f>
        <v>#REF!</v>
      </c>
      <c r="BI1111" s="27"/>
      <c r="BJ1111" s="27"/>
      <c r="BK1111" s="27" t="s">
        <v>76</v>
      </c>
      <c r="BL1111" s="27"/>
    </row>
    <row r="1112" ht="14.25" customHeight="1">
      <c r="A1112" s="26" t="s">
        <v>55</v>
      </c>
      <c r="B1112" s="26" t="s">
        <v>56</v>
      </c>
      <c r="C1112" s="26" t="s">
        <v>57</v>
      </c>
      <c r="D1112" s="26" t="s">
        <v>81</v>
      </c>
      <c r="E1112" s="27" t="s">
        <v>3624</v>
      </c>
      <c r="F1112" s="28" t="s">
        <v>3625</v>
      </c>
      <c r="G1112" s="182">
        <v>45204.0</v>
      </c>
      <c r="H1112" s="30">
        <v>45204.0</v>
      </c>
      <c r="I1112" s="30">
        <v>45569.0</v>
      </c>
      <c r="J1112" s="31" t="s">
        <v>3626</v>
      </c>
      <c r="K1112" s="26" t="s">
        <v>931</v>
      </c>
      <c r="L1112" s="183" t="s">
        <v>63</v>
      </c>
      <c r="M1112" s="33">
        <v>26550.0</v>
      </c>
      <c r="N1112" s="34">
        <v>28390.2</v>
      </c>
      <c r="O1112" s="27" t="s">
        <v>76</v>
      </c>
      <c r="P1112" s="35" t="s">
        <v>142</v>
      </c>
      <c r="Q1112" s="35" t="s">
        <v>90</v>
      </c>
      <c r="R1112" s="36">
        <v>45204.0</v>
      </c>
      <c r="S1112" s="35" t="s">
        <v>86</v>
      </c>
      <c r="T1112" s="35">
        <v>0.0</v>
      </c>
      <c r="U1112" s="37">
        <v>0.0</v>
      </c>
      <c r="V1112" s="38"/>
      <c r="W1112" s="78"/>
      <c r="X1112" s="27"/>
      <c r="Y1112" s="39"/>
      <c r="Z1112" s="39"/>
      <c r="AA1112" s="39"/>
      <c r="AB1112" s="27"/>
      <c r="AC1112" s="27">
        <f t="shared" si="619"/>
        <v>0</v>
      </c>
      <c r="AD1112" s="41">
        <f t="shared" si="903"/>
        <v>3982.5</v>
      </c>
      <c r="AE1112" s="42"/>
      <c r="AF1112" s="205">
        <v>45266.0</v>
      </c>
      <c r="AG1112" s="43">
        <f t="shared" si="904"/>
        <v>6810.075</v>
      </c>
      <c r="AH1112" s="29"/>
      <c r="AI1112" s="29"/>
      <c r="AJ1112" s="29"/>
      <c r="AK1112" s="29"/>
      <c r="AL1112" s="27"/>
      <c r="AM1112" s="44"/>
      <c r="AN1112" s="47"/>
      <c r="AO1112" s="46"/>
      <c r="AP1112" s="47"/>
      <c r="AQ1112" s="43">
        <f>IF(O1112="Paid",IF(U1112="Motor Plus",(M1112*27%),IF(U1112="Motor One",(M1112*22%),(IF(U1112="Golden",(M1112*25%),(IF(U1112="Classic",(M1112*15%),(IF(U1112="Wethaq",(M1112*28%),IF(U1112="Alwataniya",(M1112*21%))*0)))))))))</f>
        <v>0</v>
      </c>
      <c r="AR1112" s="43">
        <f t="shared" si="448"/>
        <v>0</v>
      </c>
      <c r="AS1112" s="43">
        <f t="shared" si="449"/>
        <v>0</v>
      </c>
      <c r="AT1112" s="48">
        <f t="shared" si="753"/>
        <v>0</v>
      </c>
      <c r="AU1112" s="49">
        <f t="shared" si="905"/>
        <v>0</v>
      </c>
      <c r="AV1112" s="48"/>
      <c r="AW1112" s="34">
        <f t="shared" si="840"/>
        <v>24407.7</v>
      </c>
      <c r="AX1112" s="50">
        <f t="shared" si="811"/>
        <v>2827.575</v>
      </c>
      <c r="AY1112" s="43"/>
      <c r="AZ1112" s="47"/>
      <c r="BA1112" s="48">
        <f t="shared" si="801"/>
        <v>0</v>
      </c>
      <c r="BB1112" s="27"/>
      <c r="BC1112" s="27"/>
      <c r="BD1112" s="51"/>
      <c r="BE1112" s="52"/>
      <c r="BF1112" s="27"/>
      <c r="BG1112" s="58" t="s">
        <v>3627</v>
      </c>
      <c r="BH1112" s="53" t="str">
        <f>'[1]2023'!Q1438</f>
        <v>#REF!</v>
      </c>
      <c r="BI1112" s="27"/>
      <c r="BJ1112" s="27"/>
      <c r="BK1112" s="27" t="s">
        <v>76</v>
      </c>
      <c r="BL1112" s="27"/>
    </row>
    <row r="1113" ht="14.25" customHeight="1">
      <c r="A1113" s="26" t="s">
        <v>55</v>
      </c>
      <c r="B1113" s="26" t="s">
        <v>56</v>
      </c>
      <c r="C1113" s="26" t="s">
        <v>57</v>
      </c>
      <c r="D1113" s="26" t="s">
        <v>81</v>
      </c>
      <c r="E1113" s="27" t="s">
        <v>3628</v>
      </c>
      <c r="F1113" s="28" t="s">
        <v>3629</v>
      </c>
      <c r="G1113" s="29">
        <v>45204.0</v>
      </c>
      <c r="H1113" s="30">
        <v>45204.0</v>
      </c>
      <c r="I1113" s="30">
        <v>45569.0</v>
      </c>
      <c r="J1113" s="31" t="s">
        <v>3630</v>
      </c>
      <c r="K1113" s="26" t="s">
        <v>931</v>
      </c>
      <c r="L1113" s="32" t="s">
        <v>3631</v>
      </c>
      <c r="M1113" s="33">
        <v>20629.32</v>
      </c>
      <c r="N1113" s="34">
        <v>22091.0</v>
      </c>
      <c r="O1113" s="27" t="s">
        <v>76</v>
      </c>
      <c r="P1113" s="35" t="s">
        <v>430</v>
      </c>
      <c r="Q1113" s="35">
        <v>0.0</v>
      </c>
      <c r="R1113" s="36">
        <v>45204.0</v>
      </c>
      <c r="S1113" s="35" t="s">
        <v>86</v>
      </c>
      <c r="T1113" s="35">
        <v>0.0</v>
      </c>
      <c r="U1113" s="37" t="s">
        <v>67</v>
      </c>
      <c r="V1113" s="38"/>
      <c r="W1113" s="78"/>
      <c r="X1113" s="27"/>
      <c r="Y1113" s="39"/>
      <c r="Z1113" s="39"/>
      <c r="AA1113" s="39"/>
      <c r="AB1113" s="27"/>
      <c r="AC1113" s="27">
        <f t="shared" si="619"/>
        <v>0</v>
      </c>
      <c r="AD1113" s="41">
        <f t="shared" si="903"/>
        <v>3094.398</v>
      </c>
      <c r="AE1113" s="42"/>
      <c r="AF1113" s="27"/>
      <c r="AG1113" s="43">
        <f t="shared" si="904"/>
        <v>5291.42058</v>
      </c>
      <c r="AH1113" s="29"/>
      <c r="AI1113" s="29"/>
      <c r="AJ1113" s="29"/>
      <c r="AK1113" s="29"/>
      <c r="AL1113" s="27"/>
      <c r="AM1113" s="44"/>
      <c r="AN1113" s="47"/>
      <c r="AO1113" s="46"/>
      <c r="AP1113" s="47"/>
      <c r="AQ1113" s="43">
        <f>IF(U1113="Motor Plus",(M1113*27%),IF(U1113="Motor One",(M1113*22%),(IF(U1113="Golden",(M1113*25%),(IF(U1113="Classic",(M1113*15%),(IF(U1113="Wethaq",(M1113*28%),IF(U1113="Alwataniya",(M1113*21%))*0))))))))</f>
        <v>5569.9164</v>
      </c>
      <c r="AR1113" s="43">
        <f t="shared" si="448"/>
        <v>278.49582</v>
      </c>
      <c r="AS1113" s="43">
        <f t="shared" si="449"/>
        <v>974.73537</v>
      </c>
      <c r="AT1113" s="48">
        <f t="shared" si="753"/>
        <v>4316.68521</v>
      </c>
      <c r="AU1113" s="49">
        <f t="shared" si="905"/>
        <v>4316.68521</v>
      </c>
      <c r="AV1113" s="48"/>
      <c r="AW1113" s="34">
        <f t="shared" si="840"/>
        <v>18996.602</v>
      </c>
      <c r="AX1113" s="50">
        <f t="shared" si="811"/>
        <v>1222.28721</v>
      </c>
      <c r="AY1113" s="43"/>
      <c r="AZ1113" s="47"/>
      <c r="BA1113" s="48">
        <f t="shared" si="801"/>
        <v>4316.68521</v>
      </c>
      <c r="BB1113" s="27"/>
      <c r="BC1113" s="27"/>
      <c r="BD1113" s="51"/>
      <c r="BE1113" s="52"/>
      <c r="BF1113" s="27"/>
      <c r="BG1113" s="58" t="s">
        <v>1917</v>
      </c>
      <c r="BH1113" s="53" t="str">
        <f>'[1]2023'!Q1450</f>
        <v>#REF!</v>
      </c>
      <c r="BI1113" s="27"/>
      <c r="BJ1113" s="27"/>
      <c r="BK1113" s="27" t="s">
        <v>76</v>
      </c>
      <c r="BL1113" s="27"/>
    </row>
    <row r="1114" ht="14.25" customHeight="1">
      <c r="A1114" s="26" t="s">
        <v>55</v>
      </c>
      <c r="B1114" s="26" t="s">
        <v>56</v>
      </c>
      <c r="C1114" s="26" t="s">
        <v>57</v>
      </c>
      <c r="D1114" s="26" t="s">
        <v>81</v>
      </c>
      <c r="E1114" s="27" t="s">
        <v>3632</v>
      </c>
      <c r="F1114" s="28" t="s">
        <v>3633</v>
      </c>
      <c r="G1114" s="29">
        <v>45204.0</v>
      </c>
      <c r="H1114" s="30">
        <v>45204.0</v>
      </c>
      <c r="I1114" s="30">
        <v>45569.0</v>
      </c>
      <c r="J1114" s="31" t="s">
        <v>3634</v>
      </c>
      <c r="K1114" s="26" t="s">
        <v>931</v>
      </c>
      <c r="L1114" s="89">
        <v>45223.0</v>
      </c>
      <c r="M1114" s="33">
        <v>32500.0</v>
      </c>
      <c r="N1114" s="34">
        <v>34721.0</v>
      </c>
      <c r="O1114" s="27" t="s">
        <v>76</v>
      </c>
      <c r="P1114" s="35" t="s">
        <v>122</v>
      </c>
      <c r="Q1114" s="35" t="s">
        <v>90</v>
      </c>
      <c r="R1114" s="36">
        <v>45204.0</v>
      </c>
      <c r="S1114" s="35" t="s">
        <v>86</v>
      </c>
      <c r="T1114" s="35">
        <v>0.0</v>
      </c>
      <c r="U1114" s="37" t="s">
        <v>67</v>
      </c>
      <c r="V1114" s="38">
        <v>1000000.0</v>
      </c>
      <c r="W1114" s="78">
        <v>10763.0</v>
      </c>
      <c r="X1114" s="27">
        <v>2021.0</v>
      </c>
      <c r="Y1114" s="79" t="s">
        <v>764</v>
      </c>
      <c r="Z1114" s="39"/>
      <c r="AA1114" s="39"/>
      <c r="AB1114" s="27"/>
      <c r="AC1114" s="27">
        <f t="shared" si="619"/>
        <v>0</v>
      </c>
      <c r="AD1114" s="41">
        <f t="shared" si="903"/>
        <v>4875</v>
      </c>
      <c r="AE1114" s="42"/>
      <c r="AF1114" s="27"/>
      <c r="AG1114" s="43">
        <f>IF(O1114="Paid",IF(A1114="Wethaq",(M1114*28%)-((M1114*28%)*5%),IF((A1114="GIG"),(M1114*25%)-((M1114*25%)*5%),IF((A1114="Allianz"),(M1114*27%)-((M1114*27%)*20%),0))),0)</f>
        <v>7020</v>
      </c>
      <c r="AH1114" s="29"/>
      <c r="AI1114" s="29"/>
      <c r="AJ1114" s="29"/>
      <c r="AK1114" s="29"/>
      <c r="AL1114" s="27"/>
      <c r="AM1114" s="44"/>
      <c r="AN1114" s="47"/>
      <c r="AO1114" s="46"/>
      <c r="AP1114" s="47"/>
      <c r="AQ1114" s="43">
        <f>IF(O1114="Paid",IF(U1114="Motor Plus",(M1114*27%),IF(U1114="Motor One",(M1114*22%),(IF(U1114="Golden",(M1114*25%),(IF(U1114="Classic",(M1114*15%),(IF(U1114="Wethaq",(M1114*28%),IF(U1114="Alwataniya",(M1114*21%))*0)))))))))</f>
        <v>8775</v>
      </c>
      <c r="AR1114" s="43">
        <f t="shared" si="448"/>
        <v>438.75</v>
      </c>
      <c r="AS1114" s="43">
        <f t="shared" si="449"/>
        <v>1535.625</v>
      </c>
      <c r="AT1114" s="48">
        <f t="shared" si="753"/>
        <v>6800.625</v>
      </c>
      <c r="AU1114" s="49">
        <f t="shared" si="905"/>
        <v>6800.625</v>
      </c>
      <c r="AV1114" s="48"/>
      <c r="AW1114" s="34">
        <f t="shared" si="840"/>
        <v>29846</v>
      </c>
      <c r="AX1114" s="50">
        <f t="shared" si="811"/>
        <v>609.375</v>
      </c>
      <c r="AY1114" s="43"/>
      <c r="AZ1114" s="47"/>
      <c r="BA1114" s="48">
        <f t="shared" si="801"/>
        <v>6800.625</v>
      </c>
      <c r="BB1114" s="27"/>
      <c r="BC1114" s="27"/>
      <c r="BD1114" s="51"/>
      <c r="BE1114" s="52"/>
      <c r="BF1114" s="27"/>
      <c r="BG1114" s="53">
        <v>0.0</v>
      </c>
      <c r="BH1114" s="53" t="str">
        <f>'[1]2023'!Q1607</f>
        <v>#REF!</v>
      </c>
      <c r="BI1114" s="27"/>
      <c r="BJ1114" s="27"/>
      <c r="BK1114" s="27" t="s">
        <v>76</v>
      </c>
      <c r="BL1114" s="27"/>
    </row>
    <row r="1115" ht="14.25" customHeight="1">
      <c r="A1115" s="26" t="s">
        <v>55</v>
      </c>
      <c r="B1115" s="26" t="s">
        <v>56</v>
      </c>
      <c r="C1115" s="26" t="s">
        <v>57</v>
      </c>
      <c r="D1115" s="26" t="s">
        <v>81</v>
      </c>
      <c r="E1115" s="27" t="s">
        <v>3635</v>
      </c>
      <c r="F1115" s="28" t="s">
        <v>3636</v>
      </c>
      <c r="G1115" s="29">
        <v>45205.0</v>
      </c>
      <c r="H1115" s="30">
        <v>45205.0</v>
      </c>
      <c r="I1115" s="30">
        <v>45570.0</v>
      </c>
      <c r="J1115" s="31">
        <v>0.0</v>
      </c>
      <c r="K1115" s="26" t="s">
        <v>440</v>
      </c>
      <c r="L1115" s="32" t="s">
        <v>75</v>
      </c>
      <c r="M1115" s="33">
        <v>26845.0</v>
      </c>
      <c r="N1115" s="34">
        <v>28569.86</v>
      </c>
      <c r="O1115" s="27" t="s">
        <v>76</v>
      </c>
      <c r="P1115" s="35" t="s">
        <v>122</v>
      </c>
      <c r="Q1115" s="35" t="s">
        <v>90</v>
      </c>
      <c r="R1115" s="36">
        <v>45205.0</v>
      </c>
      <c r="S1115" s="35" t="s">
        <v>86</v>
      </c>
      <c r="T1115" s="35">
        <v>0.0</v>
      </c>
      <c r="U1115" s="37" t="s">
        <v>67</v>
      </c>
      <c r="V1115" s="38"/>
      <c r="W1115" s="38"/>
      <c r="X1115" s="27"/>
      <c r="Y1115" s="39"/>
      <c r="Z1115" s="79" t="s">
        <v>476</v>
      </c>
      <c r="AA1115" s="39"/>
      <c r="AB1115" s="40"/>
      <c r="AC1115" s="27">
        <f t="shared" si="619"/>
        <v>0</v>
      </c>
      <c r="AD1115" s="41">
        <f t="shared" si="903"/>
        <v>4026.75</v>
      </c>
      <c r="AE1115" s="42"/>
      <c r="AF1115" s="27"/>
      <c r="AG1115" s="43">
        <f t="shared" ref="AG1115:AG1117" si="906">IF(O1115="Paid",IF(A1115="Alwataniya",(M1115*21%)-((M1115*21%)*5%),IF((A1115="GIG"),(M1115*25%)-((M1115*25%)*5%),IF((A1115="Allianz"),(M1115*27%)-((M1115*27%)*5%),0))),0)</f>
        <v>6885.7425</v>
      </c>
      <c r="AH1115" s="29"/>
      <c r="AI1115" s="29"/>
      <c r="AJ1115" s="29"/>
      <c r="AK1115" s="29"/>
      <c r="AL1115" s="27"/>
      <c r="AM1115" s="44"/>
      <c r="AN1115" s="47"/>
      <c r="AO1115" s="46"/>
      <c r="AP1115" s="47"/>
      <c r="AQ1115" s="43">
        <f>IF(U1115="Motor Plus",(M1115*27%),IF(U1115="Motor One",(M1115*22%),(IF(U1115="Golden",(M1115*25%),(IF(U1115="Classic",(M1115*15%),(IF(U1115="Wethaq",(M1115*28%),IF(U1115="Alwataniya",(M1115*21%))*0))))))))</f>
        <v>7248.15</v>
      </c>
      <c r="AR1115" s="43">
        <f t="shared" si="448"/>
        <v>362.4075</v>
      </c>
      <c r="AS1115" s="43">
        <f t="shared" si="449"/>
        <v>1268.42625</v>
      </c>
      <c r="AT1115" s="48">
        <f t="shared" si="753"/>
        <v>5617.31625</v>
      </c>
      <c r="AU1115" s="49">
        <f>AQ1115-AR1115-AS1115-AC1115</f>
        <v>5617.31625</v>
      </c>
      <c r="AV1115" s="48"/>
      <c r="AW1115" s="34">
        <f t="shared" si="840"/>
        <v>24543.11</v>
      </c>
      <c r="AX1115" s="50">
        <f t="shared" si="811"/>
        <v>1590.56625</v>
      </c>
      <c r="AY1115" s="43"/>
      <c r="AZ1115" s="43"/>
      <c r="BA1115" s="48">
        <f t="shared" si="801"/>
        <v>5617.31625</v>
      </c>
      <c r="BB1115" s="27"/>
      <c r="BC1115" s="27"/>
      <c r="BD1115" s="51"/>
      <c r="BE1115" s="52"/>
      <c r="BF1115" s="27" t="s">
        <v>3635</v>
      </c>
      <c r="BG1115" s="53">
        <v>0.0</v>
      </c>
      <c r="BH1115" s="53" t="str">
        <f>'[1]2023'!Q904</f>
        <v>#REF!</v>
      </c>
      <c r="BI1115" s="27"/>
      <c r="BJ1115" s="27"/>
      <c r="BK1115" s="27" t="s">
        <v>76</v>
      </c>
      <c r="BL1115" s="27"/>
    </row>
    <row r="1116" ht="14.25" customHeight="1">
      <c r="A1116" s="26" t="s">
        <v>55</v>
      </c>
      <c r="B1116" s="26" t="s">
        <v>56</v>
      </c>
      <c r="C1116" s="26" t="s">
        <v>57</v>
      </c>
      <c r="D1116" s="26" t="s">
        <v>81</v>
      </c>
      <c r="E1116" s="27" t="s">
        <v>3637</v>
      </c>
      <c r="F1116" s="28" t="s">
        <v>3638</v>
      </c>
      <c r="G1116" s="29">
        <v>45205.0</v>
      </c>
      <c r="H1116" s="30">
        <v>45205.0</v>
      </c>
      <c r="I1116" s="30">
        <v>45570.0</v>
      </c>
      <c r="J1116" s="31" t="s">
        <v>3639</v>
      </c>
      <c r="K1116" s="26" t="s">
        <v>931</v>
      </c>
      <c r="L1116" s="89">
        <v>45259.0</v>
      </c>
      <c r="M1116" s="33">
        <v>35105.0</v>
      </c>
      <c r="N1116" s="34">
        <v>37492.71</v>
      </c>
      <c r="O1116" s="27" t="s">
        <v>76</v>
      </c>
      <c r="P1116" s="35" t="s">
        <v>122</v>
      </c>
      <c r="Q1116" s="35" t="s">
        <v>90</v>
      </c>
      <c r="R1116" s="36">
        <v>45205.0</v>
      </c>
      <c r="S1116" s="35" t="s">
        <v>86</v>
      </c>
      <c r="T1116" s="35">
        <v>0.0</v>
      </c>
      <c r="U1116" s="37" t="s">
        <v>67</v>
      </c>
      <c r="V1116" s="38"/>
      <c r="W1116" s="78"/>
      <c r="X1116" s="27"/>
      <c r="Y1116" s="39"/>
      <c r="Z1116" s="39"/>
      <c r="AA1116" s="39"/>
      <c r="AB1116" s="27"/>
      <c r="AC1116" s="27">
        <f t="shared" si="619"/>
        <v>0</v>
      </c>
      <c r="AD1116" s="41">
        <f t="shared" si="903"/>
        <v>5265.75</v>
      </c>
      <c r="AE1116" s="42"/>
      <c r="AF1116" s="27"/>
      <c r="AG1116" s="43">
        <f t="shared" si="906"/>
        <v>9004.4325</v>
      </c>
      <c r="AH1116" s="29"/>
      <c r="AI1116" s="29"/>
      <c r="AJ1116" s="29"/>
      <c r="AK1116" s="29"/>
      <c r="AL1116" s="27"/>
      <c r="AM1116" s="44"/>
      <c r="AN1116" s="47"/>
      <c r="AO1116" s="46"/>
      <c r="AP1116" s="47"/>
      <c r="AQ1116" s="43">
        <f>IF(O1116="Paid",IF(U1116="Motor Plus",(M1116*27%),IF(U1116="Motor One",(M1116*22%),(IF(U1116="Golden",(M1116*25%),(IF(U1116="Classic",(M1116*15%),(IF(U1116="Wethaq",(M1116*28%),IF(U1116="Alwataniya",(M1116*21%))*0)))))))))</f>
        <v>9478.35</v>
      </c>
      <c r="AR1116" s="43">
        <f t="shared" si="448"/>
        <v>473.9175</v>
      </c>
      <c r="AS1116" s="43">
        <f t="shared" si="449"/>
        <v>1658.71125</v>
      </c>
      <c r="AT1116" s="48">
        <f t="shared" si="753"/>
        <v>7345.72125</v>
      </c>
      <c r="AU1116" s="49">
        <f>AQ1116-AR1116-AS1116-AC1116-AO1116</f>
        <v>7345.72125</v>
      </c>
      <c r="AV1116" s="48"/>
      <c r="AW1116" s="34">
        <f t="shared" si="840"/>
        <v>32226.96</v>
      </c>
      <c r="AX1116" s="50">
        <f t="shared" si="811"/>
        <v>2079.97125</v>
      </c>
      <c r="AY1116" s="43"/>
      <c r="AZ1116" s="47"/>
      <c r="BA1116" s="48">
        <f t="shared" si="801"/>
        <v>7345.72125</v>
      </c>
      <c r="BB1116" s="27"/>
      <c r="BC1116" s="27"/>
      <c r="BD1116" s="51"/>
      <c r="BE1116" s="52"/>
      <c r="BF1116" s="27"/>
      <c r="BG1116" s="58" t="s">
        <v>3640</v>
      </c>
      <c r="BH1116" s="53" t="str">
        <f>'[1]2023'!Q1436</f>
        <v>#REF!</v>
      </c>
      <c r="BI1116" s="27"/>
      <c r="BJ1116" s="27"/>
      <c r="BK1116" s="27" t="s">
        <v>76</v>
      </c>
      <c r="BL1116" s="27"/>
    </row>
    <row r="1117" ht="14.25" customHeight="1">
      <c r="A1117" s="26" t="s">
        <v>55</v>
      </c>
      <c r="B1117" s="26" t="s">
        <v>56</v>
      </c>
      <c r="C1117" s="26" t="s">
        <v>57</v>
      </c>
      <c r="D1117" s="26" t="s">
        <v>81</v>
      </c>
      <c r="E1117" s="27" t="s">
        <v>3641</v>
      </c>
      <c r="F1117" s="28" t="s">
        <v>3642</v>
      </c>
      <c r="G1117" s="29">
        <v>45206.0</v>
      </c>
      <c r="H1117" s="30">
        <v>45206.0</v>
      </c>
      <c r="I1117" s="30">
        <v>45571.0</v>
      </c>
      <c r="J1117" s="31">
        <v>0.0</v>
      </c>
      <c r="K1117" s="26" t="s">
        <v>887</v>
      </c>
      <c r="L1117" s="32" t="s">
        <v>75</v>
      </c>
      <c r="M1117" s="33">
        <v>30975.0</v>
      </c>
      <c r="N1117" s="34">
        <v>32943.53</v>
      </c>
      <c r="O1117" s="27" t="s">
        <v>76</v>
      </c>
      <c r="P1117" s="35" t="s">
        <v>122</v>
      </c>
      <c r="Q1117" s="35" t="s">
        <v>65</v>
      </c>
      <c r="R1117" s="36">
        <v>45206.0</v>
      </c>
      <c r="S1117" s="35" t="s">
        <v>86</v>
      </c>
      <c r="T1117" s="35">
        <v>0.0</v>
      </c>
      <c r="U1117" s="37" t="s">
        <v>67</v>
      </c>
      <c r="V1117" s="38"/>
      <c r="W1117" s="38"/>
      <c r="X1117" s="27"/>
      <c r="Y1117" s="39"/>
      <c r="Z1117" s="39"/>
      <c r="AA1117" s="39"/>
      <c r="AB1117" s="40"/>
      <c r="AC1117" s="27">
        <f t="shared" si="619"/>
        <v>0</v>
      </c>
      <c r="AD1117" s="41"/>
      <c r="AE1117" s="42"/>
      <c r="AF1117" s="27"/>
      <c r="AG1117" s="43">
        <f t="shared" si="906"/>
        <v>7945.0875</v>
      </c>
      <c r="AH1117" s="29"/>
      <c r="AI1117" s="29"/>
      <c r="AJ1117" s="29"/>
      <c r="AK1117" s="29"/>
      <c r="AL1117" s="27"/>
      <c r="AM1117" s="44"/>
      <c r="AN1117" s="47"/>
      <c r="AO1117" s="46">
        <f>IF(T1117&lt;&gt;0,M1117*15%,0)</f>
        <v>0</v>
      </c>
      <c r="AP1117" s="47"/>
      <c r="AQ1117" s="43">
        <f t="shared" ref="AQ1117:AQ1121" si="907">IF(U1117="Motor Plus",(M1117*27%),IF(U1117="Motor One",(M1117*22%),(IF(U1117="Golden",(M1117*25%),(IF(U1117="Classic",(M1117*15%),(IF(U1117="Wethaq",(M1117*28%),IF(U1117="Alwataniya",(M1117*21%))*0))))))))</f>
        <v>8363.25</v>
      </c>
      <c r="AR1117" s="43">
        <f t="shared" si="448"/>
        <v>418.1625</v>
      </c>
      <c r="AS1117" s="43">
        <f t="shared" si="449"/>
        <v>1463.56875</v>
      </c>
      <c r="AT1117" s="48">
        <f t="shared" si="753"/>
        <v>6481.51875</v>
      </c>
      <c r="AU1117" s="49">
        <f t="shared" ref="AU1117:AU1119" si="908">AQ1117-AR1117-AS1117-AC1117</f>
        <v>6481.51875</v>
      </c>
      <c r="AV1117" s="48"/>
      <c r="AW1117" s="34">
        <f t="shared" si="840"/>
        <v>32943.53</v>
      </c>
      <c r="AX1117" s="50">
        <f t="shared" si="811"/>
        <v>6481.51875</v>
      </c>
      <c r="AY1117" s="43">
        <f>IF(T1117&lt;&gt;0,(AU1117-AO1117),0)*30%</f>
        <v>0</v>
      </c>
      <c r="AZ1117" s="43"/>
      <c r="BA1117" s="48">
        <f t="shared" si="801"/>
        <v>6481.51875</v>
      </c>
      <c r="BB1117" s="27"/>
      <c r="BC1117" s="27"/>
      <c r="BD1117" s="51"/>
      <c r="BE1117" s="52"/>
      <c r="BF1117" s="27" t="s">
        <v>3641</v>
      </c>
      <c r="BG1117" s="53">
        <v>0.0</v>
      </c>
      <c r="BH1117" s="53" t="str">
        <f>'[1]2023'!Q933</f>
        <v>#REF!</v>
      </c>
      <c r="BI1117" s="27"/>
      <c r="BJ1117" s="27"/>
      <c r="BK1117" s="27" t="s">
        <v>76</v>
      </c>
      <c r="BL1117" s="27"/>
    </row>
    <row r="1118" ht="14.25" customHeight="1">
      <c r="A1118" s="26" t="s">
        <v>111</v>
      </c>
      <c r="B1118" s="26" t="s">
        <v>56</v>
      </c>
      <c r="C1118" s="26" t="s">
        <v>57</v>
      </c>
      <c r="D1118" s="26" t="s">
        <v>71</v>
      </c>
      <c r="E1118" s="27" t="s">
        <v>3643</v>
      </c>
      <c r="F1118" s="28" t="s">
        <v>3644</v>
      </c>
      <c r="G1118" s="29">
        <v>45206.0</v>
      </c>
      <c r="H1118" s="30">
        <v>45206.0</v>
      </c>
      <c r="I1118" s="30">
        <v>45571.0</v>
      </c>
      <c r="J1118" s="31" t="s">
        <v>3645</v>
      </c>
      <c r="K1118" s="26" t="s">
        <v>887</v>
      </c>
      <c r="L1118" s="69">
        <v>45118.0</v>
      </c>
      <c r="M1118" s="33">
        <v>20530.26</v>
      </c>
      <c r="N1118" s="34">
        <v>22100.0</v>
      </c>
      <c r="O1118" s="27" t="s">
        <v>76</v>
      </c>
      <c r="P1118" s="35" t="s">
        <v>430</v>
      </c>
      <c r="Q1118" s="35" t="s">
        <v>90</v>
      </c>
      <c r="R1118" s="36">
        <v>45215.0</v>
      </c>
      <c r="S1118" s="35" t="s">
        <v>66</v>
      </c>
      <c r="T1118" s="35">
        <v>0.0</v>
      </c>
      <c r="U1118" s="37" t="s">
        <v>115</v>
      </c>
      <c r="V1118" s="38">
        <v>850000.0</v>
      </c>
      <c r="W1118" s="38"/>
      <c r="X1118" s="27"/>
      <c r="Y1118" s="39"/>
      <c r="Z1118" s="79" t="s">
        <v>628</v>
      </c>
      <c r="AA1118" s="39"/>
      <c r="AB1118" s="40"/>
      <c r="AC1118" s="27">
        <f t="shared" si="619"/>
        <v>0</v>
      </c>
      <c r="AD1118" s="109">
        <f>M1118*15%</f>
        <v>3079.539</v>
      </c>
      <c r="AE1118" s="110" t="s">
        <v>791</v>
      </c>
      <c r="AF1118" s="82">
        <f>AT1118-AM1118-AD1118</f>
        <v>-295.1224875</v>
      </c>
      <c r="AG1118" s="43">
        <f>IF(O1118="Paid",IF(A1118="Alwataniya",(M1118*21%)-((M1118*21%)*5%),IF((A1118="GIG"),(M1118*25%)-((M1118*25%)*5%),IF((A1118="Allianz"),(M1118*27%)-((M1118*27%)*20%),0))),0)</f>
        <v>4875.93675</v>
      </c>
      <c r="AH1118" s="29">
        <v>45237.0</v>
      </c>
      <c r="AI1118" s="29">
        <v>45177.0</v>
      </c>
      <c r="AJ1118" s="55"/>
      <c r="AK1118" s="29" t="s">
        <v>922</v>
      </c>
      <c r="AL1118" s="27"/>
      <c r="AM1118" s="111">
        <f>((M1118*25%)-AC1118-((M1118*25%)*22.5%))*30%</f>
        <v>1193.321363</v>
      </c>
      <c r="AN1118" s="63" t="s">
        <v>1730</v>
      </c>
      <c r="AO1118" s="46"/>
      <c r="AP1118" s="47"/>
      <c r="AQ1118" s="43">
        <f t="shared" si="907"/>
        <v>5132.565</v>
      </c>
      <c r="AR1118" s="43">
        <f t="shared" si="448"/>
        <v>256.62825</v>
      </c>
      <c r="AS1118" s="43">
        <f t="shared" si="449"/>
        <v>898.198875</v>
      </c>
      <c r="AT1118" s="48">
        <f t="shared" si="753"/>
        <v>3977.737875</v>
      </c>
      <c r="AU1118" s="49">
        <f t="shared" si="908"/>
        <v>3977.737875</v>
      </c>
      <c r="AV1118" s="48"/>
      <c r="AW1118" s="27" t="str">
        <f t="shared" si="840"/>
        <v>#VALUE!</v>
      </c>
      <c r="AX1118" s="50" t="str">
        <f t="shared" si="811"/>
        <v>#VALUE!</v>
      </c>
      <c r="AY1118" s="43"/>
      <c r="AZ1118" s="47"/>
      <c r="BA1118" s="48">
        <f t="shared" si="801"/>
        <v>2784.416513</v>
      </c>
      <c r="BB1118" s="27"/>
      <c r="BC1118" s="27"/>
      <c r="BD1118" s="51"/>
      <c r="BE1118" s="52"/>
      <c r="BF1118" s="27" t="s">
        <v>3643</v>
      </c>
      <c r="BG1118" s="58" t="s">
        <v>3646</v>
      </c>
      <c r="BH1118" s="53" t="str">
        <f>'[1]2023'!Q957</f>
        <v>#REF!</v>
      </c>
      <c r="BI1118" s="27"/>
      <c r="BJ1118" s="27"/>
      <c r="BK1118" s="27" t="s">
        <v>76</v>
      </c>
      <c r="BL1118" s="27"/>
    </row>
    <row r="1119" ht="14.25" customHeight="1">
      <c r="A1119" s="26" t="s">
        <v>55</v>
      </c>
      <c r="B1119" s="26" t="s">
        <v>56</v>
      </c>
      <c r="C1119" s="26" t="s">
        <v>57</v>
      </c>
      <c r="D1119" s="26" t="s">
        <v>81</v>
      </c>
      <c r="E1119" s="27" t="s">
        <v>3647</v>
      </c>
      <c r="F1119" s="28" t="s">
        <v>3648</v>
      </c>
      <c r="G1119" s="29">
        <v>45206.0</v>
      </c>
      <c r="H1119" s="30">
        <v>45206.0</v>
      </c>
      <c r="I1119" s="30">
        <v>45571.0</v>
      </c>
      <c r="J1119" s="31">
        <v>0.0</v>
      </c>
      <c r="K1119" s="26" t="s">
        <v>887</v>
      </c>
      <c r="L1119" s="32" t="s">
        <v>75</v>
      </c>
      <c r="M1119" s="33">
        <v>23600.0</v>
      </c>
      <c r="N1119" s="34">
        <v>25133.4</v>
      </c>
      <c r="O1119" s="27" t="s">
        <v>76</v>
      </c>
      <c r="P1119" s="35" t="s">
        <v>89</v>
      </c>
      <c r="Q1119" s="35" t="s">
        <v>108</v>
      </c>
      <c r="R1119" s="36">
        <v>45206.0</v>
      </c>
      <c r="S1119" s="35" t="s">
        <v>86</v>
      </c>
      <c r="T1119" s="35">
        <v>0.0</v>
      </c>
      <c r="U1119" s="37" t="s">
        <v>67</v>
      </c>
      <c r="V1119" s="38"/>
      <c r="W1119" s="38"/>
      <c r="X1119" s="27"/>
      <c r="Y1119" s="39"/>
      <c r="Z1119" s="39"/>
      <c r="AA1119" s="39"/>
      <c r="AB1119" s="40"/>
      <c r="AC1119" s="27">
        <f t="shared" si="619"/>
        <v>0</v>
      </c>
      <c r="AD1119" s="41">
        <f>IF(AND(S1119="0",O1119="Paid"),(M1119*15%)-AC1119,0)</f>
        <v>3540</v>
      </c>
      <c r="AE1119" s="42"/>
      <c r="AF1119" s="27" t="s">
        <v>2099</v>
      </c>
      <c r="AG1119" s="43">
        <f t="shared" ref="AG1119:AG1121" si="909">IF(O1119="Paid",IF(A1119="Alwataniya",(M1119*21%)-((M1119*21%)*5%),IF((A1119="GIG"),(M1119*25%)-((M1119*25%)*5%),IF((A1119="Allianz"),(M1119*27%)-((M1119*27%)*5%),0))),0)</f>
        <v>6053.4</v>
      </c>
      <c r="AH1119" s="29"/>
      <c r="AI1119" s="29"/>
      <c r="AJ1119" s="55"/>
      <c r="AK1119" s="29"/>
      <c r="AL1119" s="27"/>
      <c r="AM1119" s="44"/>
      <c r="AN1119" s="47"/>
      <c r="AO1119" s="46"/>
      <c r="AP1119" s="47"/>
      <c r="AQ1119" s="43">
        <f t="shared" si="907"/>
        <v>6372</v>
      </c>
      <c r="AR1119" s="43">
        <f t="shared" si="448"/>
        <v>318.6</v>
      </c>
      <c r="AS1119" s="43">
        <f t="shared" si="449"/>
        <v>1115.1</v>
      </c>
      <c r="AT1119" s="48">
        <f t="shared" si="753"/>
        <v>4938.3</v>
      </c>
      <c r="AU1119" s="49">
        <f t="shared" si="908"/>
        <v>4938.3</v>
      </c>
      <c r="AV1119" s="48"/>
      <c r="AW1119" s="34">
        <f t="shared" si="840"/>
        <v>21593.4</v>
      </c>
      <c r="AX1119" s="50">
        <f t="shared" si="811"/>
        <v>1398.3</v>
      </c>
      <c r="AY1119" s="43"/>
      <c r="AZ1119" s="47"/>
      <c r="BA1119" s="48">
        <f t="shared" si="801"/>
        <v>4938.3</v>
      </c>
      <c r="BB1119" s="27"/>
      <c r="BC1119" s="27"/>
      <c r="BD1119" s="51"/>
      <c r="BE1119" s="52"/>
      <c r="BF1119" s="27" t="s">
        <v>3647</v>
      </c>
      <c r="BG1119" s="53">
        <v>0.0</v>
      </c>
      <c r="BH1119" s="53" t="str">
        <f>'[1]2023'!Q989</f>
        <v>#REF!</v>
      </c>
      <c r="BI1119" s="27"/>
      <c r="BJ1119" s="27"/>
      <c r="BK1119" s="27" t="s">
        <v>76</v>
      </c>
      <c r="BL1119" s="27"/>
    </row>
    <row r="1120" ht="14.25" customHeight="1">
      <c r="A1120" s="26" t="s">
        <v>55</v>
      </c>
      <c r="B1120" s="26" t="s">
        <v>56</v>
      </c>
      <c r="C1120" s="26" t="s">
        <v>57</v>
      </c>
      <c r="D1120" s="26" t="s">
        <v>58</v>
      </c>
      <c r="E1120" s="27" t="s">
        <v>3649</v>
      </c>
      <c r="F1120" s="28" t="s">
        <v>3650</v>
      </c>
      <c r="G1120" s="29">
        <v>45206.0</v>
      </c>
      <c r="H1120" s="30">
        <v>45206.0</v>
      </c>
      <c r="I1120" s="30">
        <v>45571.0</v>
      </c>
      <c r="J1120" s="31">
        <v>0.0</v>
      </c>
      <c r="K1120" s="26" t="s">
        <v>887</v>
      </c>
      <c r="L1120" s="32" t="s">
        <v>3651</v>
      </c>
      <c r="M1120" s="33">
        <v>6327.27</v>
      </c>
      <c r="N1120" s="34">
        <v>6700.57</v>
      </c>
      <c r="O1120" s="27" t="s">
        <v>76</v>
      </c>
      <c r="P1120" s="35" t="s">
        <v>122</v>
      </c>
      <c r="Q1120" s="35" t="s">
        <v>65</v>
      </c>
      <c r="R1120" s="36">
        <v>45206.0</v>
      </c>
      <c r="S1120" s="35" t="s">
        <v>86</v>
      </c>
      <c r="T1120" s="35">
        <v>0.0</v>
      </c>
      <c r="U1120" s="37" t="s">
        <v>67</v>
      </c>
      <c r="V1120" s="38"/>
      <c r="W1120" s="38"/>
      <c r="X1120" s="27"/>
      <c r="Y1120" s="39"/>
      <c r="Z1120" s="39"/>
      <c r="AA1120" s="39"/>
      <c r="AB1120" s="27"/>
      <c r="AC1120" s="27">
        <f t="shared" si="619"/>
        <v>0</v>
      </c>
      <c r="AD1120" s="41"/>
      <c r="AE1120" s="42"/>
      <c r="AF1120" s="27"/>
      <c r="AG1120" s="43">
        <f t="shared" si="909"/>
        <v>1622.944755</v>
      </c>
      <c r="AH1120" s="29"/>
      <c r="AI1120" s="29"/>
      <c r="AJ1120" s="29"/>
      <c r="AK1120" s="29"/>
      <c r="AL1120" s="27"/>
      <c r="AM1120" s="44"/>
      <c r="AN1120" s="47"/>
      <c r="AO1120" s="46"/>
      <c r="AP1120" s="47"/>
      <c r="AQ1120" s="43">
        <f t="shared" si="907"/>
        <v>1708.3629</v>
      </c>
      <c r="AR1120" s="43">
        <f t="shared" si="448"/>
        <v>85.418145</v>
      </c>
      <c r="AS1120" s="43">
        <f t="shared" si="449"/>
        <v>298.9635075</v>
      </c>
      <c r="AT1120" s="48">
        <f t="shared" si="753"/>
        <v>1323.981248</v>
      </c>
      <c r="AU1120" s="49">
        <f t="shared" ref="AU1120:AU1129" si="910">AQ1120-AR1120-AS1120-AC1120-AO1120</f>
        <v>1323.981248</v>
      </c>
      <c r="AV1120" s="48"/>
      <c r="AW1120" s="34">
        <f t="shared" si="840"/>
        <v>6700.57</v>
      </c>
      <c r="AX1120" s="50">
        <f t="shared" si="811"/>
        <v>1323.981248</v>
      </c>
      <c r="AY1120" s="43"/>
      <c r="AZ1120" s="47"/>
      <c r="BA1120" s="48">
        <f t="shared" si="801"/>
        <v>1323.981248</v>
      </c>
      <c r="BB1120" s="27"/>
      <c r="BC1120" s="27"/>
      <c r="BD1120" s="51"/>
      <c r="BE1120" s="52"/>
      <c r="BF1120" s="27" t="s">
        <v>3649</v>
      </c>
      <c r="BG1120" s="53">
        <v>0.0</v>
      </c>
      <c r="BH1120" s="53" t="str">
        <f>'[1]2023'!Q1108</f>
        <v>#REF!</v>
      </c>
      <c r="BI1120" s="27"/>
      <c r="BJ1120" s="27"/>
      <c r="BK1120" s="27" t="s">
        <v>76</v>
      </c>
      <c r="BL1120" s="27"/>
    </row>
    <row r="1121" ht="14.25" customHeight="1">
      <c r="A1121" s="26" t="s">
        <v>55</v>
      </c>
      <c r="B1121" s="26" t="s">
        <v>56</v>
      </c>
      <c r="C1121" s="26" t="s">
        <v>57</v>
      </c>
      <c r="D1121" s="26" t="s">
        <v>58</v>
      </c>
      <c r="E1121" s="27" t="s">
        <v>3652</v>
      </c>
      <c r="F1121" s="28" t="s">
        <v>3653</v>
      </c>
      <c r="G1121" s="29">
        <v>45207.0</v>
      </c>
      <c r="H1121" s="30">
        <v>45207.0</v>
      </c>
      <c r="I1121" s="30">
        <v>45572.0</v>
      </c>
      <c r="J1121" s="31" t="s">
        <v>3654</v>
      </c>
      <c r="K1121" s="26" t="s">
        <v>455</v>
      </c>
      <c r="L1121" s="32" t="s">
        <v>75</v>
      </c>
      <c r="M1121" s="33">
        <v>2598.46</v>
      </c>
      <c r="N1121" s="34">
        <v>2751.77</v>
      </c>
      <c r="O1121" s="27" t="s">
        <v>76</v>
      </c>
      <c r="P1121" s="35" t="s">
        <v>89</v>
      </c>
      <c r="Q1121" s="35" t="s">
        <v>65</v>
      </c>
      <c r="R1121" s="36">
        <v>45207.0</v>
      </c>
      <c r="S1121" s="35" t="s">
        <v>231</v>
      </c>
      <c r="T1121" s="35">
        <v>0.0</v>
      </c>
      <c r="U1121" s="37" t="s">
        <v>67</v>
      </c>
      <c r="V1121" s="38"/>
      <c r="W1121" s="38"/>
      <c r="X1121" s="27"/>
      <c r="Y1121" s="39"/>
      <c r="Z1121" s="39"/>
      <c r="AA1121" s="39"/>
      <c r="AB1121" s="27"/>
      <c r="AC1121" s="27">
        <f t="shared" si="619"/>
        <v>0</v>
      </c>
      <c r="AD1121" s="41"/>
      <c r="AE1121" s="42"/>
      <c r="AF1121" s="27"/>
      <c r="AG1121" s="43">
        <f t="shared" si="909"/>
        <v>666.50499</v>
      </c>
      <c r="AH1121" s="29"/>
      <c r="AI1121" s="29"/>
      <c r="AJ1121" s="29"/>
      <c r="AK1121" s="29"/>
      <c r="AL1121" s="27"/>
      <c r="AM1121" s="44">
        <f>IF((BD1121&lt;=2),AU1121*10%,(IF((BD1121&lt;=3),AU1121*20%,IF((BD1121&lt;=4),AU1121*20%,IF((BD1121&gt;=5),AU1121*30%,0)))))</f>
        <v>15.3958755</v>
      </c>
      <c r="AN1121" s="47"/>
      <c r="AO1121" s="46">
        <f>M1121*15%</f>
        <v>389.769</v>
      </c>
      <c r="AP1121" s="57">
        <v>45086.0</v>
      </c>
      <c r="AQ1121" s="43">
        <f t="shared" si="907"/>
        <v>701.5842</v>
      </c>
      <c r="AR1121" s="43">
        <f t="shared" si="448"/>
        <v>35.07921</v>
      </c>
      <c r="AS1121" s="43">
        <f t="shared" si="449"/>
        <v>122.777235</v>
      </c>
      <c r="AT1121" s="48">
        <f t="shared" si="753"/>
        <v>543.727755</v>
      </c>
      <c r="AU1121" s="49">
        <f t="shared" si="910"/>
        <v>153.958755</v>
      </c>
      <c r="AV1121" s="48"/>
      <c r="AW1121" s="34">
        <f t="shared" si="840"/>
        <v>2751.77</v>
      </c>
      <c r="AX1121" s="50">
        <f t="shared" si="811"/>
        <v>138.5628795</v>
      </c>
      <c r="AY1121" s="43"/>
      <c r="AZ1121" s="47"/>
      <c r="BA1121" s="48">
        <f t="shared" si="801"/>
        <v>-251.2061205</v>
      </c>
      <c r="BB1121" s="27"/>
      <c r="BC1121" s="27"/>
      <c r="BD1121" s="51"/>
      <c r="BE1121" s="52"/>
      <c r="BF1121" s="27" t="s">
        <v>3652</v>
      </c>
      <c r="BG1121" s="53">
        <v>0.0</v>
      </c>
      <c r="BH1121" s="53" t="str">
        <f>'[1]2023'!Q1118</f>
        <v>#REF!</v>
      </c>
      <c r="BI1121" s="27"/>
      <c r="BJ1121" s="27"/>
      <c r="BK1121" s="27" t="s">
        <v>76</v>
      </c>
      <c r="BL1121" s="27"/>
    </row>
    <row r="1122" ht="14.25" customHeight="1">
      <c r="A1122" s="26" t="s">
        <v>68</v>
      </c>
      <c r="B1122" s="26" t="s">
        <v>56</v>
      </c>
      <c r="C1122" s="26" t="s">
        <v>57</v>
      </c>
      <c r="D1122" s="26" t="s">
        <v>71</v>
      </c>
      <c r="E1122" s="27" t="s">
        <v>3655</v>
      </c>
      <c r="F1122" s="28" t="s">
        <v>3656</v>
      </c>
      <c r="G1122" s="29">
        <v>45207.0</v>
      </c>
      <c r="H1122" s="30">
        <v>45207.0</v>
      </c>
      <c r="I1122" s="30">
        <v>45572.0</v>
      </c>
      <c r="J1122" s="31">
        <v>0.0</v>
      </c>
      <c r="K1122" s="26" t="s">
        <v>455</v>
      </c>
      <c r="L1122" s="32" t="s">
        <v>63</v>
      </c>
      <c r="M1122" s="33">
        <v>19531.44</v>
      </c>
      <c r="N1122" s="34">
        <v>21000.0</v>
      </c>
      <c r="O1122" s="27" t="s">
        <v>64</v>
      </c>
      <c r="P1122" s="35">
        <v>0.0</v>
      </c>
      <c r="Q1122" s="35">
        <v>0.0</v>
      </c>
      <c r="R1122" s="36">
        <v>45226.0</v>
      </c>
      <c r="S1122" s="35" t="s">
        <v>66</v>
      </c>
      <c r="T1122" s="35">
        <v>0.0</v>
      </c>
      <c r="U1122" s="37" t="s">
        <v>68</v>
      </c>
      <c r="V1122" s="38">
        <v>1050000.0</v>
      </c>
      <c r="W1122" s="38"/>
      <c r="X1122" s="27"/>
      <c r="Y1122" s="39"/>
      <c r="Z1122" s="79" t="s">
        <v>2075</v>
      </c>
      <c r="AA1122" s="39"/>
      <c r="AB1122" s="27"/>
      <c r="AC1122" s="27">
        <f t="shared" si="619"/>
        <v>0</v>
      </c>
      <c r="AD1122" s="41">
        <f t="shared" ref="AD1122:AD1128" si="911">IF(AND(S1122="0",O1122="Paid"),(M1122*15%)-AC1122,0)</f>
        <v>0</v>
      </c>
      <c r="AE1122" s="42"/>
      <c r="AF1122" s="27"/>
      <c r="AG1122" s="43">
        <f>IF(O1122="Paid",IF(A1122="Alwataniya",(M1122*21%)-((M1122*21%)*5%),IF((A1122="GIG"),(M1122*25%)-((M1122*25%)*5%),IF((A1122="Allianz"),(M1122*27%)-((M1122*27%)*20%),0))),0)</f>
        <v>0</v>
      </c>
      <c r="AH1122" s="29"/>
      <c r="AI1122" s="29"/>
      <c r="AJ1122" s="29"/>
      <c r="AK1122" s="29"/>
      <c r="AL1122" s="27"/>
      <c r="AM1122" s="27"/>
      <c r="AN1122" s="47"/>
      <c r="AO1122" s="46"/>
      <c r="AP1122" s="47"/>
      <c r="AQ1122" s="43" t="b">
        <f>IF(O1122="Paid",IF(U1122="Motor Plus",(M1122*27%),IF(U1122="Motor One",(M1122*22%),(IF(U1122="Golden",(M1122*25%),(IF(U1122="Classic",(M1122*15%),(IF(U1122="Wethaq",(M1122*28%),IF(U1122="Alwataniya",(M1122*21%))*0)))))))))</f>
        <v>0</v>
      </c>
      <c r="AR1122" s="43">
        <f t="shared" si="448"/>
        <v>0</v>
      </c>
      <c r="AS1122" s="43">
        <f t="shared" si="449"/>
        <v>0</v>
      </c>
      <c r="AT1122" s="48">
        <f t="shared" si="753"/>
        <v>0</v>
      </c>
      <c r="AU1122" s="49">
        <f t="shared" si="910"/>
        <v>0</v>
      </c>
      <c r="AV1122" s="48"/>
      <c r="AW1122" s="34">
        <f t="shared" si="840"/>
        <v>21000</v>
      </c>
      <c r="AX1122" s="50">
        <f t="shared" si="811"/>
        <v>0</v>
      </c>
      <c r="AY1122" s="43"/>
      <c r="AZ1122" s="47"/>
      <c r="BA1122" s="48">
        <f t="shared" si="801"/>
        <v>0</v>
      </c>
      <c r="BB1122" s="27"/>
      <c r="BC1122" s="27"/>
      <c r="BD1122" s="51"/>
      <c r="BE1122" s="52"/>
      <c r="BF1122" s="27" t="s">
        <v>3655</v>
      </c>
      <c r="BG1122" s="53">
        <v>0.0</v>
      </c>
      <c r="BH1122" s="53" t="str">
        <f t="shared" ref="BH1122:BH1123" si="912">'[1]2023'!Q1124</f>
        <v>#REF!</v>
      </c>
      <c r="BI1122" s="27"/>
      <c r="BJ1122" s="27"/>
      <c r="BK1122" s="27" t="s">
        <v>64</v>
      </c>
      <c r="BL1122" s="27"/>
    </row>
    <row r="1123" ht="14.25" customHeight="1">
      <c r="A1123" s="26" t="s">
        <v>68</v>
      </c>
      <c r="B1123" s="26" t="s">
        <v>56</v>
      </c>
      <c r="C1123" s="26" t="s">
        <v>57</v>
      </c>
      <c r="D1123" s="26" t="s">
        <v>71</v>
      </c>
      <c r="E1123" s="27" t="s">
        <v>3657</v>
      </c>
      <c r="F1123" s="28" t="s">
        <v>3658</v>
      </c>
      <c r="G1123" s="29">
        <v>45207.0</v>
      </c>
      <c r="H1123" s="30">
        <v>45207.0</v>
      </c>
      <c r="I1123" s="30">
        <v>45572.0</v>
      </c>
      <c r="J1123" s="31" t="s">
        <v>3659</v>
      </c>
      <c r="K1123" s="26" t="s">
        <v>455</v>
      </c>
      <c r="L1123" s="69">
        <v>45158.0</v>
      </c>
      <c r="M1123" s="33">
        <v>20572.11</v>
      </c>
      <c r="N1123" s="34">
        <v>22000.0</v>
      </c>
      <c r="O1123" s="27" t="s">
        <v>76</v>
      </c>
      <c r="P1123" s="35" t="s">
        <v>430</v>
      </c>
      <c r="Q1123" s="35">
        <v>0.0</v>
      </c>
      <c r="R1123" s="36">
        <v>45226.0</v>
      </c>
      <c r="S1123" s="35" t="s">
        <v>676</v>
      </c>
      <c r="T1123" s="35">
        <v>0.0</v>
      </c>
      <c r="U1123" s="37" t="s">
        <v>68</v>
      </c>
      <c r="V1123" s="38">
        <v>1100000.0</v>
      </c>
      <c r="W1123" s="38"/>
      <c r="X1123" s="27"/>
      <c r="Y1123" s="39"/>
      <c r="Z1123" s="79" t="s">
        <v>671</v>
      </c>
      <c r="AA1123" s="39"/>
      <c r="AB1123" s="27"/>
      <c r="AC1123" s="27">
        <f t="shared" si="619"/>
        <v>0</v>
      </c>
      <c r="AD1123" s="41">
        <f t="shared" si="911"/>
        <v>0</v>
      </c>
      <c r="AE1123" s="42"/>
      <c r="AF1123" s="27"/>
      <c r="AG1123" s="43">
        <f t="shared" ref="AG1123:AG1124" si="913">M1123*28%-((M1123*28%)*5%)</f>
        <v>5472.18126</v>
      </c>
      <c r="AH1123" s="29">
        <v>44994.0</v>
      </c>
      <c r="AI1123" s="29" t="s">
        <v>1324</v>
      </c>
      <c r="AJ1123" s="55">
        <v>0.28</v>
      </c>
      <c r="AK1123" s="29" t="s">
        <v>1325</v>
      </c>
      <c r="AL1123" s="27"/>
      <c r="AM1123" s="44">
        <f>IF((BD1123&lt;=2),AU1123*10%,(IF((BD1123=3),AU1123*20%,IF((BD1123=4),AU1123*20%,IF((BD1123&gt;=5),AU1123*30%,(IF((BD1123="lead"),AU1123*30%,0)))))))</f>
        <v>446.414787</v>
      </c>
      <c r="AN1123" s="176">
        <v>44995.0</v>
      </c>
      <c r="AO1123" s="46"/>
      <c r="AP1123" s="47"/>
      <c r="AQ1123" s="43">
        <f t="shared" ref="AQ1123:AQ1124" si="914">IF(U1123="Motor Plus",(M1123*27%),IF(U1123="Motor One",(M1123*22%),(IF(U1123="Golden",(M1123*25%),(IF(U1123="Classic",(M1123*15%),(IF(U1123="Wethaq",(M1123*28%),IF(U1123="Alwataniya",(M1123*21%))*0))))))))</f>
        <v>5760.1908</v>
      </c>
      <c r="AR1123" s="43">
        <f t="shared" si="448"/>
        <v>288.00954</v>
      </c>
      <c r="AS1123" s="43">
        <f t="shared" si="449"/>
        <v>1008.03339</v>
      </c>
      <c r="AT1123" s="48">
        <f t="shared" si="753"/>
        <v>4464.14787</v>
      </c>
      <c r="AU1123" s="49">
        <f t="shared" si="910"/>
        <v>4464.14787</v>
      </c>
      <c r="AV1123" s="106">
        <f>AU1123*10%</f>
        <v>446.414787</v>
      </c>
      <c r="AW1123" s="34">
        <f t="shared" si="840"/>
        <v>22000</v>
      </c>
      <c r="AX1123" s="50">
        <f t="shared" si="811"/>
        <v>3571.318296</v>
      </c>
      <c r="AY1123" s="43"/>
      <c r="AZ1123" s="47"/>
      <c r="BA1123" s="48">
        <f t="shared" si="801"/>
        <v>4017.733083</v>
      </c>
      <c r="BB1123" s="27"/>
      <c r="BC1123" s="27"/>
      <c r="BD1123" s="51">
        <v>1.0</v>
      </c>
      <c r="BE1123" s="52"/>
      <c r="BF1123" s="27" t="s">
        <v>3657</v>
      </c>
      <c r="BG1123" s="53">
        <v>0.0</v>
      </c>
      <c r="BH1123" s="53" t="str">
        <f t="shared" si="912"/>
        <v>#REF!</v>
      </c>
      <c r="BI1123" s="27"/>
      <c r="BJ1123" s="27"/>
      <c r="BK1123" s="27" t="s">
        <v>76</v>
      </c>
      <c r="BL1123" s="27"/>
    </row>
    <row r="1124" ht="14.25" customHeight="1">
      <c r="A1124" s="26" t="s">
        <v>68</v>
      </c>
      <c r="B1124" s="26" t="s">
        <v>56</v>
      </c>
      <c r="C1124" s="26" t="s">
        <v>57</v>
      </c>
      <c r="D1124" s="26" t="s">
        <v>71</v>
      </c>
      <c r="E1124" s="27" t="s">
        <v>3660</v>
      </c>
      <c r="F1124" s="28" t="s">
        <v>3661</v>
      </c>
      <c r="G1124" s="29">
        <v>45207.0</v>
      </c>
      <c r="H1124" s="30">
        <v>45207.0</v>
      </c>
      <c r="I1124" s="30">
        <v>45572.0</v>
      </c>
      <c r="J1124" s="31" t="s">
        <v>3662</v>
      </c>
      <c r="K1124" s="26" t="s">
        <v>931</v>
      </c>
      <c r="L1124" s="69">
        <v>45270.0</v>
      </c>
      <c r="M1124" s="33">
        <v>34598.55</v>
      </c>
      <c r="N1124" s="34">
        <v>37000.0</v>
      </c>
      <c r="O1124" s="27" t="s">
        <v>76</v>
      </c>
      <c r="P1124" s="35" t="s">
        <v>142</v>
      </c>
      <c r="Q1124" s="54" t="s">
        <v>462</v>
      </c>
      <c r="R1124" s="36">
        <v>45226.0</v>
      </c>
      <c r="S1124" s="35" t="s">
        <v>86</v>
      </c>
      <c r="T1124" s="35">
        <v>0.0</v>
      </c>
      <c r="U1124" s="37" t="s">
        <v>68</v>
      </c>
      <c r="V1124" s="38">
        <v>1850000.0</v>
      </c>
      <c r="W1124" s="78">
        <v>40701.0</v>
      </c>
      <c r="X1124" s="27">
        <v>2022.0</v>
      </c>
      <c r="Y1124" s="79" t="s">
        <v>3663</v>
      </c>
      <c r="Z1124" s="79" t="s">
        <v>3319</v>
      </c>
      <c r="AA1124" s="39"/>
      <c r="AB1124" s="27"/>
      <c r="AC1124" s="27">
        <f t="shared" si="619"/>
        <v>0</v>
      </c>
      <c r="AD1124" s="41">
        <f t="shared" si="911"/>
        <v>5189.7825</v>
      </c>
      <c r="AE1124" s="42">
        <v>900.0</v>
      </c>
      <c r="AF1124" s="29">
        <v>45179.0</v>
      </c>
      <c r="AG1124" s="50">
        <f t="shared" si="913"/>
        <v>9203.2143</v>
      </c>
      <c r="AH1124" s="29"/>
      <c r="AI1124" s="29" t="s">
        <v>926</v>
      </c>
      <c r="AJ1124" s="55">
        <v>0.28</v>
      </c>
      <c r="AK1124" s="29" t="s">
        <v>3412</v>
      </c>
      <c r="AL1124" s="27"/>
      <c r="AM1124" s="44"/>
      <c r="AN1124" s="47"/>
      <c r="AO1124" s="46"/>
      <c r="AP1124" s="47"/>
      <c r="AQ1124" s="43">
        <f t="shared" si="914"/>
        <v>9687.594</v>
      </c>
      <c r="AR1124" s="43">
        <f t="shared" si="448"/>
        <v>484.3797</v>
      </c>
      <c r="AS1124" s="43">
        <f t="shared" si="449"/>
        <v>1695.32895</v>
      </c>
      <c r="AT1124" s="48">
        <f t="shared" si="753"/>
        <v>7507.88535</v>
      </c>
      <c r="AU1124" s="49">
        <f t="shared" si="910"/>
        <v>7507.88535</v>
      </c>
      <c r="AV1124" s="48"/>
      <c r="AW1124" s="34">
        <f t="shared" si="840"/>
        <v>30910.2175</v>
      </c>
      <c r="AX1124" s="50">
        <f t="shared" si="811"/>
        <v>1418.10285</v>
      </c>
      <c r="AY1124" s="43"/>
      <c r="AZ1124" s="47"/>
      <c r="BA1124" s="48">
        <f t="shared" si="801"/>
        <v>7507.88535</v>
      </c>
      <c r="BB1124" s="27"/>
      <c r="BC1124" s="27"/>
      <c r="BD1124" s="51"/>
      <c r="BE1124" s="52"/>
      <c r="BF1124" s="27"/>
      <c r="BG1124" s="53">
        <v>0.0</v>
      </c>
      <c r="BH1124" s="53" t="str">
        <f>'[1]2023'!Q1396</f>
        <v>#REF!</v>
      </c>
      <c r="BI1124" s="27"/>
      <c r="BJ1124" s="27"/>
      <c r="BK1124" s="27" t="s">
        <v>76</v>
      </c>
      <c r="BL1124" s="27"/>
    </row>
    <row r="1125" ht="14.25" customHeight="1">
      <c r="A1125" s="26" t="s">
        <v>55</v>
      </c>
      <c r="B1125" s="26" t="s">
        <v>56</v>
      </c>
      <c r="C1125" s="26" t="s">
        <v>57</v>
      </c>
      <c r="D1125" s="26" t="s">
        <v>81</v>
      </c>
      <c r="E1125" s="27" t="s">
        <v>3664</v>
      </c>
      <c r="F1125" s="28" t="s">
        <v>3665</v>
      </c>
      <c r="G1125" s="29">
        <v>45207.0</v>
      </c>
      <c r="H1125" s="30">
        <v>45207.0</v>
      </c>
      <c r="I1125" s="30">
        <v>45572.0</v>
      </c>
      <c r="J1125" s="31" t="s">
        <v>3666</v>
      </c>
      <c r="K1125" s="26" t="s">
        <v>931</v>
      </c>
      <c r="L1125" s="89">
        <v>45202.0</v>
      </c>
      <c r="M1125" s="33">
        <v>24780.0</v>
      </c>
      <c r="N1125" s="34">
        <v>26506.92</v>
      </c>
      <c r="O1125" s="27" t="s">
        <v>76</v>
      </c>
      <c r="P1125" s="35" t="s">
        <v>430</v>
      </c>
      <c r="Q1125" s="35" t="s">
        <v>90</v>
      </c>
      <c r="R1125" s="36">
        <v>45207.0</v>
      </c>
      <c r="S1125" s="35" t="s">
        <v>86</v>
      </c>
      <c r="T1125" s="35">
        <v>0.0</v>
      </c>
      <c r="U1125" s="37" t="s">
        <v>67</v>
      </c>
      <c r="V1125" s="38">
        <v>1200000.0</v>
      </c>
      <c r="W1125" s="78" t="s">
        <v>3667</v>
      </c>
      <c r="X1125" s="27">
        <v>2022.0</v>
      </c>
      <c r="Y1125" s="39"/>
      <c r="Z1125" s="79" t="s">
        <v>208</v>
      </c>
      <c r="AA1125" s="39"/>
      <c r="AB1125" s="27"/>
      <c r="AC1125" s="27">
        <f t="shared" si="619"/>
        <v>0</v>
      </c>
      <c r="AD1125" s="41">
        <f t="shared" si="911"/>
        <v>3717</v>
      </c>
      <c r="AE1125" s="42"/>
      <c r="AF1125" s="27"/>
      <c r="AG1125" s="43">
        <f t="shared" ref="AG1125:AG1126" si="915">IF(O1125="Paid",IF(A1125="Alwataniya",(M1125*21%)-((M1125*21%)*5%),IF((A1125="GIG"),(M1125*25%)-((M1125*25%)*5%),IF((A1125="Allianz"),(M1125*27%)-((M1125*27%)*5%),0))),0)</f>
        <v>6356.07</v>
      </c>
      <c r="AH1125" s="29"/>
      <c r="AI1125" s="29"/>
      <c r="AJ1125" s="29"/>
      <c r="AK1125" s="29"/>
      <c r="AL1125" s="27"/>
      <c r="AM1125" s="44"/>
      <c r="AN1125" s="47"/>
      <c r="AO1125" s="46"/>
      <c r="AP1125" s="47"/>
      <c r="AQ1125" s="43">
        <f t="shared" ref="AQ1125:AQ1127" si="916">IF(O1125="Paid",IF(U1125="Motor Plus",(M1125*27%),IF(U1125="Motor One",(M1125*22%),(IF(U1125="Golden",(M1125*25%),(IF(U1125="Classic",(M1125*15%),(IF(U1125="Wethaq",(M1125*28%),IF(U1125="Alwataniya",(M1125*21%))*0)))))))))</f>
        <v>6690.6</v>
      </c>
      <c r="AR1125" s="43">
        <f t="shared" si="448"/>
        <v>334.53</v>
      </c>
      <c r="AS1125" s="43">
        <f t="shared" si="449"/>
        <v>1170.855</v>
      </c>
      <c r="AT1125" s="48">
        <f t="shared" si="753"/>
        <v>5185.215</v>
      </c>
      <c r="AU1125" s="49">
        <f t="shared" si="910"/>
        <v>5185.215</v>
      </c>
      <c r="AV1125" s="48"/>
      <c r="AW1125" s="34">
        <f t="shared" si="840"/>
        <v>22789.92</v>
      </c>
      <c r="AX1125" s="50">
        <f t="shared" si="811"/>
        <v>1468.215</v>
      </c>
      <c r="AY1125" s="43"/>
      <c r="AZ1125" s="47"/>
      <c r="BA1125" s="48">
        <f t="shared" si="801"/>
        <v>5185.215</v>
      </c>
      <c r="BB1125" s="27"/>
      <c r="BC1125" s="27"/>
      <c r="BD1125" s="51"/>
      <c r="BE1125" s="52"/>
      <c r="BF1125" s="27"/>
      <c r="BG1125" s="58" t="s">
        <v>562</v>
      </c>
      <c r="BH1125" s="53" t="str">
        <f>'[1]2023'!Q1443</f>
        <v>#REF!</v>
      </c>
      <c r="BI1125" s="27"/>
      <c r="BJ1125" s="27"/>
      <c r="BK1125" s="27" t="s">
        <v>76</v>
      </c>
      <c r="BL1125" s="27"/>
    </row>
    <row r="1126" ht="14.25" customHeight="1">
      <c r="A1126" s="26" t="s">
        <v>55</v>
      </c>
      <c r="B1126" s="26" t="s">
        <v>56</v>
      </c>
      <c r="C1126" s="26" t="s">
        <v>57</v>
      </c>
      <c r="D1126" s="26" t="s">
        <v>58</v>
      </c>
      <c r="E1126" s="27" t="s">
        <v>3668</v>
      </c>
      <c r="F1126" s="28" t="s">
        <v>3669</v>
      </c>
      <c r="G1126" s="29">
        <v>45207.0</v>
      </c>
      <c r="H1126" s="30">
        <v>45207.0</v>
      </c>
      <c r="I1126" s="30">
        <v>45572.0</v>
      </c>
      <c r="J1126" s="31">
        <v>0.0</v>
      </c>
      <c r="K1126" s="26" t="s">
        <v>931</v>
      </c>
      <c r="L1126" s="89">
        <v>45211.0</v>
      </c>
      <c r="M1126" s="33">
        <v>2969.03</v>
      </c>
      <c r="N1126" s="34">
        <v>3144.2</v>
      </c>
      <c r="O1126" s="27" t="s">
        <v>76</v>
      </c>
      <c r="P1126" s="35" t="s">
        <v>122</v>
      </c>
      <c r="Q1126" s="35">
        <v>0.0</v>
      </c>
      <c r="R1126" s="36">
        <v>45207.0</v>
      </c>
      <c r="S1126" s="35" t="s">
        <v>66</v>
      </c>
      <c r="T1126" s="35">
        <v>0.0</v>
      </c>
      <c r="U1126" s="37" t="s">
        <v>67</v>
      </c>
      <c r="V1126" s="38">
        <v>1520000.0</v>
      </c>
      <c r="W1126" s="78">
        <v>6179.0</v>
      </c>
      <c r="X1126" s="27">
        <v>2021.0</v>
      </c>
      <c r="Y1126" s="79" t="s">
        <v>407</v>
      </c>
      <c r="Z1126" s="39"/>
      <c r="AA1126" s="39"/>
      <c r="AB1126" s="27"/>
      <c r="AC1126" s="27">
        <f t="shared" si="619"/>
        <v>0</v>
      </c>
      <c r="AD1126" s="41">
        <f t="shared" si="911"/>
        <v>0</v>
      </c>
      <c r="AE1126" s="42"/>
      <c r="AF1126" s="27"/>
      <c r="AG1126" s="43">
        <f t="shared" si="915"/>
        <v>761.556195</v>
      </c>
      <c r="AH1126" s="29"/>
      <c r="AI1126" s="29"/>
      <c r="AJ1126" s="29"/>
      <c r="AK1126" s="29"/>
      <c r="AL1126" s="27"/>
      <c r="AM1126" s="44"/>
      <c r="AN1126" s="47"/>
      <c r="AO1126" s="46"/>
      <c r="AP1126" s="47"/>
      <c r="AQ1126" s="43">
        <f t="shared" si="916"/>
        <v>801.6381</v>
      </c>
      <c r="AR1126" s="43">
        <f t="shared" si="448"/>
        <v>40.081905</v>
      </c>
      <c r="AS1126" s="43">
        <f t="shared" si="449"/>
        <v>140.2866675</v>
      </c>
      <c r="AT1126" s="48">
        <f t="shared" si="753"/>
        <v>621.2695275</v>
      </c>
      <c r="AU1126" s="49">
        <f t="shared" si="910"/>
        <v>621.2695275</v>
      </c>
      <c r="AV1126" s="48"/>
      <c r="AW1126" s="34">
        <f t="shared" si="840"/>
        <v>3144.2</v>
      </c>
      <c r="AX1126" s="50">
        <f t="shared" si="811"/>
        <v>621.2695275</v>
      </c>
      <c r="AY1126" s="43"/>
      <c r="AZ1126" s="47"/>
      <c r="BA1126" s="48">
        <f t="shared" si="801"/>
        <v>621.2695275</v>
      </c>
      <c r="BB1126" s="27"/>
      <c r="BC1126" s="27"/>
      <c r="BD1126" s="51"/>
      <c r="BE1126" s="52"/>
      <c r="BF1126" s="27"/>
      <c r="BG1126" s="53">
        <v>0.0</v>
      </c>
      <c r="BH1126" s="53" t="str">
        <f>'[1]2023'!Q1523</f>
        <v>#REF!</v>
      </c>
      <c r="BI1126" s="27"/>
      <c r="BJ1126" s="27"/>
      <c r="BK1126" s="27" t="s">
        <v>76</v>
      </c>
      <c r="BL1126" s="27"/>
    </row>
    <row r="1127" ht="14.25" customHeight="1">
      <c r="A1127" s="26" t="s">
        <v>55</v>
      </c>
      <c r="B1127" s="26" t="s">
        <v>2722</v>
      </c>
      <c r="C1127" s="26" t="s">
        <v>70</v>
      </c>
      <c r="D1127" s="26" t="s">
        <v>71</v>
      </c>
      <c r="E1127" s="26" t="s">
        <v>3670</v>
      </c>
      <c r="F1127" s="28" t="s">
        <v>2724</v>
      </c>
      <c r="G1127" s="29">
        <v>45207.0</v>
      </c>
      <c r="H1127" s="30">
        <v>45207.0</v>
      </c>
      <c r="I1127" s="30">
        <v>45572.0</v>
      </c>
      <c r="J1127" s="31" t="s">
        <v>86</v>
      </c>
      <c r="K1127" s="26" t="s">
        <v>3671</v>
      </c>
      <c r="L1127" s="89">
        <v>45273.0</v>
      </c>
      <c r="M1127" s="108">
        <v>15600.0</v>
      </c>
      <c r="N1127" s="85">
        <v>16700.0</v>
      </c>
      <c r="O1127" s="27" t="s">
        <v>76</v>
      </c>
      <c r="P1127" s="35" t="s">
        <v>89</v>
      </c>
      <c r="Q1127" s="35">
        <v>0.0</v>
      </c>
      <c r="R1127" s="36">
        <v>0.0</v>
      </c>
      <c r="S1127" s="35" t="s">
        <v>86</v>
      </c>
      <c r="T1127" s="35">
        <v>0.0</v>
      </c>
      <c r="U1127" s="37">
        <v>0.0</v>
      </c>
      <c r="V1127" s="38"/>
      <c r="W1127" s="78"/>
      <c r="X1127" s="27"/>
      <c r="Y1127" s="39"/>
      <c r="Z1127" s="39"/>
      <c r="AA1127" s="39"/>
      <c r="AB1127" s="27"/>
      <c r="AC1127" s="27">
        <f t="shared" si="619"/>
        <v>0</v>
      </c>
      <c r="AD1127" s="41">
        <f t="shared" si="911"/>
        <v>2340</v>
      </c>
      <c r="AE1127" s="42"/>
      <c r="AF1127" s="27"/>
      <c r="AG1127" s="43">
        <f>IF(O1127="Paid",IF(A1127="Wethaq",(M1127*28%)-((M1127*28%)*5%),IF((A1127="GIG"),(M1127*25%)-((M1127*25%)*5%),IF((A1127="Allianz"),(M1127*27%)-((M1127*27%)*20%),0))),0)</f>
        <v>3369.6</v>
      </c>
      <c r="AH1127" s="29"/>
      <c r="AI1127" s="29"/>
      <c r="AJ1127" s="29"/>
      <c r="AK1127" s="29"/>
      <c r="AL1127" s="27"/>
      <c r="AM1127" s="44"/>
      <c r="AN1127" s="47"/>
      <c r="AO1127" s="46"/>
      <c r="AP1127" s="47"/>
      <c r="AQ1127" s="43">
        <f t="shared" si="916"/>
        <v>0</v>
      </c>
      <c r="AR1127" s="43">
        <f t="shared" si="448"/>
        <v>0</v>
      </c>
      <c r="AS1127" s="43">
        <f t="shared" si="449"/>
        <v>0</v>
      </c>
      <c r="AT1127" s="48">
        <f t="shared" si="753"/>
        <v>0</v>
      </c>
      <c r="AU1127" s="49">
        <f t="shared" si="910"/>
        <v>0</v>
      </c>
      <c r="AV1127" s="48"/>
      <c r="AW1127" s="34">
        <f t="shared" si="840"/>
        <v>14360</v>
      </c>
      <c r="AX1127" s="50">
        <f t="shared" si="811"/>
        <v>1029.6</v>
      </c>
      <c r="AY1127" s="43"/>
      <c r="AZ1127" s="47"/>
      <c r="BA1127" s="48">
        <f t="shared" si="801"/>
        <v>0</v>
      </c>
      <c r="BB1127" s="27"/>
      <c r="BC1127" s="27"/>
      <c r="BD1127" s="51"/>
      <c r="BE1127" s="52"/>
      <c r="BF1127" s="27"/>
      <c r="BG1127" s="206" t="s">
        <v>3672</v>
      </c>
      <c r="BH1127" s="53" t="str">
        <f>'[1]2023'!Q1685</f>
        <v>#REF!</v>
      </c>
      <c r="BI1127" s="27"/>
      <c r="BJ1127" s="27"/>
      <c r="BK1127" s="27" t="s">
        <v>1102</v>
      </c>
      <c r="BL1127" s="27"/>
    </row>
    <row r="1128" ht="14.25" customHeight="1">
      <c r="A1128" s="26" t="s">
        <v>111</v>
      </c>
      <c r="B1128" s="26" t="s">
        <v>56</v>
      </c>
      <c r="C1128" s="26" t="s">
        <v>57</v>
      </c>
      <c r="D1128" s="26" t="s">
        <v>71</v>
      </c>
      <c r="E1128" s="27" t="s">
        <v>3673</v>
      </c>
      <c r="F1128" s="28" t="s">
        <v>3674</v>
      </c>
      <c r="G1128" s="29">
        <v>45208.0</v>
      </c>
      <c r="H1128" s="30">
        <v>45208.0</v>
      </c>
      <c r="I1128" s="30">
        <v>45573.0</v>
      </c>
      <c r="J1128" s="31" t="s">
        <v>3675</v>
      </c>
      <c r="K1128" s="26" t="s">
        <v>931</v>
      </c>
      <c r="L1128" s="32" t="s">
        <v>75</v>
      </c>
      <c r="M1128" s="33">
        <v>16075.38</v>
      </c>
      <c r="N1128" s="34">
        <v>17360.0</v>
      </c>
      <c r="O1128" s="27" t="s">
        <v>76</v>
      </c>
      <c r="P1128" s="35" t="s">
        <v>122</v>
      </c>
      <c r="Q1128" s="35" t="s">
        <v>114</v>
      </c>
      <c r="R1128" s="36">
        <v>45217.0</v>
      </c>
      <c r="S1128" s="35" t="s">
        <v>66</v>
      </c>
      <c r="T1128" s="35">
        <v>0.0</v>
      </c>
      <c r="U1128" s="37" t="s">
        <v>149</v>
      </c>
      <c r="V1128" s="38">
        <v>800000.0</v>
      </c>
      <c r="W1128" s="78">
        <v>292.0</v>
      </c>
      <c r="X1128" s="27">
        <v>2017.0</v>
      </c>
      <c r="Y1128" s="39">
        <v>508.0</v>
      </c>
      <c r="Z1128" s="79" t="s">
        <v>2641</v>
      </c>
      <c r="AA1128" s="39"/>
      <c r="AB1128" s="27"/>
      <c r="AC1128" s="27">
        <v>50.0</v>
      </c>
      <c r="AD1128" s="41">
        <f t="shared" si="911"/>
        <v>0</v>
      </c>
      <c r="AE1128" s="42"/>
      <c r="AF1128" s="27"/>
      <c r="AG1128" s="43">
        <f>IF(O1128="Paid",IF(A1128="Wethaq",(M1128*28%)-((M1128*28%)*5%),IF((A1128="GIG"),(M1128*25%)-((M1128*25%)*5%),IF((A1128="Allianz"),(M1128*27%)-((M1128*27%)*5%),0))),0)</f>
        <v>3817.90275</v>
      </c>
      <c r="AH1128" s="29" t="s">
        <v>3486</v>
      </c>
      <c r="AI1128" s="29" t="s">
        <v>3168</v>
      </c>
      <c r="AJ1128" s="29"/>
      <c r="AK1128" s="29" t="s">
        <v>926</v>
      </c>
      <c r="AL1128" s="27"/>
      <c r="AM1128" s="140">
        <f>AU1128*30%</f>
        <v>545.6288775</v>
      </c>
      <c r="AN1128" s="71">
        <v>45654.0</v>
      </c>
      <c r="AO1128" s="46"/>
      <c r="AP1128" s="47"/>
      <c r="AQ1128" s="43">
        <f t="shared" ref="AQ1128:AQ1132" si="917">IF(U1128="Motor Plus",(M1128*27%),IF(U1128="Motor One",(M1128*22%),(IF(U1128="Golden",(M1128*25%),(IF(U1128="Classic",(M1128*15%),(IF(U1128="Wethaq",(M1128*28%),IF(U1128="Alwataniya",(M1128*21%))*0))))))))</f>
        <v>2411.307</v>
      </c>
      <c r="AR1128" s="43">
        <f t="shared" si="448"/>
        <v>120.56535</v>
      </c>
      <c r="AS1128" s="43">
        <f t="shared" si="449"/>
        <v>421.978725</v>
      </c>
      <c r="AT1128" s="48">
        <f t="shared" si="753"/>
        <v>1868.762925</v>
      </c>
      <c r="AU1128" s="49">
        <f t="shared" si="910"/>
        <v>1818.762925</v>
      </c>
      <c r="AV1128" s="48"/>
      <c r="AW1128" s="34">
        <f t="shared" si="840"/>
        <v>17310</v>
      </c>
      <c r="AX1128" s="50">
        <f t="shared" si="811"/>
        <v>2850.295148</v>
      </c>
      <c r="AY1128" s="43"/>
      <c r="AZ1128" s="47"/>
      <c r="BA1128" s="48">
        <f t="shared" si="801"/>
        <v>1273.134048</v>
      </c>
      <c r="BB1128" s="27"/>
      <c r="BC1128" s="27"/>
      <c r="BD1128" s="51"/>
      <c r="BE1128" s="52"/>
      <c r="BF1128" s="27"/>
      <c r="BG1128" s="58" t="s">
        <v>3676</v>
      </c>
      <c r="BH1128" s="53" t="str">
        <f>'[1]2023'!Q1397</f>
        <v>#REF!</v>
      </c>
      <c r="BI1128" s="27"/>
      <c r="BJ1128" s="27"/>
      <c r="BK1128" s="27" t="s">
        <v>76</v>
      </c>
      <c r="BL1128" s="64" t="s">
        <v>3677</v>
      </c>
    </row>
    <row r="1129" ht="14.25" customHeight="1">
      <c r="A1129" s="26" t="s">
        <v>111</v>
      </c>
      <c r="B1129" s="26" t="s">
        <v>56</v>
      </c>
      <c r="C1129" s="26" t="s">
        <v>57</v>
      </c>
      <c r="D1129" s="26" t="s">
        <v>58</v>
      </c>
      <c r="E1129" s="27" t="s">
        <v>3678</v>
      </c>
      <c r="F1129" s="28" t="s">
        <v>3679</v>
      </c>
      <c r="G1129" s="29">
        <v>45208.0</v>
      </c>
      <c r="H1129" s="30">
        <v>45208.0</v>
      </c>
      <c r="I1129" s="30">
        <v>45573.0</v>
      </c>
      <c r="J1129" s="31" t="s">
        <v>2305</v>
      </c>
      <c r="K1129" s="26" t="s">
        <v>931</v>
      </c>
      <c r="L1129" s="207" t="s">
        <v>3680</v>
      </c>
      <c r="M1129" s="33">
        <v>68178.92</v>
      </c>
      <c r="N1129" s="34">
        <v>72486.0</v>
      </c>
      <c r="O1129" s="27" t="s">
        <v>76</v>
      </c>
      <c r="P1129" s="35">
        <v>0.0</v>
      </c>
      <c r="Q1129" s="35">
        <v>0.0</v>
      </c>
      <c r="R1129" s="36">
        <v>45217.0</v>
      </c>
      <c r="S1129" s="35" t="s">
        <v>66</v>
      </c>
      <c r="T1129" s="35">
        <v>0.0</v>
      </c>
      <c r="U1129" s="37" t="s">
        <v>115</v>
      </c>
      <c r="V1129" s="38"/>
      <c r="W1129" s="78"/>
      <c r="X1129" s="27"/>
      <c r="Y1129" s="39"/>
      <c r="Z1129" s="39"/>
      <c r="AA1129" s="39"/>
      <c r="AB1129" s="27"/>
      <c r="AC1129" s="27">
        <f t="shared" ref="AC1129:AC1133" si="918">M1129*AB1129</f>
        <v>0</v>
      </c>
      <c r="AD1129" s="44"/>
      <c r="AE1129" s="27"/>
      <c r="AF1129" s="27"/>
      <c r="AG1129" s="208">
        <f>IF(O1129="Paid",IF(A1129="Alwataniya",(M1129*21%)-((M1129*21%)*5%),IF((A1129="GIG"),(M1129*25%)-((M1129*25%)*5%),IF((A1129="Allianz"),(M1129*27%)-((M1129*27%)*20%),0))),0)</f>
        <v>16192.4935</v>
      </c>
      <c r="AH1129" s="209" t="s">
        <v>3681</v>
      </c>
      <c r="AI1129" s="117" t="s">
        <v>63</v>
      </c>
      <c r="AJ1129" s="29"/>
      <c r="AK1129" s="200" t="s">
        <v>3681</v>
      </c>
      <c r="AL1129" s="27"/>
      <c r="AM1129" s="27">
        <f>IF((BD1129&lt;=2),AU1129*10%,(IF((BD1129=3),AU1129*20%,IF((BD1129=4),AU1129*20%,IF((BD1129&gt;=5),AU1129*30%,(IF((BD1129="lead"),AU1129*30%,0)))))))</f>
        <v>1320.966575</v>
      </c>
      <c r="AN1129" s="47"/>
      <c r="AO1129" s="46"/>
      <c r="AP1129" s="47"/>
      <c r="AQ1129" s="43">
        <f t="shared" si="917"/>
        <v>17044.73</v>
      </c>
      <c r="AR1129" s="43">
        <f t="shared" si="448"/>
        <v>852.2365</v>
      </c>
      <c r="AS1129" s="43">
        <f t="shared" si="449"/>
        <v>2982.82775</v>
      </c>
      <c r="AT1129" s="48">
        <f t="shared" si="753"/>
        <v>13209.66575</v>
      </c>
      <c r="AU1129" s="49">
        <f t="shared" si="910"/>
        <v>13209.66575</v>
      </c>
      <c r="AV1129" s="48"/>
      <c r="AW1129" s="34">
        <f t="shared" si="840"/>
        <v>72486</v>
      </c>
      <c r="AX1129" s="50">
        <f t="shared" si="811"/>
        <v>11888.69918</v>
      </c>
      <c r="AY1129" s="43"/>
      <c r="AZ1129" s="47"/>
      <c r="BA1129" s="48">
        <f t="shared" si="801"/>
        <v>11888.69918</v>
      </c>
      <c r="BB1129" s="27"/>
      <c r="BC1129" s="27"/>
      <c r="BD1129" s="51"/>
      <c r="BE1129" s="52"/>
      <c r="BF1129" s="27"/>
      <c r="BG1129" s="58" t="s">
        <v>3682</v>
      </c>
      <c r="BH1129" s="53" t="str">
        <f>'[1]2023'!Q1399</f>
        <v>#REF!</v>
      </c>
      <c r="BI1129" s="27"/>
      <c r="BJ1129" s="27"/>
      <c r="BK1129" s="27" t="s">
        <v>76</v>
      </c>
      <c r="BL1129" s="27"/>
    </row>
    <row r="1130" ht="14.25" customHeight="1">
      <c r="A1130" s="26" t="s">
        <v>492</v>
      </c>
      <c r="B1130" s="26" t="s">
        <v>69</v>
      </c>
      <c r="C1130" s="26" t="s">
        <v>70</v>
      </c>
      <c r="D1130" s="26" t="s">
        <v>71</v>
      </c>
      <c r="E1130" s="27" t="s">
        <v>3683</v>
      </c>
      <c r="F1130" s="28" t="s">
        <v>3200</v>
      </c>
      <c r="G1130" s="29">
        <v>45209.0</v>
      </c>
      <c r="H1130" s="30">
        <v>45209.0</v>
      </c>
      <c r="I1130" s="30">
        <v>45574.0</v>
      </c>
      <c r="J1130" s="31">
        <v>0.0</v>
      </c>
      <c r="K1130" s="26" t="s">
        <v>931</v>
      </c>
      <c r="L1130" s="32" t="s">
        <v>75</v>
      </c>
      <c r="M1130" s="33">
        <f>2112.5*30.98</f>
        <v>65445.25</v>
      </c>
      <c r="N1130" s="34">
        <v>69250.0</v>
      </c>
      <c r="O1130" s="27" t="s">
        <v>76</v>
      </c>
      <c r="P1130" s="35" t="s">
        <v>77</v>
      </c>
      <c r="Q1130" s="35">
        <v>0.0</v>
      </c>
      <c r="R1130" s="36">
        <v>45209.0</v>
      </c>
      <c r="S1130" s="35" t="s">
        <v>78</v>
      </c>
      <c r="T1130" s="54" t="s">
        <v>79</v>
      </c>
      <c r="U1130" s="37" t="s">
        <v>69</v>
      </c>
      <c r="V1130" s="38"/>
      <c r="W1130" s="38"/>
      <c r="X1130" s="27"/>
      <c r="Y1130" s="39"/>
      <c r="Z1130" s="39"/>
      <c r="AA1130" s="39"/>
      <c r="AB1130" s="27"/>
      <c r="AC1130" s="27">
        <f t="shared" si="918"/>
        <v>0</v>
      </c>
      <c r="AD1130" s="41"/>
      <c r="AE1130" s="42"/>
      <c r="AF1130" s="27"/>
      <c r="AG1130" s="43">
        <f>(M1130*25%)-((M1130*25%)*5%)</f>
        <v>15543.24688</v>
      </c>
      <c r="AH1130" s="29">
        <v>45148.0</v>
      </c>
      <c r="AI1130" s="29" t="s">
        <v>1325</v>
      </c>
      <c r="AJ1130" s="55">
        <v>0.25</v>
      </c>
      <c r="AK1130" s="29">
        <v>45148.0</v>
      </c>
      <c r="AL1130" s="27"/>
      <c r="AM1130" s="44"/>
      <c r="AN1130" s="104"/>
      <c r="AO1130" s="46">
        <f>((M1130*AJ1130)-((M1130*AJ1130)*22.5%))*80%</f>
        <v>10144.01375</v>
      </c>
      <c r="AP1130" s="57" t="s">
        <v>1325</v>
      </c>
      <c r="AQ1130" s="43">
        <f t="shared" si="917"/>
        <v>0</v>
      </c>
      <c r="AR1130" s="43">
        <f t="shared" si="448"/>
        <v>0</v>
      </c>
      <c r="AS1130" s="43">
        <f t="shared" si="449"/>
        <v>0</v>
      </c>
      <c r="AT1130" s="48">
        <f t="shared" si="753"/>
        <v>0</v>
      </c>
      <c r="AU1130" s="49" t="str">
        <f>AQ1130-AR1130-AS1130-AC1130-#REF!</f>
        <v>#REF!</v>
      </c>
      <c r="AV1130" s="48"/>
      <c r="AW1130" s="34">
        <f t="shared" si="840"/>
        <v>69250</v>
      </c>
      <c r="AX1130" s="50">
        <f t="shared" si="811"/>
        <v>5399.233125</v>
      </c>
      <c r="AY1130" s="43"/>
      <c r="AZ1130" s="47"/>
      <c r="BA1130" s="48" t="str">
        <f>IF(S1130&lt;&gt;0,AU1130-#REF!-AM1130,(AG1130-AD1130-AE1130-AS1130))</f>
        <v>#REF!</v>
      </c>
      <c r="BB1130" s="27"/>
      <c r="BC1130" s="27"/>
      <c r="BD1130" s="51"/>
      <c r="BE1130" s="52"/>
      <c r="BF1130" s="27"/>
      <c r="BG1130" s="53" t="s">
        <v>2495</v>
      </c>
      <c r="BH1130" s="53" t="str">
        <f>'[1]2023'!Q1268</f>
        <v>#REF!</v>
      </c>
      <c r="BI1130" s="27"/>
      <c r="BJ1130" s="27"/>
      <c r="BK1130" s="27" t="s">
        <v>76</v>
      </c>
      <c r="BL1130" s="64" t="s">
        <v>3684</v>
      </c>
    </row>
    <row r="1131" ht="14.25" customHeight="1">
      <c r="A1131" s="26" t="s">
        <v>55</v>
      </c>
      <c r="B1131" s="26" t="s">
        <v>56</v>
      </c>
      <c r="C1131" s="26" t="s">
        <v>57</v>
      </c>
      <c r="D1131" s="26" t="s">
        <v>81</v>
      </c>
      <c r="E1131" s="27" t="s">
        <v>3685</v>
      </c>
      <c r="F1131" s="28" t="s">
        <v>3686</v>
      </c>
      <c r="G1131" s="29">
        <v>45209.0</v>
      </c>
      <c r="H1131" s="30">
        <v>45209.0</v>
      </c>
      <c r="I1131" s="30">
        <v>45574.0</v>
      </c>
      <c r="J1131" s="31" t="s">
        <v>3687</v>
      </c>
      <c r="K1131" s="26" t="s">
        <v>931</v>
      </c>
      <c r="L1131" s="32" t="s">
        <v>1312</v>
      </c>
      <c r="M1131" s="33">
        <v>69620.0</v>
      </c>
      <c r="N1131" s="34">
        <v>74219.68</v>
      </c>
      <c r="O1131" s="27" t="s">
        <v>76</v>
      </c>
      <c r="P1131" s="35" t="s">
        <v>122</v>
      </c>
      <c r="Q1131" s="35" t="s">
        <v>108</v>
      </c>
      <c r="R1131" s="36">
        <v>45209.0</v>
      </c>
      <c r="S1131" s="35" t="s">
        <v>86</v>
      </c>
      <c r="T1131" s="35">
        <v>0.0</v>
      </c>
      <c r="U1131" s="37" t="s">
        <v>67</v>
      </c>
      <c r="V1131" s="38">
        <v>2950000.0</v>
      </c>
      <c r="W1131" s="78">
        <v>194872.0</v>
      </c>
      <c r="X1131" s="27">
        <v>2021.0</v>
      </c>
      <c r="Y1131" s="79" t="s">
        <v>2851</v>
      </c>
      <c r="Z1131" s="39" t="s">
        <v>3326</v>
      </c>
      <c r="AA1131" s="39"/>
      <c r="AB1131" s="27"/>
      <c r="AC1131" s="27">
        <f t="shared" si="918"/>
        <v>0</v>
      </c>
      <c r="AD1131" s="41">
        <f t="shared" ref="AD1131:AD1144" si="919">IF(AND(S1131="0",O1131="Paid"),(M1131*15%)-AC1131,0)</f>
        <v>10443</v>
      </c>
      <c r="AE1131" s="42"/>
      <c r="AF1131" s="27" t="s">
        <v>3296</v>
      </c>
      <c r="AG1131" s="43">
        <f t="shared" ref="AG1131:AG1132" si="920">IF(O1131="Paid",IF(A1131="Alwataniya",(M1131*21%)-((M1131*21%)*5%),IF((A1131="GIG"),(M1131*25%)-((M1131*25%)*5%),IF((A1131="Allianz"),(M1131*27%)-((M1131*27%)*5%),0))),0)</f>
        <v>17857.53</v>
      </c>
      <c r="AH1131" s="29"/>
      <c r="AI1131" s="29"/>
      <c r="AJ1131" s="29"/>
      <c r="AK1131" s="29"/>
      <c r="AL1131" s="27"/>
      <c r="AM1131" s="44"/>
      <c r="AN1131" s="47"/>
      <c r="AO1131" s="46"/>
      <c r="AP1131" s="47"/>
      <c r="AQ1131" s="43">
        <f t="shared" si="917"/>
        <v>18797.4</v>
      </c>
      <c r="AR1131" s="43">
        <f t="shared" si="448"/>
        <v>939.87</v>
      </c>
      <c r="AS1131" s="43">
        <f t="shared" si="449"/>
        <v>3289.545</v>
      </c>
      <c r="AT1131" s="48">
        <f t="shared" si="753"/>
        <v>14567.985</v>
      </c>
      <c r="AU1131" s="49">
        <f t="shared" ref="AU1131:AU1265" si="921">AQ1131-AR1131-AS1131-AC1131-AO1131</f>
        <v>14567.985</v>
      </c>
      <c r="AV1131" s="48"/>
      <c r="AW1131" s="34">
        <f t="shared" si="840"/>
        <v>63776.68</v>
      </c>
      <c r="AX1131" s="50">
        <f t="shared" si="811"/>
        <v>4124.985</v>
      </c>
      <c r="AY1131" s="43"/>
      <c r="AZ1131" s="47"/>
      <c r="BA1131" s="48">
        <f t="shared" ref="BA1131:BA1266" si="922">IF(S1131&lt;&gt;0,AU1131-AO1131-AM1131,(AG1131-AD1131-AE1131-AS1131))</f>
        <v>14567.985</v>
      </c>
      <c r="BB1131" s="27"/>
      <c r="BC1131" s="27"/>
      <c r="BD1131" s="51"/>
      <c r="BE1131" s="52"/>
      <c r="BF1131" s="27"/>
      <c r="BG1131" s="53">
        <v>0.0</v>
      </c>
      <c r="BH1131" s="53" t="str">
        <f t="shared" ref="BH1131:BH1132" si="923">'[1]2023'!Q1364</f>
        <v>#REF!</v>
      </c>
      <c r="BI1131" s="27"/>
      <c r="BJ1131" s="27"/>
      <c r="BK1131" s="27" t="s">
        <v>76</v>
      </c>
      <c r="BL1131" s="27"/>
    </row>
    <row r="1132" ht="14.25" customHeight="1">
      <c r="A1132" s="26" t="s">
        <v>55</v>
      </c>
      <c r="B1132" s="26" t="s">
        <v>56</v>
      </c>
      <c r="C1132" s="26" t="s">
        <v>57</v>
      </c>
      <c r="D1132" s="26" t="s">
        <v>81</v>
      </c>
      <c r="E1132" s="27" t="s">
        <v>3688</v>
      </c>
      <c r="F1132" s="28" t="s">
        <v>3689</v>
      </c>
      <c r="G1132" s="29">
        <v>45209.0</v>
      </c>
      <c r="H1132" s="30">
        <v>45209.0</v>
      </c>
      <c r="I1132" s="30">
        <v>45574.0</v>
      </c>
      <c r="J1132" s="31" t="s">
        <v>3690</v>
      </c>
      <c r="K1132" s="26" t="s">
        <v>931</v>
      </c>
      <c r="L1132" s="32" t="s">
        <v>1312</v>
      </c>
      <c r="M1132" s="33">
        <v>25665.0</v>
      </c>
      <c r="N1132" s="34">
        <v>27448.57</v>
      </c>
      <c r="O1132" s="27" t="s">
        <v>76</v>
      </c>
      <c r="P1132" s="35" t="s">
        <v>122</v>
      </c>
      <c r="Q1132" s="35" t="s">
        <v>85</v>
      </c>
      <c r="R1132" s="36">
        <v>45209.0</v>
      </c>
      <c r="S1132" s="35" t="s">
        <v>86</v>
      </c>
      <c r="T1132" s="35">
        <v>0.0</v>
      </c>
      <c r="U1132" s="37" t="s">
        <v>67</v>
      </c>
      <c r="V1132" s="38">
        <v>1450000.0</v>
      </c>
      <c r="W1132" s="78" t="s">
        <v>3691</v>
      </c>
      <c r="X1132" s="27">
        <v>2020.0</v>
      </c>
      <c r="Y1132" s="79" t="s">
        <v>2641</v>
      </c>
      <c r="Z1132" s="79" t="s">
        <v>208</v>
      </c>
      <c r="AA1132" s="39" t="s">
        <v>3692</v>
      </c>
      <c r="AB1132" s="27"/>
      <c r="AC1132" s="27">
        <f t="shared" si="918"/>
        <v>0</v>
      </c>
      <c r="AD1132" s="41">
        <f t="shared" si="919"/>
        <v>3849.75</v>
      </c>
      <c r="AE1132" s="42"/>
      <c r="AF1132" s="29">
        <v>45149.0</v>
      </c>
      <c r="AG1132" s="43">
        <f t="shared" si="920"/>
        <v>6583.0725</v>
      </c>
      <c r="AH1132" s="29"/>
      <c r="AI1132" s="29"/>
      <c r="AJ1132" s="29"/>
      <c r="AK1132" s="29"/>
      <c r="AL1132" s="27"/>
      <c r="AM1132" s="44"/>
      <c r="AN1132" s="68"/>
      <c r="AO1132" s="46"/>
      <c r="AP1132" s="47"/>
      <c r="AQ1132" s="43">
        <f t="shared" si="917"/>
        <v>6929.55</v>
      </c>
      <c r="AR1132" s="43">
        <f t="shared" si="448"/>
        <v>346.4775</v>
      </c>
      <c r="AS1132" s="43">
        <f t="shared" si="449"/>
        <v>1212.67125</v>
      </c>
      <c r="AT1132" s="48">
        <f t="shared" si="753"/>
        <v>5370.40125</v>
      </c>
      <c r="AU1132" s="49">
        <f t="shared" si="921"/>
        <v>5370.40125</v>
      </c>
      <c r="AV1132" s="48"/>
      <c r="AW1132" s="34">
        <f t="shared" si="840"/>
        <v>23598.82</v>
      </c>
      <c r="AX1132" s="50">
        <f t="shared" si="811"/>
        <v>1520.65125</v>
      </c>
      <c r="AY1132" s="43"/>
      <c r="AZ1132" s="47"/>
      <c r="BA1132" s="48">
        <f t="shared" si="922"/>
        <v>5370.40125</v>
      </c>
      <c r="BB1132" s="27"/>
      <c r="BC1132" s="27"/>
      <c r="BD1132" s="51"/>
      <c r="BE1132" s="52"/>
      <c r="BF1132" s="27"/>
      <c r="BG1132" s="53">
        <v>0.0</v>
      </c>
      <c r="BH1132" s="53" t="str">
        <f t="shared" si="923"/>
        <v>#REF!</v>
      </c>
      <c r="BI1132" s="27"/>
      <c r="BJ1132" s="27"/>
      <c r="BK1132" s="27" t="s">
        <v>76</v>
      </c>
      <c r="BL1132" s="27"/>
    </row>
    <row r="1133" ht="14.25" customHeight="1">
      <c r="A1133" s="26" t="s">
        <v>111</v>
      </c>
      <c r="B1133" s="26" t="s">
        <v>56</v>
      </c>
      <c r="C1133" s="26" t="s">
        <v>57</v>
      </c>
      <c r="D1133" s="26" t="s">
        <v>71</v>
      </c>
      <c r="E1133" s="27" t="s">
        <v>3693</v>
      </c>
      <c r="F1133" s="28" t="s">
        <v>3694</v>
      </c>
      <c r="G1133" s="29">
        <v>45209.0</v>
      </c>
      <c r="H1133" s="30">
        <v>45209.0</v>
      </c>
      <c r="I1133" s="30">
        <v>45574.0</v>
      </c>
      <c r="J1133" s="31" t="s">
        <v>3695</v>
      </c>
      <c r="K1133" s="26" t="s">
        <v>931</v>
      </c>
      <c r="L1133" s="32" t="s">
        <v>63</v>
      </c>
      <c r="M1133" s="33">
        <v>43744.55</v>
      </c>
      <c r="N1133" s="34">
        <v>46800.0</v>
      </c>
      <c r="O1133" s="27" t="s">
        <v>64</v>
      </c>
      <c r="P1133" s="35" t="s">
        <v>142</v>
      </c>
      <c r="Q1133" s="35" t="s">
        <v>108</v>
      </c>
      <c r="R1133" s="36">
        <v>45218.0</v>
      </c>
      <c r="S1133" s="35" t="s">
        <v>86</v>
      </c>
      <c r="T1133" s="35">
        <v>0.0</v>
      </c>
      <c r="U1133" s="37" t="s">
        <v>115</v>
      </c>
      <c r="V1133" s="38">
        <v>1800000.0</v>
      </c>
      <c r="W1133" s="78">
        <v>170341.0</v>
      </c>
      <c r="X1133" s="27">
        <v>2023.0</v>
      </c>
      <c r="Y1133" s="79" t="s">
        <v>3696</v>
      </c>
      <c r="Z1133" s="79" t="s">
        <v>277</v>
      </c>
      <c r="AA1133" s="39"/>
      <c r="AB1133" s="27"/>
      <c r="AC1133" s="27">
        <f t="shared" si="918"/>
        <v>0</v>
      </c>
      <c r="AD1133" s="41">
        <f t="shared" si="919"/>
        <v>0</v>
      </c>
      <c r="AE1133" s="42"/>
      <c r="AF1133" s="27"/>
      <c r="AG1133" s="43">
        <f t="shared" ref="AG1133:AG1135" si="924">IF(O1133="Paid",IF(A1133="Alwataniya",(M1133*21%)-((M1133*21%)*5%),IF((A1133="GIG"),(M1133*25%)-((M1133*25%)*5%),IF((A1133="Allianz"),(M1133*27%)-((M1133*27%)*20%),0))),0)</f>
        <v>0</v>
      </c>
      <c r="AH1133" s="29"/>
      <c r="AI1133" s="29"/>
      <c r="AJ1133" s="29"/>
      <c r="AK1133" s="29"/>
      <c r="AL1133" s="27"/>
      <c r="AM1133" s="44"/>
      <c r="AN1133" s="47"/>
      <c r="AO1133" s="46"/>
      <c r="AP1133" s="47"/>
      <c r="AQ1133" s="43" t="b">
        <f>IF(O1133="Paid",IF(U1133="Motor Plus",(M1133*27%),IF(U1133="Motor One",(M1133*22%),(IF(U1133="Golden",(M1133*25%),(IF(U1133="Classic",(M1133*15%),(IF(U1133="Wethaq",(M1133*28%),IF(U1133="Alwataniya",(M1133*21%))*0)))))))))</f>
        <v>0</v>
      </c>
      <c r="AR1133" s="43">
        <f t="shared" si="448"/>
        <v>0</v>
      </c>
      <c r="AS1133" s="43">
        <f t="shared" si="449"/>
        <v>0</v>
      </c>
      <c r="AT1133" s="48">
        <f t="shared" si="753"/>
        <v>0</v>
      </c>
      <c r="AU1133" s="49">
        <f t="shared" si="921"/>
        <v>0</v>
      </c>
      <c r="AV1133" s="48"/>
      <c r="AW1133" s="34">
        <f t="shared" si="840"/>
        <v>46800</v>
      </c>
      <c r="AX1133" s="50">
        <f t="shared" si="811"/>
        <v>0</v>
      </c>
      <c r="AY1133" s="43"/>
      <c r="AZ1133" s="47"/>
      <c r="BA1133" s="48">
        <f t="shared" si="922"/>
        <v>0</v>
      </c>
      <c r="BB1133" s="27"/>
      <c r="BC1133" s="27"/>
      <c r="BD1133" s="51"/>
      <c r="BE1133" s="52"/>
      <c r="BF1133" s="27"/>
      <c r="BG1133" s="53">
        <v>0.0</v>
      </c>
      <c r="BH1133" s="53" t="str">
        <f>'[1]2023'!Q1402</f>
        <v>#REF!</v>
      </c>
      <c r="BI1133" s="27"/>
      <c r="BJ1133" s="27"/>
      <c r="BK1133" s="27" t="s">
        <v>64</v>
      </c>
      <c r="BL1133" s="27"/>
    </row>
    <row r="1134" ht="14.25" customHeight="1">
      <c r="A1134" s="26" t="s">
        <v>111</v>
      </c>
      <c r="B1134" s="26" t="s">
        <v>56</v>
      </c>
      <c r="C1134" s="26" t="s">
        <v>57</v>
      </c>
      <c r="D1134" s="26" t="s">
        <v>71</v>
      </c>
      <c r="E1134" s="27" t="s">
        <v>3697</v>
      </c>
      <c r="F1134" s="28" t="s">
        <v>3698</v>
      </c>
      <c r="G1134" s="29">
        <v>45209.0</v>
      </c>
      <c r="H1134" s="30">
        <v>45209.0</v>
      </c>
      <c r="I1134" s="30">
        <v>45574.0</v>
      </c>
      <c r="J1134" s="31" t="s">
        <v>3699</v>
      </c>
      <c r="K1134" s="26" t="s">
        <v>931</v>
      </c>
      <c r="L1134" s="69">
        <v>45270.0</v>
      </c>
      <c r="M1134" s="33">
        <v>30304.0</v>
      </c>
      <c r="N1134" s="34">
        <v>32500.0</v>
      </c>
      <c r="O1134" s="27" t="s">
        <v>76</v>
      </c>
      <c r="P1134" s="35" t="s">
        <v>430</v>
      </c>
      <c r="Q1134" s="35" t="s">
        <v>90</v>
      </c>
      <c r="R1134" s="36">
        <v>45218.0</v>
      </c>
      <c r="S1134" s="35" t="s">
        <v>78</v>
      </c>
      <c r="T1134" s="35">
        <v>0.0</v>
      </c>
      <c r="U1134" s="37" t="s">
        <v>115</v>
      </c>
      <c r="V1134" s="38">
        <v>1250000.0</v>
      </c>
      <c r="W1134" s="78">
        <v>5691.0</v>
      </c>
      <c r="X1134" s="27">
        <v>2020.0</v>
      </c>
      <c r="Y1134" s="39">
        <v>508.0</v>
      </c>
      <c r="Z1134" s="79" t="s">
        <v>2641</v>
      </c>
      <c r="AA1134" s="39"/>
      <c r="AB1134" s="55">
        <v>0.1</v>
      </c>
      <c r="AC1134" s="27">
        <v>3000.0</v>
      </c>
      <c r="AD1134" s="41">
        <f t="shared" si="919"/>
        <v>0</v>
      </c>
      <c r="AE1134" s="42"/>
      <c r="AF1134" s="27"/>
      <c r="AG1134" s="43">
        <f t="shared" si="924"/>
        <v>7197.2</v>
      </c>
      <c r="AH1134" s="29">
        <v>45270.0</v>
      </c>
      <c r="AI1134" s="29" t="s">
        <v>3486</v>
      </c>
      <c r="AJ1134" s="29"/>
      <c r="AK1134" s="75" t="s">
        <v>3486</v>
      </c>
      <c r="AL1134" s="27"/>
      <c r="AM1134" s="27"/>
      <c r="AN1134" s="47"/>
      <c r="AO1134" s="46"/>
      <c r="AP1134" s="47"/>
      <c r="AQ1134" s="43">
        <f t="shared" ref="AQ1134:AQ1135" si="925">IF(U1134="Motor Plus",(M1134*27%),IF(U1134="Motor One",(M1134*22%),(IF(U1134="Golden",(M1134*25%),(IF(U1134="Classic",(M1134*15%),(IF(U1134="Wethaq",(M1134*28%),IF(U1134="Alwataniya",(M1134*21%))*0))))))))</f>
        <v>7576</v>
      </c>
      <c r="AR1134" s="43">
        <f t="shared" si="448"/>
        <v>378.8</v>
      </c>
      <c r="AS1134" s="43">
        <f t="shared" si="449"/>
        <v>1325.8</v>
      </c>
      <c r="AT1134" s="48">
        <f t="shared" si="753"/>
        <v>5871.4</v>
      </c>
      <c r="AU1134" s="49">
        <f t="shared" si="921"/>
        <v>2871.4</v>
      </c>
      <c r="AV1134" s="48"/>
      <c r="AW1134" s="34">
        <f t="shared" si="840"/>
        <v>29500</v>
      </c>
      <c r="AX1134" s="50">
        <f t="shared" si="811"/>
        <v>5871.4</v>
      </c>
      <c r="AY1134" s="43"/>
      <c r="AZ1134" s="47"/>
      <c r="BA1134" s="48">
        <f t="shared" si="922"/>
        <v>2871.4</v>
      </c>
      <c r="BB1134" s="27"/>
      <c r="BC1134" s="27"/>
      <c r="BD1134" s="51"/>
      <c r="BE1134" s="52"/>
      <c r="BF1134" s="27"/>
      <c r="BG1134" s="58" t="s">
        <v>3700</v>
      </c>
      <c r="BH1134" s="53" t="str">
        <f>'[1]2023'!Q1405</f>
        <v>#REF!</v>
      </c>
      <c r="BI1134" s="27"/>
      <c r="BJ1134" s="27"/>
      <c r="BK1134" s="27" t="s">
        <v>76</v>
      </c>
      <c r="BL1134" s="27"/>
    </row>
    <row r="1135" ht="14.25" customHeight="1">
      <c r="A1135" s="26" t="s">
        <v>111</v>
      </c>
      <c r="B1135" s="26" t="s">
        <v>56</v>
      </c>
      <c r="C1135" s="26" t="s">
        <v>57</v>
      </c>
      <c r="D1135" s="26" t="s">
        <v>58</v>
      </c>
      <c r="E1135" s="27" t="s">
        <v>3701</v>
      </c>
      <c r="F1135" s="28" t="s">
        <v>3702</v>
      </c>
      <c r="G1135" s="29">
        <v>45209.0</v>
      </c>
      <c r="H1135" s="30">
        <v>45209.0</v>
      </c>
      <c r="I1135" s="30">
        <v>45574.0</v>
      </c>
      <c r="J1135" s="31">
        <v>0.0</v>
      </c>
      <c r="K1135" s="26" t="s">
        <v>931</v>
      </c>
      <c r="L1135" s="32" t="s">
        <v>75</v>
      </c>
      <c r="M1135" s="33">
        <v>3040.55</v>
      </c>
      <c r="N1135" s="34">
        <v>3292.0</v>
      </c>
      <c r="O1135" s="27" t="s">
        <v>76</v>
      </c>
      <c r="P1135" s="35" t="s">
        <v>89</v>
      </c>
      <c r="Q1135" s="35" t="s">
        <v>114</v>
      </c>
      <c r="R1135" s="36">
        <v>45218.0</v>
      </c>
      <c r="S1135" s="35" t="s">
        <v>66</v>
      </c>
      <c r="T1135" s="35">
        <v>0.0</v>
      </c>
      <c r="U1135" s="37" t="s">
        <v>115</v>
      </c>
      <c r="V1135" s="38">
        <v>1100000.0</v>
      </c>
      <c r="W1135" s="78"/>
      <c r="X1135" s="27"/>
      <c r="Y1135" s="39"/>
      <c r="Z1135" s="39"/>
      <c r="AA1135" s="39"/>
      <c r="AB1135" s="27"/>
      <c r="AC1135" s="27">
        <f t="shared" ref="AC1135:AC1248" si="926">M1135*AB1135</f>
        <v>0</v>
      </c>
      <c r="AD1135" s="41">
        <f t="shared" si="919"/>
        <v>0</v>
      </c>
      <c r="AE1135" s="42"/>
      <c r="AF1135" s="27"/>
      <c r="AG1135" s="43">
        <f t="shared" si="924"/>
        <v>722.130625</v>
      </c>
      <c r="AH1135" s="29" t="s">
        <v>1325</v>
      </c>
      <c r="AI1135" s="29" t="s">
        <v>2764</v>
      </c>
      <c r="AJ1135" s="29"/>
      <c r="AK1135" s="29" t="s">
        <v>1108</v>
      </c>
      <c r="AL1135" s="27"/>
      <c r="AM1135" s="44">
        <f>IF((BD1135&lt;=2),AU1135*10%,(IF((BD1135=3),AU1135*20%,IF((BD1135=4),AU1135*20%,IF((BD1135&gt;=5),AU1135*30%,(IF((BD1135="lead"),AU1135*30%,0)))))))</f>
        <v>58.91065625</v>
      </c>
      <c r="AN1135" s="68"/>
      <c r="AO1135" s="46"/>
      <c r="AP1135" s="47"/>
      <c r="AQ1135" s="43">
        <f t="shared" si="925"/>
        <v>760.1375</v>
      </c>
      <c r="AR1135" s="43">
        <f t="shared" si="448"/>
        <v>38.006875</v>
      </c>
      <c r="AS1135" s="43">
        <f t="shared" si="449"/>
        <v>133.0240625</v>
      </c>
      <c r="AT1135" s="48">
        <f t="shared" si="753"/>
        <v>589.1065625</v>
      </c>
      <c r="AU1135" s="49">
        <f t="shared" si="921"/>
        <v>589.1065625</v>
      </c>
      <c r="AV1135" s="48"/>
      <c r="AW1135" s="34">
        <f t="shared" si="840"/>
        <v>3292</v>
      </c>
      <c r="AX1135" s="50">
        <f t="shared" si="811"/>
        <v>530.1959063</v>
      </c>
      <c r="AY1135" s="43"/>
      <c r="AZ1135" s="47"/>
      <c r="BA1135" s="48">
        <f t="shared" si="922"/>
        <v>530.1959063</v>
      </c>
      <c r="BB1135" s="27"/>
      <c r="BC1135" s="27"/>
      <c r="BD1135" s="51"/>
      <c r="BE1135" s="52"/>
      <c r="BF1135" s="27"/>
      <c r="BG1135" s="53" t="s">
        <v>3703</v>
      </c>
      <c r="BH1135" s="53" t="str">
        <f>'[1]2023'!Q1407</f>
        <v>#REF!</v>
      </c>
      <c r="BI1135" s="27"/>
      <c r="BJ1135" s="27"/>
      <c r="BK1135" s="27" t="s">
        <v>76</v>
      </c>
      <c r="BL1135" s="27"/>
    </row>
    <row r="1136" ht="14.25" customHeight="1">
      <c r="A1136" s="26" t="s">
        <v>55</v>
      </c>
      <c r="B1136" s="26" t="s">
        <v>56</v>
      </c>
      <c r="C1136" s="26" t="s">
        <v>57</v>
      </c>
      <c r="D1136" s="26" t="s">
        <v>81</v>
      </c>
      <c r="E1136" s="27" t="s">
        <v>3704</v>
      </c>
      <c r="F1136" s="28" t="s">
        <v>3705</v>
      </c>
      <c r="G1136" s="29">
        <v>45209.0</v>
      </c>
      <c r="H1136" s="30">
        <v>45209.0</v>
      </c>
      <c r="I1136" s="30">
        <v>45574.0</v>
      </c>
      <c r="J1136" s="31" t="s">
        <v>3706</v>
      </c>
      <c r="K1136" s="26" t="s">
        <v>931</v>
      </c>
      <c r="L1136" s="32" t="s">
        <v>63</v>
      </c>
      <c r="M1136" s="33">
        <v>0.0</v>
      </c>
      <c r="N1136" s="34">
        <v>0.0</v>
      </c>
      <c r="O1136" s="27" t="s">
        <v>64</v>
      </c>
      <c r="P1136" s="35">
        <v>0.0</v>
      </c>
      <c r="Q1136" s="35" t="s">
        <v>90</v>
      </c>
      <c r="R1136" s="36">
        <v>45209.0</v>
      </c>
      <c r="S1136" s="35" t="s">
        <v>86</v>
      </c>
      <c r="T1136" s="35">
        <v>0.0</v>
      </c>
      <c r="U1136" s="37" t="s">
        <v>67</v>
      </c>
      <c r="V1136" s="38"/>
      <c r="W1136" s="78"/>
      <c r="X1136" s="27"/>
      <c r="Y1136" s="39"/>
      <c r="Z1136" s="39"/>
      <c r="AA1136" s="39"/>
      <c r="AB1136" s="27"/>
      <c r="AC1136" s="27">
        <f t="shared" si="926"/>
        <v>0</v>
      </c>
      <c r="AD1136" s="41">
        <f t="shared" si="919"/>
        <v>0</v>
      </c>
      <c r="AE1136" s="42"/>
      <c r="AF1136" s="27"/>
      <c r="AG1136" s="43">
        <f>IF(O1136="Paid",IF(A1136="Alwataniya",(M1136*21%)-((M1136*21%)*5%),IF((A1136="GIG"),(M1136*25%)-((M1136*25%)*5%),IF((A1136="Allianz"),(M1136*27%)-((M1136*27%)*5%),0))),0)</f>
        <v>0</v>
      </c>
      <c r="AH1136" s="29"/>
      <c r="AI1136" s="29"/>
      <c r="AJ1136" s="29"/>
      <c r="AK1136" s="29"/>
      <c r="AL1136" s="27"/>
      <c r="AM1136" s="27"/>
      <c r="AN1136" s="47"/>
      <c r="AO1136" s="46"/>
      <c r="AP1136" s="47"/>
      <c r="AQ1136" s="43" t="b">
        <f t="shared" ref="AQ1136:AQ1137" si="927">IF(O1136="Paid",IF(U1136="Motor Plus",(M1136*27%),IF(U1136="Motor One",(M1136*22%),(IF(U1136="Golden",(M1136*25%),(IF(U1136="Classic",(M1136*15%),(IF(U1136="Wethaq",(M1136*28%),IF(U1136="Alwataniya",(M1136*21%))*0)))))))))</f>
        <v>0</v>
      </c>
      <c r="AR1136" s="43">
        <f t="shared" si="448"/>
        <v>0</v>
      </c>
      <c r="AS1136" s="43">
        <f t="shared" si="449"/>
        <v>0</v>
      </c>
      <c r="AT1136" s="48">
        <f t="shared" si="753"/>
        <v>0</v>
      </c>
      <c r="AU1136" s="49">
        <f t="shared" si="921"/>
        <v>0</v>
      </c>
      <c r="AV1136" s="48"/>
      <c r="AW1136" s="34">
        <f t="shared" si="840"/>
        <v>0</v>
      </c>
      <c r="AX1136" s="50">
        <f t="shared" si="811"/>
        <v>0</v>
      </c>
      <c r="AY1136" s="43"/>
      <c r="AZ1136" s="47"/>
      <c r="BA1136" s="48">
        <f t="shared" si="922"/>
        <v>0</v>
      </c>
      <c r="BB1136" s="27"/>
      <c r="BC1136" s="27"/>
      <c r="BD1136" s="51"/>
      <c r="BE1136" s="52"/>
      <c r="BF1136" s="27"/>
      <c r="BG1136" s="58" t="s">
        <v>3707</v>
      </c>
      <c r="BH1136" s="53" t="str">
        <f>'[1]2023'!Q1439</f>
        <v>#REF!</v>
      </c>
      <c r="BI1136" s="27"/>
      <c r="BJ1136" s="27"/>
      <c r="BK1136" s="27" t="s">
        <v>64</v>
      </c>
      <c r="BL1136" s="27"/>
    </row>
    <row r="1137" ht="14.25" customHeight="1">
      <c r="A1137" s="26" t="s">
        <v>55</v>
      </c>
      <c r="B1137" s="26" t="s">
        <v>56</v>
      </c>
      <c r="C1137" s="26" t="s">
        <v>57</v>
      </c>
      <c r="D1137" s="26" t="s">
        <v>58</v>
      </c>
      <c r="E1137" s="27" t="s">
        <v>3708</v>
      </c>
      <c r="F1137" s="28" t="s">
        <v>3689</v>
      </c>
      <c r="G1137" s="29">
        <v>45209.0</v>
      </c>
      <c r="H1137" s="30">
        <v>45209.0</v>
      </c>
      <c r="I1137" s="30">
        <v>45574.0</v>
      </c>
      <c r="J1137" s="31" t="s">
        <v>86</v>
      </c>
      <c r="K1137" s="26" t="s">
        <v>3541</v>
      </c>
      <c r="L1137" s="89">
        <v>45210.0</v>
      </c>
      <c r="M1137" s="33">
        <v>1275.46</v>
      </c>
      <c r="N1137" s="34">
        <v>1357.09</v>
      </c>
      <c r="O1137" s="27" t="s">
        <v>76</v>
      </c>
      <c r="P1137" s="35" t="s">
        <v>122</v>
      </c>
      <c r="Q1137" s="35">
        <v>0.0</v>
      </c>
      <c r="R1137" s="36">
        <v>0.0</v>
      </c>
      <c r="S1137" s="35" t="s">
        <v>86</v>
      </c>
      <c r="T1137" s="35">
        <v>0.0</v>
      </c>
      <c r="U1137" s="37">
        <v>0.0</v>
      </c>
      <c r="V1137" s="38"/>
      <c r="W1137" s="78"/>
      <c r="X1137" s="27"/>
      <c r="Y1137" s="39"/>
      <c r="Z1137" s="39"/>
      <c r="AA1137" s="39"/>
      <c r="AB1137" s="27"/>
      <c r="AC1137" s="27">
        <f t="shared" si="926"/>
        <v>0</v>
      </c>
      <c r="AD1137" s="41">
        <f t="shared" si="919"/>
        <v>191.319</v>
      </c>
      <c r="AE1137" s="42"/>
      <c r="AF1137" s="27"/>
      <c r="AG1137" s="43">
        <f>IF(O1137="Paid",IF(A1137="Wethaq",(M1137*28%)-((M1137*28%)*5%),IF((A1137="GIG"),(M1137*25%)-((M1137*25%)*5%),IF((A1137="Allianz"),(M1137*27%)-((M1137*27%)*20%),0))),0)</f>
        <v>275.49936</v>
      </c>
      <c r="AH1137" s="29"/>
      <c r="AI1137" s="29"/>
      <c r="AJ1137" s="29"/>
      <c r="AK1137" s="29"/>
      <c r="AL1137" s="27"/>
      <c r="AM1137" s="44"/>
      <c r="AN1137" s="47"/>
      <c r="AO1137" s="46"/>
      <c r="AP1137" s="47"/>
      <c r="AQ1137" s="43">
        <f t="shared" si="927"/>
        <v>0</v>
      </c>
      <c r="AR1137" s="43">
        <f t="shared" si="448"/>
        <v>0</v>
      </c>
      <c r="AS1137" s="43">
        <f t="shared" si="449"/>
        <v>0</v>
      </c>
      <c r="AT1137" s="48">
        <f t="shared" si="753"/>
        <v>0</v>
      </c>
      <c r="AU1137" s="49">
        <f t="shared" si="921"/>
        <v>0</v>
      </c>
      <c r="AV1137" s="48"/>
      <c r="AW1137" s="34">
        <f t="shared" si="840"/>
        <v>1165.771</v>
      </c>
      <c r="AX1137" s="50">
        <f t="shared" si="811"/>
        <v>84.18036</v>
      </c>
      <c r="AY1137" s="43"/>
      <c r="AZ1137" s="47"/>
      <c r="BA1137" s="48">
        <f t="shared" si="922"/>
        <v>0</v>
      </c>
      <c r="BB1137" s="27"/>
      <c r="BC1137" s="27"/>
      <c r="BD1137" s="51"/>
      <c r="BE1137" s="52"/>
      <c r="BF1137" s="27"/>
      <c r="BG1137" s="53">
        <v>0.0</v>
      </c>
      <c r="BH1137" s="53" t="str">
        <f>'[1]2023'!Q1700</f>
        <v>#REF!</v>
      </c>
      <c r="BI1137" s="27"/>
      <c r="BJ1137" s="27"/>
      <c r="BK1137" s="27" t="s">
        <v>1102</v>
      </c>
      <c r="BL1137" s="27"/>
    </row>
    <row r="1138" ht="14.25" customHeight="1">
      <c r="A1138" s="26" t="s">
        <v>111</v>
      </c>
      <c r="B1138" s="26" t="s">
        <v>56</v>
      </c>
      <c r="C1138" s="26" t="s">
        <v>57</v>
      </c>
      <c r="D1138" s="26" t="s">
        <v>71</v>
      </c>
      <c r="E1138" s="27" t="s">
        <v>3709</v>
      </c>
      <c r="F1138" s="28" t="s">
        <v>3710</v>
      </c>
      <c r="G1138" s="29">
        <v>45210.0</v>
      </c>
      <c r="H1138" s="30">
        <v>45210.0</v>
      </c>
      <c r="I1138" s="30">
        <v>45575.0</v>
      </c>
      <c r="J1138" s="31" t="s">
        <v>1364</v>
      </c>
      <c r="K1138" s="26" t="s">
        <v>931</v>
      </c>
      <c r="L1138" s="32" t="s">
        <v>1325</v>
      </c>
      <c r="M1138" s="33">
        <v>58406.2</v>
      </c>
      <c r="N1138" s="34">
        <v>62400.0</v>
      </c>
      <c r="O1138" s="27" t="s">
        <v>76</v>
      </c>
      <c r="P1138" s="35" t="s">
        <v>89</v>
      </c>
      <c r="Q1138" s="35" t="s">
        <v>114</v>
      </c>
      <c r="R1138" s="36">
        <v>45219.0</v>
      </c>
      <c r="S1138" s="35" t="s">
        <v>66</v>
      </c>
      <c r="T1138" s="35">
        <v>0.0</v>
      </c>
      <c r="U1138" s="37" t="s">
        <v>115</v>
      </c>
      <c r="V1138" s="38">
        <v>2400000.0</v>
      </c>
      <c r="W1138" s="78">
        <v>1140597.0</v>
      </c>
      <c r="X1138" s="27">
        <v>2021.0</v>
      </c>
      <c r="Y1138" s="79" t="s">
        <v>3711</v>
      </c>
      <c r="Z1138" s="39" t="s">
        <v>3712</v>
      </c>
      <c r="AA1138" s="39"/>
      <c r="AB1138" s="27"/>
      <c r="AC1138" s="27">
        <f t="shared" si="926"/>
        <v>0</v>
      </c>
      <c r="AD1138" s="41">
        <f t="shared" si="919"/>
        <v>0</v>
      </c>
      <c r="AE1138" s="42"/>
      <c r="AF1138" s="27"/>
      <c r="AG1138" s="43">
        <f>IF(O1138="Paid",IF(A1138="Wethaq",(M1138*28%)-((M1138*28%)*5%),IF((A1138="GIG"),(M1138*25%)-((M1138*25%)*5%),IF((A1138="Allianz"),(M1138*27%)-((M1138*27%)*5%),0))),0)</f>
        <v>13871.4725</v>
      </c>
      <c r="AH1138" s="29" t="s">
        <v>3439</v>
      </c>
      <c r="AI1138" s="29" t="s">
        <v>2764</v>
      </c>
      <c r="AJ1138" s="29"/>
      <c r="AK1138" s="29" t="s">
        <v>1108</v>
      </c>
      <c r="AL1138" s="27"/>
      <c r="AM1138" s="210">
        <f>AU1138*30%</f>
        <v>3394.860375</v>
      </c>
      <c r="AN1138" s="71">
        <v>45654.0</v>
      </c>
      <c r="AO1138" s="46"/>
      <c r="AP1138" s="47"/>
      <c r="AQ1138" s="43">
        <f t="shared" ref="AQ1138:AQ1140" si="928">IF(U1138="Motor Plus",(M1138*27%),IF(U1138="Motor One",(M1138*22%),(IF(U1138="Golden",(M1138*25%),(IF(U1138="Classic",(M1138*15%),(IF(U1138="Wethaq",(M1138*28%),IF(U1138="Alwataniya",(M1138*21%))*0))))))))</f>
        <v>14601.55</v>
      </c>
      <c r="AR1138" s="43">
        <f t="shared" si="448"/>
        <v>730.0775</v>
      </c>
      <c r="AS1138" s="43">
        <f t="shared" si="449"/>
        <v>2555.27125</v>
      </c>
      <c r="AT1138" s="48">
        <f t="shared" si="753"/>
        <v>11316.20125</v>
      </c>
      <c r="AU1138" s="49">
        <f t="shared" si="921"/>
        <v>11316.20125</v>
      </c>
      <c r="AV1138" s="48"/>
      <c r="AW1138" s="34">
        <f t="shared" si="840"/>
        <v>62400</v>
      </c>
      <c r="AX1138" s="50">
        <f t="shared" si="811"/>
        <v>7921.340875</v>
      </c>
      <c r="AY1138" s="43"/>
      <c r="AZ1138" s="47"/>
      <c r="BA1138" s="48">
        <f t="shared" si="922"/>
        <v>7921.340875</v>
      </c>
      <c r="BB1138" s="27"/>
      <c r="BC1138" s="27"/>
      <c r="BD1138" s="51"/>
      <c r="BE1138" s="52"/>
      <c r="BF1138" s="27"/>
      <c r="BG1138" s="53" t="s">
        <v>3713</v>
      </c>
      <c r="BH1138" s="53" t="str">
        <f>'[1]2023'!Q1406</f>
        <v>#REF!</v>
      </c>
      <c r="BI1138" s="27"/>
      <c r="BJ1138" s="27"/>
      <c r="BK1138" s="27" t="s">
        <v>76</v>
      </c>
      <c r="BL1138" s="27"/>
    </row>
    <row r="1139" ht="14.25" customHeight="1">
      <c r="A1139" s="26" t="s">
        <v>111</v>
      </c>
      <c r="B1139" s="26" t="s">
        <v>56</v>
      </c>
      <c r="C1139" s="26" t="s">
        <v>57</v>
      </c>
      <c r="D1139" s="26" t="s">
        <v>71</v>
      </c>
      <c r="E1139" s="27" t="s">
        <v>3714</v>
      </c>
      <c r="F1139" s="28" t="s">
        <v>3715</v>
      </c>
      <c r="G1139" s="29">
        <v>45210.0</v>
      </c>
      <c r="H1139" s="30">
        <v>45210.0</v>
      </c>
      <c r="I1139" s="30">
        <v>45575.0</v>
      </c>
      <c r="J1139" s="31" t="s">
        <v>3716</v>
      </c>
      <c r="K1139" s="26" t="s">
        <v>931</v>
      </c>
      <c r="L1139" s="32" t="s">
        <v>1324</v>
      </c>
      <c r="M1139" s="33">
        <v>18453.2</v>
      </c>
      <c r="N1139" s="34">
        <v>19890.0</v>
      </c>
      <c r="O1139" s="27" t="s">
        <v>76</v>
      </c>
      <c r="P1139" s="35" t="s">
        <v>142</v>
      </c>
      <c r="Q1139" s="35" t="s">
        <v>108</v>
      </c>
      <c r="R1139" s="36">
        <v>45219.0</v>
      </c>
      <c r="S1139" s="35" t="s">
        <v>86</v>
      </c>
      <c r="T1139" s="35">
        <v>0.0</v>
      </c>
      <c r="U1139" s="37" t="s">
        <v>115</v>
      </c>
      <c r="V1139" s="38">
        <v>765000.0</v>
      </c>
      <c r="W1139" s="78">
        <v>802201.0</v>
      </c>
      <c r="X1139" s="27">
        <v>2024.0</v>
      </c>
      <c r="Y1139" s="79" t="s">
        <v>865</v>
      </c>
      <c r="Z1139" s="79" t="s">
        <v>3717</v>
      </c>
      <c r="AA1139" s="39"/>
      <c r="AB1139" s="27"/>
      <c r="AC1139" s="27">
        <f t="shared" si="926"/>
        <v>0</v>
      </c>
      <c r="AD1139" s="41">
        <f t="shared" si="919"/>
        <v>2767.98</v>
      </c>
      <c r="AE1139" s="42">
        <v>400.0</v>
      </c>
      <c r="AF1139" s="27" t="s">
        <v>3439</v>
      </c>
      <c r="AG1139" s="43">
        <f>IF(O1139="Paid",IF(A1139="Alwataniya",(M1139*21%)-((M1139*21%)*5%),IF((A1139="GIG"),(M1139*25%)-((M1139*25%)*5%),IF((A1139="Allianz"),(M1139*27%)-((M1139*27%)*20%),0))),0)</f>
        <v>4382.635</v>
      </c>
      <c r="AH1139" s="29" t="s">
        <v>3486</v>
      </c>
      <c r="AI1139" s="29" t="s">
        <v>3168</v>
      </c>
      <c r="AJ1139" s="29"/>
      <c r="AK1139" s="29" t="s">
        <v>926</v>
      </c>
      <c r="AL1139" s="27"/>
      <c r="AM1139" s="44"/>
      <c r="AN1139" s="68"/>
      <c r="AO1139" s="46"/>
      <c r="AP1139" s="47"/>
      <c r="AQ1139" s="43">
        <f t="shared" si="928"/>
        <v>4613.3</v>
      </c>
      <c r="AR1139" s="43">
        <f t="shared" si="448"/>
        <v>230.665</v>
      </c>
      <c r="AS1139" s="43">
        <f t="shared" si="449"/>
        <v>807.3275</v>
      </c>
      <c r="AT1139" s="48">
        <f t="shared" si="753"/>
        <v>3575.3075</v>
      </c>
      <c r="AU1139" s="49">
        <f t="shared" si="921"/>
        <v>3575.3075</v>
      </c>
      <c r="AV1139" s="48"/>
      <c r="AW1139" s="34">
        <f t="shared" si="840"/>
        <v>16722.02</v>
      </c>
      <c r="AX1139" s="50">
        <f t="shared" si="811"/>
        <v>407.3275</v>
      </c>
      <c r="AY1139" s="43"/>
      <c r="AZ1139" s="47"/>
      <c r="BA1139" s="48">
        <f t="shared" si="922"/>
        <v>3575.3075</v>
      </c>
      <c r="BB1139" s="27"/>
      <c r="BC1139" s="27"/>
      <c r="BD1139" s="51"/>
      <c r="BE1139" s="52"/>
      <c r="BF1139" s="27"/>
      <c r="BG1139" s="53">
        <v>0.0</v>
      </c>
      <c r="BH1139" s="53" t="str">
        <f>'[1]2023'!Q1408</f>
        <v>#REF!</v>
      </c>
      <c r="BI1139" s="27"/>
      <c r="BJ1139" s="27"/>
      <c r="BK1139" s="27" t="s">
        <v>76</v>
      </c>
      <c r="BL1139" s="27"/>
    </row>
    <row r="1140" ht="14.25" customHeight="1">
      <c r="A1140" s="26" t="s">
        <v>55</v>
      </c>
      <c r="B1140" s="26" t="s">
        <v>56</v>
      </c>
      <c r="C1140" s="26" t="s">
        <v>57</v>
      </c>
      <c r="D1140" s="26" t="s">
        <v>81</v>
      </c>
      <c r="E1140" s="27" t="s">
        <v>3718</v>
      </c>
      <c r="F1140" s="28" t="s">
        <v>3719</v>
      </c>
      <c r="G1140" s="182">
        <v>45210.0</v>
      </c>
      <c r="H1140" s="30">
        <v>45210.0</v>
      </c>
      <c r="I1140" s="30">
        <v>45575.0</v>
      </c>
      <c r="J1140" s="31" t="s">
        <v>3720</v>
      </c>
      <c r="K1140" s="26" t="s">
        <v>931</v>
      </c>
      <c r="L1140" s="192">
        <v>45270.0</v>
      </c>
      <c r="M1140" s="33">
        <v>23010.0</v>
      </c>
      <c r="N1140" s="34">
        <v>24623.64</v>
      </c>
      <c r="O1140" s="27" t="s">
        <v>76</v>
      </c>
      <c r="P1140" s="35" t="s">
        <v>142</v>
      </c>
      <c r="Q1140" s="35" t="s">
        <v>90</v>
      </c>
      <c r="R1140" s="36">
        <v>45210.0</v>
      </c>
      <c r="S1140" s="35" t="s">
        <v>86</v>
      </c>
      <c r="T1140" s="35">
        <v>0.0</v>
      </c>
      <c r="U1140" s="37" t="s">
        <v>67</v>
      </c>
      <c r="V1140" s="38">
        <v>1300000.0</v>
      </c>
      <c r="W1140" s="78" t="s">
        <v>3721</v>
      </c>
      <c r="X1140" s="27">
        <v>2021.0</v>
      </c>
      <c r="Y1140" s="79" t="s">
        <v>208</v>
      </c>
      <c r="Z1140" s="39"/>
      <c r="AA1140" s="39"/>
      <c r="AB1140" s="27"/>
      <c r="AC1140" s="27">
        <f t="shared" si="926"/>
        <v>0</v>
      </c>
      <c r="AD1140" s="41">
        <f t="shared" si="919"/>
        <v>3451.5</v>
      </c>
      <c r="AE1140" s="42"/>
      <c r="AF1140" s="27" t="s">
        <v>3502</v>
      </c>
      <c r="AG1140" s="43">
        <f t="shared" ref="AG1140:AG1143" si="929">IF(O1140="Paid",IF(A1140="Alwataniya",(M1140*21%)-((M1140*21%)*5%),IF((A1140="GIG"),(M1140*25%)-((M1140*25%)*5%),IF((A1140="Allianz"),(M1140*27%)-((M1140*27%)*5%),0))),0)</f>
        <v>5902.065</v>
      </c>
      <c r="AH1140" s="29"/>
      <c r="AI1140" s="29"/>
      <c r="AJ1140" s="29"/>
      <c r="AK1140" s="29"/>
      <c r="AL1140" s="27"/>
      <c r="AM1140" s="44"/>
      <c r="AN1140" s="47"/>
      <c r="AO1140" s="46"/>
      <c r="AP1140" s="47"/>
      <c r="AQ1140" s="43">
        <f t="shared" si="928"/>
        <v>6212.7</v>
      </c>
      <c r="AR1140" s="43">
        <f t="shared" si="448"/>
        <v>310.635</v>
      </c>
      <c r="AS1140" s="43">
        <f t="shared" si="449"/>
        <v>1087.2225</v>
      </c>
      <c r="AT1140" s="48">
        <f t="shared" si="753"/>
        <v>4814.8425</v>
      </c>
      <c r="AU1140" s="49">
        <f t="shared" si="921"/>
        <v>4814.8425</v>
      </c>
      <c r="AV1140" s="48"/>
      <c r="AW1140" s="34">
        <f t="shared" si="840"/>
        <v>21172.14</v>
      </c>
      <c r="AX1140" s="50">
        <f t="shared" si="811"/>
        <v>1363.3425</v>
      </c>
      <c r="AY1140" s="43"/>
      <c r="AZ1140" s="47"/>
      <c r="BA1140" s="48">
        <f t="shared" si="922"/>
        <v>4814.8425</v>
      </c>
      <c r="BB1140" s="27"/>
      <c r="BC1140" s="27"/>
      <c r="BD1140" s="51"/>
      <c r="BE1140" s="52"/>
      <c r="BF1140" s="27"/>
      <c r="BG1140" s="53">
        <v>0.0</v>
      </c>
      <c r="BH1140" s="53" t="str">
        <f>'[1]2023'!Q1432</f>
        <v>#REF!</v>
      </c>
      <c r="BI1140" s="27"/>
      <c r="BJ1140" s="27"/>
      <c r="BK1140" s="27" t="s">
        <v>76</v>
      </c>
      <c r="BL1140" s="27"/>
    </row>
    <row r="1141" ht="14.25" customHeight="1">
      <c r="A1141" s="26" t="s">
        <v>55</v>
      </c>
      <c r="B1141" s="26" t="s">
        <v>56</v>
      </c>
      <c r="C1141" s="26" t="s">
        <v>57</v>
      </c>
      <c r="D1141" s="26" t="s">
        <v>58</v>
      </c>
      <c r="E1141" s="27" t="s">
        <v>3722</v>
      </c>
      <c r="F1141" s="28" t="s">
        <v>3723</v>
      </c>
      <c r="G1141" s="29">
        <v>45210.0</v>
      </c>
      <c r="H1141" s="30">
        <v>45210.0</v>
      </c>
      <c r="I1141" s="30">
        <v>45575.0</v>
      </c>
      <c r="J1141" s="31">
        <v>0.0</v>
      </c>
      <c r="K1141" s="26" t="s">
        <v>931</v>
      </c>
      <c r="L1141" s="32" t="s">
        <v>63</v>
      </c>
      <c r="M1141" s="33">
        <v>0.0</v>
      </c>
      <c r="N1141" s="34">
        <v>0.0</v>
      </c>
      <c r="O1141" s="27" t="s">
        <v>64</v>
      </c>
      <c r="P1141" s="35">
        <v>0.0</v>
      </c>
      <c r="Q1141" s="35" t="s">
        <v>85</v>
      </c>
      <c r="R1141" s="36">
        <v>45210.0</v>
      </c>
      <c r="S1141" s="35" t="s">
        <v>66</v>
      </c>
      <c r="T1141" s="35">
        <v>0.0</v>
      </c>
      <c r="U1141" s="37" t="s">
        <v>67</v>
      </c>
      <c r="V1141" s="38"/>
      <c r="W1141" s="78"/>
      <c r="X1141" s="27"/>
      <c r="Y1141" s="39"/>
      <c r="Z1141" s="39"/>
      <c r="AA1141" s="39"/>
      <c r="AB1141" s="27"/>
      <c r="AC1141" s="27">
        <f t="shared" si="926"/>
        <v>0</v>
      </c>
      <c r="AD1141" s="41">
        <f t="shared" si="919"/>
        <v>0</v>
      </c>
      <c r="AE1141" s="42"/>
      <c r="AF1141" s="27"/>
      <c r="AG1141" s="43">
        <f t="shared" si="929"/>
        <v>0</v>
      </c>
      <c r="AH1141" s="29"/>
      <c r="AI1141" s="29"/>
      <c r="AJ1141" s="29"/>
      <c r="AK1141" s="29"/>
      <c r="AL1141" s="27"/>
      <c r="AM1141" s="44"/>
      <c r="AN1141" s="47"/>
      <c r="AO1141" s="46"/>
      <c r="AP1141" s="47"/>
      <c r="AQ1141" s="43" t="b">
        <f t="shared" ref="AQ1141:AQ1142" si="930">IF(O1141="Paid",IF(U1141="Motor Plus",(M1141*27%),IF(U1141="Motor One",(M1141*22%),(IF(U1141="Golden",(M1141*25%),(IF(U1141="Classic",(M1141*15%),(IF(U1141="Wethaq",(M1141*28%),IF(U1141="Alwataniya",(M1141*21%))*0)))))))))</f>
        <v>0</v>
      </c>
      <c r="AR1141" s="43">
        <f t="shared" si="448"/>
        <v>0</v>
      </c>
      <c r="AS1141" s="43">
        <f t="shared" si="449"/>
        <v>0</v>
      </c>
      <c r="AT1141" s="48">
        <f t="shared" si="753"/>
        <v>0</v>
      </c>
      <c r="AU1141" s="49">
        <f t="shared" si="921"/>
        <v>0</v>
      </c>
      <c r="AV1141" s="48"/>
      <c r="AW1141" s="34">
        <f t="shared" si="840"/>
        <v>0</v>
      </c>
      <c r="AX1141" s="50">
        <f t="shared" si="811"/>
        <v>0</v>
      </c>
      <c r="AY1141" s="43"/>
      <c r="AZ1141" s="47"/>
      <c r="BA1141" s="48">
        <f t="shared" si="922"/>
        <v>0</v>
      </c>
      <c r="BB1141" s="27"/>
      <c r="BC1141" s="27"/>
      <c r="BD1141" s="51"/>
      <c r="BE1141" s="52"/>
      <c r="BF1141" s="27"/>
      <c r="BG1141" s="53">
        <v>0.0</v>
      </c>
      <c r="BH1141" s="53" t="str">
        <f t="shared" ref="BH1141:BH1142" si="931">'[1]2023'!Q1520</f>
        <v>#REF!</v>
      </c>
      <c r="BI1141" s="27"/>
      <c r="BJ1141" s="27"/>
      <c r="BK1141" s="27" t="s">
        <v>1102</v>
      </c>
      <c r="BL1141" s="27"/>
    </row>
    <row r="1142" ht="14.25" customHeight="1">
      <c r="A1142" s="26" t="s">
        <v>55</v>
      </c>
      <c r="B1142" s="26" t="s">
        <v>56</v>
      </c>
      <c r="C1142" s="26" t="s">
        <v>57</v>
      </c>
      <c r="D1142" s="26" t="s">
        <v>58</v>
      </c>
      <c r="E1142" s="27" t="s">
        <v>3724</v>
      </c>
      <c r="F1142" s="28" t="s">
        <v>3725</v>
      </c>
      <c r="G1142" s="29">
        <v>45210.0</v>
      </c>
      <c r="H1142" s="30">
        <v>45210.0</v>
      </c>
      <c r="I1142" s="30">
        <v>45575.0</v>
      </c>
      <c r="J1142" s="31">
        <v>0.0</v>
      </c>
      <c r="K1142" s="26" t="s">
        <v>931</v>
      </c>
      <c r="L1142" s="89">
        <v>45216.0</v>
      </c>
      <c r="M1142" s="33">
        <v>2194.8</v>
      </c>
      <c r="N1142" s="34">
        <v>2324.29</v>
      </c>
      <c r="O1142" s="27" t="s">
        <v>76</v>
      </c>
      <c r="P1142" s="35" t="s">
        <v>122</v>
      </c>
      <c r="Q1142" s="35" t="s">
        <v>114</v>
      </c>
      <c r="R1142" s="36">
        <v>45210.0</v>
      </c>
      <c r="S1142" s="35" t="s">
        <v>66</v>
      </c>
      <c r="T1142" s="35">
        <v>0.0</v>
      </c>
      <c r="U1142" s="37">
        <v>0.0</v>
      </c>
      <c r="V1142" s="38"/>
      <c r="W1142" s="78"/>
      <c r="X1142" s="27"/>
      <c r="Y1142" s="39"/>
      <c r="Z1142" s="39"/>
      <c r="AA1142" s="39"/>
      <c r="AB1142" s="27"/>
      <c r="AC1142" s="27">
        <f t="shared" si="926"/>
        <v>0</v>
      </c>
      <c r="AD1142" s="41">
        <f t="shared" si="919"/>
        <v>0</v>
      </c>
      <c r="AE1142" s="42"/>
      <c r="AF1142" s="27"/>
      <c r="AG1142" s="43">
        <f t="shared" si="929"/>
        <v>562.9662</v>
      </c>
      <c r="AH1142" s="29"/>
      <c r="AI1142" s="29"/>
      <c r="AJ1142" s="29"/>
      <c r="AK1142" s="29"/>
      <c r="AL1142" s="27"/>
      <c r="AM1142" s="27"/>
      <c r="AN1142" s="47"/>
      <c r="AO1142" s="46"/>
      <c r="AP1142" s="47"/>
      <c r="AQ1142" s="43">
        <f t="shared" si="930"/>
        <v>0</v>
      </c>
      <c r="AR1142" s="43">
        <f t="shared" si="448"/>
        <v>0</v>
      </c>
      <c r="AS1142" s="43">
        <f t="shared" si="449"/>
        <v>0</v>
      </c>
      <c r="AT1142" s="48">
        <f t="shared" si="753"/>
        <v>0</v>
      </c>
      <c r="AU1142" s="49">
        <f t="shared" si="921"/>
        <v>0</v>
      </c>
      <c r="AV1142" s="48"/>
      <c r="AW1142" s="34">
        <f t="shared" si="840"/>
        <v>2324.29</v>
      </c>
      <c r="AX1142" s="50">
        <f t="shared" si="811"/>
        <v>562.9662</v>
      </c>
      <c r="AY1142" s="43"/>
      <c r="AZ1142" s="47"/>
      <c r="BA1142" s="48">
        <f t="shared" si="922"/>
        <v>0</v>
      </c>
      <c r="BB1142" s="27"/>
      <c r="BC1142" s="27"/>
      <c r="BD1142" s="51"/>
      <c r="BE1142" s="52"/>
      <c r="BF1142" s="27"/>
      <c r="BG1142" s="53">
        <v>0.0</v>
      </c>
      <c r="BH1142" s="53" t="str">
        <f t="shared" si="931"/>
        <v>#REF!</v>
      </c>
      <c r="BI1142" s="27"/>
      <c r="BJ1142" s="27"/>
      <c r="BK1142" s="27" t="s">
        <v>1102</v>
      </c>
      <c r="BL1142" s="27"/>
    </row>
    <row r="1143" ht="14.25" customHeight="1">
      <c r="A1143" s="26" t="s">
        <v>55</v>
      </c>
      <c r="B1143" s="26" t="s">
        <v>56</v>
      </c>
      <c r="C1143" s="26" t="s">
        <v>57</v>
      </c>
      <c r="D1143" s="26" t="s">
        <v>81</v>
      </c>
      <c r="E1143" s="27" t="s">
        <v>3726</v>
      </c>
      <c r="F1143" s="28" t="s">
        <v>3727</v>
      </c>
      <c r="G1143" s="182">
        <v>45211.0</v>
      </c>
      <c r="H1143" s="30">
        <v>45211.0</v>
      </c>
      <c r="I1143" s="30">
        <v>45576.0</v>
      </c>
      <c r="J1143" s="31" t="s">
        <v>3728</v>
      </c>
      <c r="K1143" s="26" t="s">
        <v>931</v>
      </c>
      <c r="L1143" s="192">
        <v>45270.0</v>
      </c>
      <c r="M1143" s="33">
        <v>26550.0</v>
      </c>
      <c r="N1143" s="34">
        <v>28390.2</v>
      </c>
      <c r="O1143" s="27" t="s">
        <v>76</v>
      </c>
      <c r="P1143" s="35" t="s">
        <v>142</v>
      </c>
      <c r="Q1143" s="35" t="s">
        <v>90</v>
      </c>
      <c r="R1143" s="36">
        <v>45211.0</v>
      </c>
      <c r="S1143" s="35" t="s">
        <v>86</v>
      </c>
      <c r="T1143" s="35">
        <v>0.0</v>
      </c>
      <c r="U1143" s="37" t="s">
        <v>67</v>
      </c>
      <c r="V1143" s="38">
        <v>1500000.0</v>
      </c>
      <c r="W1143" s="78">
        <v>2224.0</v>
      </c>
      <c r="X1143" s="27">
        <v>2020.0</v>
      </c>
      <c r="Y1143" s="79" t="s">
        <v>2641</v>
      </c>
      <c r="Z1143" s="79" t="s">
        <v>476</v>
      </c>
      <c r="AA1143" s="39">
        <v>2565095.0</v>
      </c>
      <c r="AB1143" s="27"/>
      <c r="AC1143" s="27">
        <f t="shared" si="926"/>
        <v>0</v>
      </c>
      <c r="AD1143" s="41">
        <f t="shared" si="919"/>
        <v>3982.5</v>
      </c>
      <c r="AE1143" s="42"/>
      <c r="AF1143" s="29">
        <v>45240.0</v>
      </c>
      <c r="AG1143" s="43">
        <f t="shared" si="929"/>
        <v>6810.075</v>
      </c>
      <c r="AH1143" s="29"/>
      <c r="AI1143" s="29"/>
      <c r="AJ1143" s="29"/>
      <c r="AK1143" s="29"/>
      <c r="AL1143" s="27"/>
      <c r="AM1143" s="44"/>
      <c r="AN1143" s="68"/>
      <c r="AO1143" s="46"/>
      <c r="AP1143" s="47"/>
      <c r="AQ1143" s="43">
        <f t="shared" ref="AQ1143:AQ1145" si="932">IF(U1143="Motor Plus",(M1143*27%),IF(U1143="Motor One",(M1143*22%),(IF(U1143="Golden",(M1143*25%),(IF(U1143="Classic",(M1143*15%),(IF(U1143="Wethaq",(M1143*28%),IF(U1143="Alwataniya",(M1143*21%))*0))))))))</f>
        <v>7168.5</v>
      </c>
      <c r="AR1143" s="43">
        <f t="shared" si="448"/>
        <v>358.425</v>
      </c>
      <c r="AS1143" s="43">
        <f t="shared" si="449"/>
        <v>1254.4875</v>
      </c>
      <c r="AT1143" s="48">
        <f t="shared" si="753"/>
        <v>5555.5875</v>
      </c>
      <c r="AU1143" s="49">
        <f t="shared" si="921"/>
        <v>5555.5875</v>
      </c>
      <c r="AV1143" s="48"/>
      <c r="AW1143" s="34">
        <f t="shared" si="840"/>
        <v>24407.7</v>
      </c>
      <c r="AX1143" s="50">
        <f t="shared" si="811"/>
        <v>1573.0875</v>
      </c>
      <c r="AY1143" s="43"/>
      <c r="AZ1143" s="47"/>
      <c r="BA1143" s="48">
        <f t="shared" si="922"/>
        <v>5555.5875</v>
      </c>
      <c r="BB1143" s="27"/>
      <c r="BC1143" s="27"/>
      <c r="BD1143" s="51"/>
      <c r="BE1143" s="52"/>
      <c r="BF1143" s="27"/>
      <c r="BG1143" s="53">
        <v>0.0</v>
      </c>
      <c r="BH1143" s="53" t="str">
        <f>'[1]2023'!Q1371</f>
        <v>#REF!</v>
      </c>
      <c r="BI1143" s="27"/>
      <c r="BJ1143" s="27"/>
      <c r="BK1143" s="27" t="s">
        <v>76</v>
      </c>
      <c r="BL1143" s="27"/>
    </row>
    <row r="1144" ht="14.25" customHeight="1">
      <c r="A1144" s="26" t="s">
        <v>111</v>
      </c>
      <c r="B1144" s="26" t="s">
        <v>56</v>
      </c>
      <c r="C1144" s="26" t="s">
        <v>57</v>
      </c>
      <c r="D1144" s="26" t="s">
        <v>71</v>
      </c>
      <c r="E1144" s="27" t="s">
        <v>3729</v>
      </c>
      <c r="F1144" s="28" t="s">
        <v>3730</v>
      </c>
      <c r="G1144" s="29">
        <v>45211.0</v>
      </c>
      <c r="H1144" s="30">
        <v>45211.0</v>
      </c>
      <c r="I1144" s="30">
        <v>45576.0</v>
      </c>
      <c r="J1144" s="31">
        <v>0.0</v>
      </c>
      <c r="K1144" s="26" t="s">
        <v>931</v>
      </c>
      <c r="L1144" s="32" t="s">
        <v>1324</v>
      </c>
      <c r="M1144" s="33">
        <v>48631.77</v>
      </c>
      <c r="N1144" s="34">
        <v>52000.0</v>
      </c>
      <c r="O1144" s="27" t="s">
        <v>76</v>
      </c>
      <c r="P1144" s="35" t="s">
        <v>142</v>
      </c>
      <c r="Q1144" s="35" t="s">
        <v>108</v>
      </c>
      <c r="R1144" s="36">
        <v>45220.0</v>
      </c>
      <c r="S1144" s="35" t="s">
        <v>86</v>
      </c>
      <c r="T1144" s="35">
        <v>0.0</v>
      </c>
      <c r="U1144" s="37" t="s">
        <v>115</v>
      </c>
      <c r="V1144" s="38">
        <v>2000000.0</v>
      </c>
      <c r="W1144" s="78">
        <v>14676.0</v>
      </c>
      <c r="X1144" s="27">
        <v>2023.0</v>
      </c>
      <c r="Y1144" s="79" t="s">
        <v>3731</v>
      </c>
      <c r="Z1144" s="79" t="s">
        <v>3427</v>
      </c>
      <c r="AA1144" s="39"/>
      <c r="AB1144" s="27"/>
      <c r="AC1144" s="27">
        <f t="shared" si="926"/>
        <v>0</v>
      </c>
      <c r="AD1144" s="41">
        <f t="shared" si="919"/>
        <v>7294.7655</v>
      </c>
      <c r="AE1144" s="42">
        <v>1000.0</v>
      </c>
      <c r="AF1144" s="27" t="s">
        <v>3439</v>
      </c>
      <c r="AG1144" s="43">
        <f>IF(O1144="Paid",IF(A1144="Alwataniya",(M1144*21%)-((M1144*21%)*5%),IF((A1144="GIG"),(M1144*25%)-((M1144*25%)*5%),IF((A1144="Allianz"),(M1144*27%)-((M1144*27%)*20%),0))),0)</f>
        <v>11550.04538</v>
      </c>
      <c r="AH1144" s="29" t="s">
        <v>3486</v>
      </c>
      <c r="AI1144" s="29" t="s">
        <v>3168</v>
      </c>
      <c r="AJ1144" s="29"/>
      <c r="AK1144" s="29" t="s">
        <v>926</v>
      </c>
      <c r="AL1144" s="27"/>
      <c r="AM1144" s="44"/>
      <c r="AN1144" s="47"/>
      <c r="AO1144" s="46"/>
      <c r="AP1144" s="47"/>
      <c r="AQ1144" s="43">
        <f t="shared" si="932"/>
        <v>12157.9425</v>
      </c>
      <c r="AR1144" s="43">
        <f t="shared" si="448"/>
        <v>607.897125</v>
      </c>
      <c r="AS1144" s="43">
        <f t="shared" si="449"/>
        <v>2127.639938</v>
      </c>
      <c r="AT1144" s="48">
        <f t="shared" si="753"/>
        <v>9422.405438</v>
      </c>
      <c r="AU1144" s="49">
        <f t="shared" si="921"/>
        <v>9422.405438</v>
      </c>
      <c r="AV1144" s="48"/>
      <c r="AW1144" s="34">
        <f t="shared" si="840"/>
        <v>43705.2345</v>
      </c>
      <c r="AX1144" s="50">
        <f t="shared" si="811"/>
        <v>1127.639938</v>
      </c>
      <c r="AY1144" s="43"/>
      <c r="AZ1144" s="47"/>
      <c r="BA1144" s="48">
        <f t="shared" si="922"/>
        <v>9422.405438</v>
      </c>
      <c r="BB1144" s="27"/>
      <c r="BC1144" s="27"/>
      <c r="BD1144" s="51"/>
      <c r="BE1144" s="52"/>
      <c r="BF1144" s="27"/>
      <c r="BG1144" s="58" t="s">
        <v>562</v>
      </c>
      <c r="BH1144" s="53" t="str">
        <f>'[1]2023'!Q1412</f>
        <v>#REF!</v>
      </c>
      <c r="BI1144" s="27"/>
      <c r="BJ1144" s="27"/>
      <c r="BK1144" s="27" t="s">
        <v>76</v>
      </c>
      <c r="BL1144" s="27"/>
    </row>
    <row r="1145" ht="14.25" customHeight="1">
      <c r="A1145" s="26" t="s">
        <v>55</v>
      </c>
      <c r="B1145" s="26" t="s">
        <v>56</v>
      </c>
      <c r="C1145" s="26" t="s">
        <v>57</v>
      </c>
      <c r="D1145" s="26" t="s">
        <v>81</v>
      </c>
      <c r="E1145" s="27" t="s">
        <v>3732</v>
      </c>
      <c r="F1145" s="28" t="s">
        <v>3733</v>
      </c>
      <c r="G1145" s="182">
        <v>45211.0</v>
      </c>
      <c r="H1145" s="30">
        <v>45211.0</v>
      </c>
      <c r="I1145" s="30">
        <v>45576.0</v>
      </c>
      <c r="J1145" s="31" t="s">
        <v>3734</v>
      </c>
      <c r="K1145" s="26" t="s">
        <v>931</v>
      </c>
      <c r="L1145" s="192">
        <v>45270.0</v>
      </c>
      <c r="M1145" s="33">
        <v>30975.0</v>
      </c>
      <c r="N1145" s="34">
        <v>33100.41</v>
      </c>
      <c r="O1145" s="27" t="s">
        <v>76</v>
      </c>
      <c r="P1145" s="35" t="s">
        <v>162</v>
      </c>
      <c r="Q1145" s="35" t="s">
        <v>65</v>
      </c>
      <c r="R1145" s="36">
        <v>45211.0</v>
      </c>
      <c r="S1145" s="35" t="s">
        <v>78</v>
      </c>
      <c r="T1145" s="54" t="s">
        <v>604</v>
      </c>
      <c r="U1145" s="37" t="s">
        <v>67</v>
      </c>
      <c r="V1145" s="38">
        <v>1500000.0</v>
      </c>
      <c r="W1145" s="78" t="s">
        <v>3735</v>
      </c>
      <c r="X1145" s="27">
        <v>2020.0</v>
      </c>
      <c r="Y1145" s="79" t="s">
        <v>476</v>
      </c>
      <c r="Z1145" s="39"/>
      <c r="AA1145" s="39"/>
      <c r="AB1145" s="27"/>
      <c r="AC1145" s="27">
        <f t="shared" si="926"/>
        <v>0</v>
      </c>
      <c r="AD1145" s="41"/>
      <c r="AE1145" s="42"/>
      <c r="AF1145" s="27"/>
      <c r="AG1145" s="43">
        <f t="shared" ref="AG1145:AG1146" si="933">IF(O1145="Paid",IF(A1145="Alwataniya",(M1145*21%)-((M1145*21%)*5%),IF((A1145="GIG"),(M1145*25%)-((M1145*25%)*5%),IF((A1145="Allianz"),(M1145*27%)-((M1145*27%)*5%),0))),0)</f>
        <v>7945.0875</v>
      </c>
      <c r="AH1145" s="29"/>
      <c r="AI1145" s="29"/>
      <c r="AJ1145" s="29"/>
      <c r="AK1145" s="29"/>
      <c r="AL1145" s="27"/>
      <c r="AM1145" s="27"/>
      <c r="AN1145" s="47"/>
      <c r="AO1145" s="46">
        <f t="shared" ref="AO1145:AO1146" si="934">M1145*15%</f>
        <v>4646.25</v>
      </c>
      <c r="AP1145" s="57">
        <v>45057.0</v>
      </c>
      <c r="AQ1145" s="43">
        <f t="shared" si="932"/>
        <v>8363.25</v>
      </c>
      <c r="AR1145" s="43">
        <f t="shared" si="448"/>
        <v>418.1625</v>
      </c>
      <c r="AS1145" s="43">
        <f t="shared" si="449"/>
        <v>1463.56875</v>
      </c>
      <c r="AT1145" s="48">
        <f t="shared" si="753"/>
        <v>6481.51875</v>
      </c>
      <c r="AU1145" s="49">
        <f t="shared" si="921"/>
        <v>1835.26875</v>
      </c>
      <c r="AV1145" s="48"/>
      <c r="AW1145" s="34">
        <f t="shared" si="840"/>
        <v>33100.41</v>
      </c>
      <c r="AX1145" s="50">
        <f t="shared" si="811"/>
        <v>1835.26875</v>
      </c>
      <c r="AY1145" s="43"/>
      <c r="AZ1145" s="47"/>
      <c r="BA1145" s="48">
        <f t="shared" si="922"/>
        <v>-2810.98125</v>
      </c>
      <c r="BB1145" s="27"/>
      <c r="BC1145" s="27"/>
      <c r="BD1145" s="51"/>
      <c r="BE1145" s="52"/>
      <c r="BF1145" s="27"/>
      <c r="BG1145" s="53">
        <v>0.0</v>
      </c>
      <c r="BH1145" s="53" t="str">
        <f>'[1]2023'!Q1437</f>
        <v>#REF!</v>
      </c>
      <c r="BI1145" s="27"/>
      <c r="BJ1145" s="27"/>
      <c r="BK1145" s="27" t="s">
        <v>76</v>
      </c>
      <c r="BL1145" s="27"/>
    </row>
    <row r="1146" ht="14.25" customHeight="1">
      <c r="A1146" s="26" t="s">
        <v>55</v>
      </c>
      <c r="B1146" s="26" t="s">
        <v>56</v>
      </c>
      <c r="C1146" s="26" t="s">
        <v>57</v>
      </c>
      <c r="D1146" s="26" t="s">
        <v>81</v>
      </c>
      <c r="E1146" s="27" t="s">
        <v>3736</v>
      </c>
      <c r="F1146" s="28" t="s">
        <v>3737</v>
      </c>
      <c r="G1146" s="29">
        <v>45211.0</v>
      </c>
      <c r="H1146" s="30">
        <v>45211.0</v>
      </c>
      <c r="I1146" s="30">
        <v>45576.0</v>
      </c>
      <c r="J1146" s="31" t="s">
        <v>3738</v>
      </c>
      <c r="K1146" s="26" t="s">
        <v>931</v>
      </c>
      <c r="L1146" s="89">
        <v>45211.0</v>
      </c>
      <c r="M1146" s="33">
        <v>35400.0</v>
      </c>
      <c r="N1146" s="34">
        <v>37806.6</v>
      </c>
      <c r="O1146" s="27" t="s">
        <v>76</v>
      </c>
      <c r="P1146" s="35">
        <v>0.0</v>
      </c>
      <c r="Q1146" s="35" t="s">
        <v>65</v>
      </c>
      <c r="R1146" s="36">
        <v>45211.0</v>
      </c>
      <c r="S1146" s="35" t="s">
        <v>86</v>
      </c>
      <c r="T1146" s="54" t="s">
        <v>163</v>
      </c>
      <c r="U1146" s="37" t="s">
        <v>67</v>
      </c>
      <c r="V1146" s="38">
        <v>1500000.0</v>
      </c>
      <c r="W1146" s="78" t="s">
        <v>3739</v>
      </c>
      <c r="X1146" s="27">
        <v>2021.0</v>
      </c>
      <c r="Y1146" s="79" t="s">
        <v>208</v>
      </c>
      <c r="Z1146" s="39"/>
      <c r="AA1146" s="39"/>
      <c r="AB1146" s="27"/>
      <c r="AC1146" s="27">
        <f t="shared" si="926"/>
        <v>0</v>
      </c>
      <c r="AD1146" s="41"/>
      <c r="AE1146" s="42"/>
      <c r="AF1146" s="27"/>
      <c r="AG1146" s="43">
        <f t="shared" si="933"/>
        <v>9080.1</v>
      </c>
      <c r="AH1146" s="29"/>
      <c r="AI1146" s="29"/>
      <c r="AJ1146" s="29"/>
      <c r="AK1146" s="29"/>
      <c r="AL1146" s="27"/>
      <c r="AM1146" s="44"/>
      <c r="AN1146" s="68"/>
      <c r="AO1146" s="70">
        <f t="shared" si="934"/>
        <v>5310</v>
      </c>
      <c r="AP1146" s="71">
        <v>45267.0</v>
      </c>
      <c r="AQ1146" s="43">
        <f t="shared" ref="AQ1146:AQ1147" si="935">IF(O1146="Paid",IF(U1146="Motor Plus",(M1146*27%),IF(U1146="Motor One",(M1146*22%),(IF(U1146="Golden",(M1146*25%),(IF(U1146="Classic",(M1146*15%),(IF(U1146="Wethaq",(M1146*28%),IF(U1146="Alwataniya",(M1146*21%))*0)))))))))</f>
        <v>9558</v>
      </c>
      <c r="AR1146" s="43">
        <f t="shared" si="448"/>
        <v>477.9</v>
      </c>
      <c r="AS1146" s="43">
        <f t="shared" si="449"/>
        <v>1672.65</v>
      </c>
      <c r="AT1146" s="48">
        <f t="shared" si="753"/>
        <v>7407.45</v>
      </c>
      <c r="AU1146" s="49">
        <f t="shared" si="921"/>
        <v>2097.45</v>
      </c>
      <c r="AV1146" s="48"/>
      <c r="AW1146" s="34">
        <f t="shared" si="840"/>
        <v>37806.6</v>
      </c>
      <c r="AX1146" s="50">
        <f t="shared" si="811"/>
        <v>2097.45</v>
      </c>
      <c r="AY1146" s="43"/>
      <c r="AZ1146" s="47"/>
      <c r="BA1146" s="48">
        <f t="shared" si="922"/>
        <v>-3212.55</v>
      </c>
      <c r="BB1146" s="27"/>
      <c r="BC1146" s="27"/>
      <c r="BD1146" s="51"/>
      <c r="BE1146" s="52"/>
      <c r="BF1146" s="27"/>
      <c r="BG1146" s="58" t="s">
        <v>562</v>
      </c>
      <c r="BH1146" s="53" t="str">
        <f>'[1]2023'!Q1463</f>
        <v>#REF!</v>
      </c>
      <c r="BI1146" s="27"/>
      <c r="BJ1146" s="27"/>
      <c r="BK1146" s="27" t="s">
        <v>76</v>
      </c>
      <c r="BL1146" s="27"/>
    </row>
    <row r="1147" ht="14.25" customHeight="1">
      <c r="A1147" s="26" t="s">
        <v>55</v>
      </c>
      <c r="B1147" s="26" t="s">
        <v>56</v>
      </c>
      <c r="C1147" s="26" t="s">
        <v>57</v>
      </c>
      <c r="D1147" s="26" t="s">
        <v>81</v>
      </c>
      <c r="E1147" s="27" t="s">
        <v>3740</v>
      </c>
      <c r="F1147" s="28" t="s">
        <v>3741</v>
      </c>
      <c r="G1147" s="29">
        <v>45211.0</v>
      </c>
      <c r="H1147" s="30">
        <v>45211.0</v>
      </c>
      <c r="I1147" s="30">
        <v>45576.0</v>
      </c>
      <c r="J1147" s="31" t="s">
        <v>3742</v>
      </c>
      <c r="K1147" s="26" t="s">
        <v>931</v>
      </c>
      <c r="L1147" s="89">
        <v>45251.0</v>
      </c>
      <c r="M1147" s="33">
        <v>19500.0</v>
      </c>
      <c r="N1147" s="34">
        <v>20889.0</v>
      </c>
      <c r="O1147" s="27" t="s">
        <v>76</v>
      </c>
      <c r="P1147" s="35" t="s">
        <v>89</v>
      </c>
      <c r="Q1147" s="35" t="s">
        <v>108</v>
      </c>
      <c r="R1147" s="36">
        <v>45211.0</v>
      </c>
      <c r="S1147" s="35" t="s">
        <v>86</v>
      </c>
      <c r="T1147" s="35">
        <v>0.0</v>
      </c>
      <c r="U1147" s="37" t="s">
        <v>67</v>
      </c>
      <c r="V1147" s="38">
        <v>1000000.0</v>
      </c>
      <c r="W1147" s="78">
        <v>6115.0</v>
      </c>
      <c r="X1147" s="27">
        <v>2021.0</v>
      </c>
      <c r="Y1147" s="79" t="s">
        <v>3743</v>
      </c>
      <c r="Z1147" s="39"/>
      <c r="AA1147" s="39"/>
      <c r="AB1147" s="27"/>
      <c r="AC1147" s="27">
        <f t="shared" si="926"/>
        <v>0</v>
      </c>
      <c r="AD1147" s="41">
        <f>IF(AND(S1147="0",O1147="Paid"),(M1147*15%)-AC1147,0)</f>
        <v>2925</v>
      </c>
      <c r="AE1147" s="42"/>
      <c r="AF1147" s="188">
        <v>45259.0</v>
      </c>
      <c r="AG1147" s="43">
        <f>IF(O1147="Paid",IF(A1147="Wethaq",(M1147*28%)-((M1147*28%)*5%),IF((A1147="GIG"),(M1147*25%)-((M1147*25%)*5%),IF((A1147="Allianz"),(M1147*27%)-((M1147*27%)*20%),0))),0)</f>
        <v>4212</v>
      </c>
      <c r="AH1147" s="29"/>
      <c r="AI1147" s="29"/>
      <c r="AJ1147" s="29"/>
      <c r="AK1147" s="29"/>
      <c r="AL1147" s="27"/>
      <c r="AM1147" s="27"/>
      <c r="AN1147" s="47"/>
      <c r="AO1147" s="46"/>
      <c r="AP1147" s="47"/>
      <c r="AQ1147" s="43">
        <f t="shared" si="935"/>
        <v>5265</v>
      </c>
      <c r="AR1147" s="43">
        <f t="shared" si="448"/>
        <v>263.25</v>
      </c>
      <c r="AS1147" s="43">
        <f t="shared" si="449"/>
        <v>921.375</v>
      </c>
      <c r="AT1147" s="48">
        <f t="shared" si="753"/>
        <v>4080.375</v>
      </c>
      <c r="AU1147" s="49">
        <f t="shared" si="921"/>
        <v>4080.375</v>
      </c>
      <c r="AV1147" s="48"/>
      <c r="AW1147" s="34">
        <f t="shared" si="840"/>
        <v>17964</v>
      </c>
      <c r="AX1147" s="50">
        <f t="shared" si="811"/>
        <v>365.625</v>
      </c>
      <c r="AY1147" s="43"/>
      <c r="AZ1147" s="47"/>
      <c r="BA1147" s="48">
        <f t="shared" si="922"/>
        <v>4080.375</v>
      </c>
      <c r="BB1147" s="27"/>
      <c r="BC1147" s="27"/>
      <c r="BD1147" s="51"/>
      <c r="BE1147" s="52"/>
      <c r="BF1147" s="27"/>
      <c r="BG1147" s="53">
        <v>0.0</v>
      </c>
      <c r="BH1147" s="53" t="str">
        <f>'[1]2023'!Q1613</f>
        <v>#REF!</v>
      </c>
      <c r="BI1147" s="27"/>
      <c r="BJ1147" s="27"/>
      <c r="BK1147" s="27" t="s">
        <v>76</v>
      </c>
      <c r="BL1147" s="27"/>
    </row>
    <row r="1148" ht="14.25" customHeight="1">
      <c r="A1148" s="26" t="s">
        <v>55</v>
      </c>
      <c r="B1148" s="26" t="s">
        <v>56</v>
      </c>
      <c r="C1148" s="26" t="s">
        <v>57</v>
      </c>
      <c r="D1148" s="26" t="s">
        <v>81</v>
      </c>
      <c r="E1148" s="27" t="s">
        <v>3744</v>
      </c>
      <c r="F1148" s="28" t="s">
        <v>3745</v>
      </c>
      <c r="G1148" s="29">
        <v>45212.0</v>
      </c>
      <c r="H1148" s="30">
        <v>45212.0</v>
      </c>
      <c r="I1148" s="30">
        <v>45577.0</v>
      </c>
      <c r="J1148" s="31" t="s">
        <v>3746</v>
      </c>
      <c r="K1148" s="26" t="s">
        <v>931</v>
      </c>
      <c r="L1148" s="32" t="s">
        <v>3439</v>
      </c>
      <c r="M1148" s="33">
        <v>15930.0</v>
      </c>
      <c r="N1148" s="34">
        <v>17090.52</v>
      </c>
      <c r="O1148" s="27" t="s">
        <v>76</v>
      </c>
      <c r="P1148" s="35" t="s">
        <v>430</v>
      </c>
      <c r="Q1148" s="35" t="s">
        <v>65</v>
      </c>
      <c r="R1148" s="36">
        <v>45212.0</v>
      </c>
      <c r="S1148" s="35" t="s">
        <v>86</v>
      </c>
      <c r="T1148" s="35">
        <v>0.0</v>
      </c>
      <c r="U1148" s="37" t="s">
        <v>67</v>
      </c>
      <c r="V1148" s="38">
        <v>900000.0</v>
      </c>
      <c r="W1148" s="78" t="s">
        <v>3747</v>
      </c>
      <c r="X1148" s="27">
        <v>2020.0</v>
      </c>
      <c r="Y1148" s="79" t="s">
        <v>407</v>
      </c>
      <c r="Z1148" s="39"/>
      <c r="AA1148" s="39"/>
      <c r="AB1148" s="27"/>
      <c r="AC1148" s="27">
        <f t="shared" si="926"/>
        <v>0</v>
      </c>
      <c r="AD1148" s="41"/>
      <c r="AE1148" s="42"/>
      <c r="AF1148" s="27"/>
      <c r="AG1148" s="43">
        <f t="shared" ref="AG1148:AG1149" si="936">IF(O1148="Paid",IF(A1148="Alwataniya",(M1148*21%)-((M1148*21%)*5%),IF((A1148="GIG"),(M1148*25%)-((M1148*25%)*5%),IF((A1148="Allianz"),(M1148*27%)-((M1148*27%)*5%),0))),0)</f>
        <v>4086.045</v>
      </c>
      <c r="AH1148" s="29"/>
      <c r="AI1148" s="29"/>
      <c r="AJ1148" s="29"/>
      <c r="AK1148" s="29"/>
      <c r="AL1148" s="27"/>
      <c r="AM1148" s="27"/>
      <c r="AN1148" s="47"/>
      <c r="AO1148" s="46"/>
      <c r="AP1148" s="47"/>
      <c r="AQ1148" s="43">
        <f>IF(U1148="Motor Plus",(M1148*27%),IF(U1148="Motor One",(M1148*22%),(IF(U1148="Golden",(M1148*25%),(IF(U1148="Classic",(M1148*15%),(IF(U1148="Wethaq",(M1148*28%),IF(U1148="Alwataniya",(M1148*21%))*0))))))))</f>
        <v>4301.1</v>
      </c>
      <c r="AR1148" s="43">
        <f t="shared" si="448"/>
        <v>215.055</v>
      </c>
      <c r="AS1148" s="43">
        <f t="shared" si="449"/>
        <v>752.6925</v>
      </c>
      <c r="AT1148" s="48">
        <f t="shared" si="753"/>
        <v>3333.3525</v>
      </c>
      <c r="AU1148" s="49">
        <f t="shared" si="921"/>
        <v>3333.3525</v>
      </c>
      <c r="AV1148" s="48"/>
      <c r="AW1148" s="34">
        <f t="shared" si="840"/>
        <v>17090.52</v>
      </c>
      <c r="AX1148" s="50">
        <f t="shared" si="811"/>
        <v>3333.3525</v>
      </c>
      <c r="AY1148" s="43"/>
      <c r="AZ1148" s="47"/>
      <c r="BA1148" s="48">
        <f t="shared" si="922"/>
        <v>3333.3525</v>
      </c>
      <c r="BB1148" s="27"/>
      <c r="BC1148" s="27"/>
      <c r="BD1148" s="51"/>
      <c r="BE1148" s="52"/>
      <c r="BF1148" s="27"/>
      <c r="BG1148" s="53">
        <v>0.0</v>
      </c>
      <c r="BH1148" s="53" t="str">
        <f>'[1]2023'!Q1465</f>
        <v>#REF!</v>
      </c>
      <c r="BI1148" s="27"/>
      <c r="BJ1148" s="27"/>
      <c r="BK1148" s="27" t="s">
        <v>76</v>
      </c>
      <c r="BL1148" s="27"/>
    </row>
    <row r="1149" ht="14.25" customHeight="1">
      <c r="A1149" s="26" t="s">
        <v>55</v>
      </c>
      <c r="B1149" s="26" t="s">
        <v>56</v>
      </c>
      <c r="C1149" s="26" t="s">
        <v>57</v>
      </c>
      <c r="D1149" s="26" t="s">
        <v>81</v>
      </c>
      <c r="E1149" s="27" t="s">
        <v>3748</v>
      </c>
      <c r="F1149" s="28" t="s">
        <v>3749</v>
      </c>
      <c r="G1149" s="29">
        <v>45213.0</v>
      </c>
      <c r="H1149" s="30">
        <v>45213.0</v>
      </c>
      <c r="I1149" s="30">
        <v>45578.0</v>
      </c>
      <c r="J1149" s="31" t="s">
        <v>3750</v>
      </c>
      <c r="K1149" s="26" t="s">
        <v>931</v>
      </c>
      <c r="L1149" s="69">
        <v>45057.0</v>
      </c>
      <c r="M1149" s="33">
        <v>15912.18</v>
      </c>
      <c r="N1149" s="34">
        <v>17071.56</v>
      </c>
      <c r="O1149" s="27" t="s">
        <v>76</v>
      </c>
      <c r="P1149" s="35" t="s">
        <v>95</v>
      </c>
      <c r="Q1149" s="35" t="s">
        <v>65</v>
      </c>
      <c r="R1149" s="36">
        <v>45213.0</v>
      </c>
      <c r="S1149" s="35" t="s">
        <v>86</v>
      </c>
      <c r="T1149" s="35">
        <v>0.0</v>
      </c>
      <c r="U1149" s="37" t="s">
        <v>67</v>
      </c>
      <c r="V1149" s="38"/>
      <c r="W1149" s="78"/>
      <c r="X1149" s="27"/>
      <c r="Y1149" s="39"/>
      <c r="Z1149" s="39"/>
      <c r="AA1149" s="39"/>
      <c r="AB1149" s="27"/>
      <c r="AC1149" s="27">
        <f t="shared" si="926"/>
        <v>0</v>
      </c>
      <c r="AD1149" s="41"/>
      <c r="AE1149" s="42"/>
      <c r="AF1149" s="27"/>
      <c r="AG1149" s="43">
        <f t="shared" si="936"/>
        <v>4081.47417</v>
      </c>
      <c r="AH1149" s="29"/>
      <c r="AI1149" s="29"/>
      <c r="AJ1149" s="29"/>
      <c r="AK1149" s="29"/>
      <c r="AL1149" s="27"/>
      <c r="AM1149" s="27"/>
      <c r="AN1149" s="47"/>
      <c r="AO1149" s="46"/>
      <c r="AP1149" s="47"/>
      <c r="AQ1149" s="43">
        <f>IF(O1149="Paid",IF(U1149="Motor Plus",(M1149*27%),IF(U1149="Motor One",(M1149*22%),(IF(U1149="Golden",(M1149*25%),(IF(U1149="Classic",(M1149*15%),(IF(U1149="Wethaq",(M1149*28%),IF(U1149="Alwataniya",(M1149*21%))*0)))))))))</f>
        <v>4296.2886</v>
      </c>
      <c r="AR1149" s="43">
        <f t="shared" si="448"/>
        <v>214.81443</v>
      </c>
      <c r="AS1149" s="43">
        <f t="shared" si="449"/>
        <v>751.850505</v>
      </c>
      <c r="AT1149" s="48">
        <f t="shared" si="753"/>
        <v>3329.623665</v>
      </c>
      <c r="AU1149" s="49">
        <f t="shared" si="921"/>
        <v>3329.623665</v>
      </c>
      <c r="AV1149" s="48"/>
      <c r="AW1149" s="34">
        <f t="shared" si="840"/>
        <v>17071.56</v>
      </c>
      <c r="AX1149" s="50">
        <f t="shared" si="811"/>
        <v>3329.623665</v>
      </c>
      <c r="AY1149" s="43"/>
      <c r="AZ1149" s="47"/>
      <c r="BA1149" s="48">
        <f t="shared" si="922"/>
        <v>3329.623665</v>
      </c>
      <c r="BB1149" s="27"/>
      <c r="BC1149" s="27"/>
      <c r="BD1149" s="51"/>
      <c r="BE1149" s="52"/>
      <c r="BF1149" s="27"/>
      <c r="BG1149" s="58" t="s">
        <v>3751</v>
      </c>
      <c r="BH1149" s="53" t="str">
        <f>'[1]2023'!Q1433</f>
        <v>#REF!</v>
      </c>
      <c r="BI1149" s="27"/>
      <c r="BJ1149" s="27"/>
      <c r="BK1149" s="27" t="s">
        <v>76</v>
      </c>
      <c r="BL1149" s="27"/>
    </row>
    <row r="1150" ht="14.25" customHeight="1">
      <c r="A1150" s="26" t="s">
        <v>111</v>
      </c>
      <c r="B1150" s="26" t="s">
        <v>56</v>
      </c>
      <c r="C1150" s="26" t="s">
        <v>57</v>
      </c>
      <c r="D1150" s="26" t="s">
        <v>71</v>
      </c>
      <c r="E1150" s="27" t="s">
        <v>3752</v>
      </c>
      <c r="F1150" s="28" t="s">
        <v>3753</v>
      </c>
      <c r="G1150" s="29">
        <v>45214.0</v>
      </c>
      <c r="H1150" s="30">
        <v>45214.0</v>
      </c>
      <c r="I1150" s="30">
        <v>45579.0</v>
      </c>
      <c r="J1150" s="31" t="s">
        <v>3754</v>
      </c>
      <c r="K1150" s="26" t="s">
        <v>931</v>
      </c>
      <c r="L1150" s="32" t="s">
        <v>75</v>
      </c>
      <c r="M1150" s="33">
        <v>47409.96</v>
      </c>
      <c r="N1150" s="34">
        <v>50700.0</v>
      </c>
      <c r="O1150" s="27" t="s">
        <v>76</v>
      </c>
      <c r="P1150" s="35" t="s">
        <v>89</v>
      </c>
      <c r="Q1150" s="35" t="s">
        <v>114</v>
      </c>
      <c r="R1150" s="36">
        <v>45223.0</v>
      </c>
      <c r="S1150" s="35" t="s">
        <v>78</v>
      </c>
      <c r="T1150" s="54" t="s">
        <v>1792</v>
      </c>
      <c r="U1150" s="37" t="s">
        <v>115</v>
      </c>
      <c r="V1150" s="38">
        <v>1950000.0</v>
      </c>
      <c r="W1150" s="78">
        <v>174782.0</v>
      </c>
      <c r="X1150" s="27">
        <v>2023.0</v>
      </c>
      <c r="Y1150" s="79" t="s">
        <v>2851</v>
      </c>
      <c r="Z1150" s="39" t="s">
        <v>3755</v>
      </c>
      <c r="AA1150" s="39"/>
      <c r="AB1150" s="27"/>
      <c r="AC1150" s="27">
        <f t="shared" si="926"/>
        <v>0</v>
      </c>
      <c r="AD1150" s="41"/>
      <c r="AE1150" s="42"/>
      <c r="AF1150" s="27"/>
      <c r="AG1150" s="43">
        <f t="shared" ref="AG1150:AG1151" si="937">IF(O1150="Paid",IF(A1150="Alwataniya",(M1150*21%)-((M1150*21%)*5%),IF((A1150="GIG"),(M1150*25%)-((M1150*25%)*5%),IF((A1150="Allianz"),(M1150*27%)-((M1150*27%)*20%),0))),0)</f>
        <v>11259.8655</v>
      </c>
      <c r="AH1150" s="29" t="s">
        <v>3486</v>
      </c>
      <c r="AI1150" s="29" t="s">
        <v>3486</v>
      </c>
      <c r="AJ1150" s="29"/>
      <c r="AK1150" s="29" t="s">
        <v>3486</v>
      </c>
      <c r="AL1150" s="27"/>
      <c r="AM1150" s="27"/>
      <c r="AN1150" s="47"/>
      <c r="AO1150" s="46">
        <f>M1150*15%</f>
        <v>7111.494</v>
      </c>
      <c r="AP1150" s="47" t="s">
        <v>1108</v>
      </c>
      <c r="AQ1150" s="43">
        <f t="shared" ref="AQ1150:AQ1152" si="938">IF(U1150="Motor Plus",(M1150*27%),IF(U1150="Motor One",(M1150*22%),(IF(U1150="Golden",(M1150*25%),(IF(U1150="Classic",(M1150*15%),(IF(U1150="Wethaq",(M1150*28%),IF(U1150="Alwataniya",(M1150*21%))*0))))))))</f>
        <v>11852.49</v>
      </c>
      <c r="AR1150" s="43">
        <f t="shared" si="448"/>
        <v>592.6245</v>
      </c>
      <c r="AS1150" s="43">
        <f t="shared" si="449"/>
        <v>2074.18575</v>
      </c>
      <c r="AT1150" s="48">
        <f t="shared" si="753"/>
        <v>9185.67975</v>
      </c>
      <c r="AU1150" s="49">
        <f t="shared" si="921"/>
        <v>2074.18575</v>
      </c>
      <c r="AV1150" s="48"/>
      <c r="AW1150" s="34">
        <f t="shared" si="840"/>
        <v>50700</v>
      </c>
      <c r="AX1150" s="50">
        <f t="shared" si="811"/>
        <v>2074.18575</v>
      </c>
      <c r="AY1150" s="43"/>
      <c r="AZ1150" s="47"/>
      <c r="BA1150" s="48">
        <f t="shared" si="922"/>
        <v>-5037.30825</v>
      </c>
      <c r="BB1150" s="27"/>
      <c r="BC1150" s="27"/>
      <c r="BD1150" s="51"/>
      <c r="BE1150" s="52"/>
      <c r="BF1150" s="27"/>
      <c r="BG1150" s="58" t="s">
        <v>3756</v>
      </c>
      <c r="BH1150" s="53" t="str">
        <f t="shared" ref="BH1150:BH1153" si="939">'[1]2023'!Q1420</f>
        <v>#REF!</v>
      </c>
      <c r="BI1150" s="27"/>
      <c r="BJ1150" s="27"/>
      <c r="BK1150" s="27" t="s">
        <v>76</v>
      </c>
      <c r="BL1150" s="27"/>
    </row>
    <row r="1151" ht="14.25" customHeight="1">
      <c r="A1151" s="26" t="s">
        <v>111</v>
      </c>
      <c r="B1151" s="26" t="s">
        <v>56</v>
      </c>
      <c r="C1151" s="26" t="s">
        <v>57</v>
      </c>
      <c r="D1151" s="26" t="s">
        <v>71</v>
      </c>
      <c r="E1151" s="27" t="s">
        <v>3757</v>
      </c>
      <c r="F1151" s="28" t="s">
        <v>3758</v>
      </c>
      <c r="G1151" s="29">
        <v>45214.0</v>
      </c>
      <c r="H1151" s="30">
        <v>45214.0</v>
      </c>
      <c r="I1151" s="30">
        <v>45579.0</v>
      </c>
      <c r="J1151" s="31" t="s">
        <v>3759</v>
      </c>
      <c r="K1151" s="26" t="s">
        <v>931</v>
      </c>
      <c r="L1151" s="32" t="s">
        <v>2981</v>
      </c>
      <c r="M1151" s="33">
        <v>35191.92</v>
      </c>
      <c r="N1151" s="34">
        <v>37700.0</v>
      </c>
      <c r="O1151" s="27" t="s">
        <v>76</v>
      </c>
      <c r="P1151" s="35" t="s">
        <v>142</v>
      </c>
      <c r="Q1151" s="35" t="s">
        <v>108</v>
      </c>
      <c r="R1151" s="36">
        <v>45223.0</v>
      </c>
      <c r="S1151" s="35" t="s">
        <v>86</v>
      </c>
      <c r="T1151" s="35">
        <v>0.0</v>
      </c>
      <c r="U1151" s="37" t="s">
        <v>115</v>
      </c>
      <c r="V1151" s="38">
        <v>1450000.0</v>
      </c>
      <c r="W1151" s="78">
        <v>159660.0</v>
      </c>
      <c r="X1151" s="27">
        <v>2024.0</v>
      </c>
      <c r="Y1151" s="39" t="s">
        <v>3760</v>
      </c>
      <c r="Z1151" s="79" t="s">
        <v>3696</v>
      </c>
      <c r="AA1151" s="39"/>
      <c r="AB1151" s="27"/>
      <c r="AC1151" s="27">
        <f t="shared" si="926"/>
        <v>0</v>
      </c>
      <c r="AD1151" s="41">
        <f>IF(AND(S1151="0",O1151="Paid"),(M1151*15%)-AC1151,0)</f>
        <v>5278.788</v>
      </c>
      <c r="AE1151" s="42">
        <v>650.0</v>
      </c>
      <c r="AF1151" s="27" t="s">
        <v>75</v>
      </c>
      <c r="AG1151" s="43">
        <f t="shared" si="937"/>
        <v>8358.081</v>
      </c>
      <c r="AH1151" s="29" t="s">
        <v>2981</v>
      </c>
      <c r="AI1151" s="29">
        <v>45088.0</v>
      </c>
      <c r="AJ1151" s="29"/>
      <c r="AK1151" s="29">
        <v>44968.0</v>
      </c>
      <c r="AL1151" s="27"/>
      <c r="AM1151" s="27"/>
      <c r="AN1151" s="47"/>
      <c r="AO1151" s="46"/>
      <c r="AP1151" s="47"/>
      <c r="AQ1151" s="43">
        <f t="shared" si="938"/>
        <v>8797.98</v>
      </c>
      <c r="AR1151" s="43">
        <f t="shared" si="448"/>
        <v>439.899</v>
      </c>
      <c r="AS1151" s="43">
        <f t="shared" si="449"/>
        <v>1539.6465</v>
      </c>
      <c r="AT1151" s="48">
        <f t="shared" si="753"/>
        <v>6818.4345</v>
      </c>
      <c r="AU1151" s="49">
        <f t="shared" si="921"/>
        <v>6818.4345</v>
      </c>
      <c r="AV1151" s="48"/>
      <c r="AW1151" s="34">
        <f t="shared" si="840"/>
        <v>31771.212</v>
      </c>
      <c r="AX1151" s="50">
        <f t="shared" si="811"/>
        <v>889.6465</v>
      </c>
      <c r="AY1151" s="43"/>
      <c r="AZ1151" s="47"/>
      <c r="BA1151" s="48">
        <f t="shared" si="922"/>
        <v>6818.4345</v>
      </c>
      <c r="BB1151" s="27"/>
      <c r="BC1151" s="27"/>
      <c r="BD1151" s="51"/>
      <c r="BE1151" s="52"/>
      <c r="BF1151" s="27"/>
      <c r="BG1151" s="53">
        <v>0.0</v>
      </c>
      <c r="BH1151" s="53" t="str">
        <f t="shared" si="939"/>
        <v>#REF!</v>
      </c>
      <c r="BI1151" s="27"/>
      <c r="BJ1151" s="27"/>
      <c r="BK1151" s="27" t="s">
        <v>76</v>
      </c>
      <c r="BL1151" s="27"/>
    </row>
    <row r="1152" ht="14.25" customHeight="1">
      <c r="A1152" s="26" t="s">
        <v>68</v>
      </c>
      <c r="B1152" s="26" t="s">
        <v>56</v>
      </c>
      <c r="C1152" s="26" t="s">
        <v>57</v>
      </c>
      <c r="D1152" s="26" t="s">
        <v>71</v>
      </c>
      <c r="E1152" s="27" t="s">
        <v>3761</v>
      </c>
      <c r="F1152" s="28" t="s">
        <v>3762</v>
      </c>
      <c r="G1152" s="29">
        <v>45214.0</v>
      </c>
      <c r="H1152" s="30">
        <v>45214.0</v>
      </c>
      <c r="I1152" s="30">
        <v>45579.0</v>
      </c>
      <c r="J1152" s="31" t="s">
        <v>3763</v>
      </c>
      <c r="K1152" s="26" t="s">
        <v>931</v>
      </c>
      <c r="L1152" s="69">
        <v>45057.0</v>
      </c>
      <c r="M1152" s="33">
        <v>17757.27</v>
      </c>
      <c r="N1152" s="34">
        <v>19010.0</v>
      </c>
      <c r="O1152" s="27" t="s">
        <v>76</v>
      </c>
      <c r="P1152" s="35" t="s">
        <v>142</v>
      </c>
      <c r="Q1152" s="35">
        <v>0.0</v>
      </c>
      <c r="R1152" s="36">
        <v>45235.0</v>
      </c>
      <c r="S1152" s="35" t="s">
        <v>78</v>
      </c>
      <c r="T1152" s="54" t="s">
        <v>456</v>
      </c>
      <c r="U1152" s="37" t="s">
        <v>68</v>
      </c>
      <c r="V1152" s="38">
        <v>845000.0</v>
      </c>
      <c r="W1152" s="78"/>
      <c r="X1152" s="27"/>
      <c r="Y1152" s="39"/>
      <c r="Z1152" s="39" t="s">
        <v>3764</v>
      </c>
      <c r="AA1152" s="39"/>
      <c r="AB1152" s="27"/>
      <c r="AC1152" s="27">
        <f t="shared" si="926"/>
        <v>0</v>
      </c>
      <c r="AD1152" s="109">
        <f t="shared" ref="AD1152:AD1153" si="940">M1152*15%</f>
        <v>2663.5905</v>
      </c>
      <c r="AE1152" s="42">
        <v>400.0</v>
      </c>
      <c r="AF1152" s="27" t="s">
        <v>3296</v>
      </c>
      <c r="AG1152" s="43">
        <f t="shared" ref="AG1152:AG1153" si="941">M1152*28%-((M1152*28%)*5%)</f>
        <v>4723.43382</v>
      </c>
      <c r="AH1152" s="29"/>
      <c r="AI1152" s="29" t="s">
        <v>3049</v>
      </c>
      <c r="AJ1152" s="29"/>
      <c r="AK1152" s="29" t="s">
        <v>3050</v>
      </c>
      <c r="AL1152" s="27"/>
      <c r="AM1152" s="44"/>
      <c r="AN1152" s="68"/>
      <c r="AO1152" s="46"/>
      <c r="AP1152" s="47"/>
      <c r="AQ1152" s="43">
        <f t="shared" si="938"/>
        <v>4972.0356</v>
      </c>
      <c r="AR1152" s="43">
        <f t="shared" si="448"/>
        <v>248.60178</v>
      </c>
      <c r="AS1152" s="43">
        <f t="shared" si="449"/>
        <v>870.10623</v>
      </c>
      <c r="AT1152" s="48">
        <f t="shared" si="753"/>
        <v>3853.32759</v>
      </c>
      <c r="AU1152" s="49">
        <f t="shared" si="921"/>
        <v>3853.32759</v>
      </c>
      <c r="AV1152" s="48"/>
      <c r="AW1152" s="34">
        <f t="shared" si="840"/>
        <v>15946.4095</v>
      </c>
      <c r="AX1152" s="113">
        <f t="shared" si="811"/>
        <v>789.73709</v>
      </c>
      <c r="AY1152" s="43"/>
      <c r="AZ1152" s="47"/>
      <c r="BA1152" s="48">
        <f t="shared" si="922"/>
        <v>3853.32759</v>
      </c>
      <c r="BB1152" s="27"/>
      <c r="BC1152" s="27"/>
      <c r="BD1152" s="51"/>
      <c r="BE1152" s="52"/>
      <c r="BF1152" s="27"/>
      <c r="BG1152" s="58" t="s">
        <v>562</v>
      </c>
      <c r="BH1152" s="53" t="str">
        <f t="shared" si="939"/>
        <v>#REF!</v>
      </c>
      <c r="BI1152" s="27"/>
      <c r="BJ1152" s="27"/>
      <c r="BK1152" s="27" t="s">
        <v>76</v>
      </c>
      <c r="BL1152" s="27"/>
    </row>
    <row r="1153" ht="14.25" customHeight="1">
      <c r="A1153" s="26" t="s">
        <v>68</v>
      </c>
      <c r="B1153" s="26" t="s">
        <v>56</v>
      </c>
      <c r="C1153" s="26" t="s">
        <v>57</v>
      </c>
      <c r="D1153" s="26" t="s">
        <v>71</v>
      </c>
      <c r="E1153" s="27" t="s">
        <v>3765</v>
      </c>
      <c r="F1153" s="28" t="s">
        <v>3766</v>
      </c>
      <c r="G1153" s="29">
        <v>45214.0</v>
      </c>
      <c r="H1153" s="30">
        <v>45214.0</v>
      </c>
      <c r="I1153" s="30">
        <v>45579.0</v>
      </c>
      <c r="J1153" s="31" t="s">
        <v>3767</v>
      </c>
      <c r="K1153" s="26" t="s">
        <v>931</v>
      </c>
      <c r="L1153" s="69">
        <v>44968.0</v>
      </c>
      <c r="M1153" s="33">
        <v>24499.51</v>
      </c>
      <c r="N1153" s="34">
        <v>26200.0</v>
      </c>
      <c r="O1153" s="27" t="s">
        <v>76</v>
      </c>
      <c r="P1153" s="35" t="s">
        <v>142</v>
      </c>
      <c r="Q1153" s="35">
        <v>0.0</v>
      </c>
      <c r="R1153" s="36">
        <v>45235.0</v>
      </c>
      <c r="S1153" s="35" t="s">
        <v>78</v>
      </c>
      <c r="T1153" s="54" t="s">
        <v>456</v>
      </c>
      <c r="U1153" s="37" t="s">
        <v>68</v>
      </c>
      <c r="V1153" s="38">
        <v>1310000.0</v>
      </c>
      <c r="W1153" s="78"/>
      <c r="X1153" s="27"/>
      <c r="Y1153" s="39"/>
      <c r="Z1153" s="39" t="s">
        <v>2962</v>
      </c>
      <c r="AA1153" s="39"/>
      <c r="AB1153" s="27"/>
      <c r="AC1153" s="27">
        <f t="shared" si="926"/>
        <v>0</v>
      </c>
      <c r="AD1153" s="109">
        <f t="shared" si="940"/>
        <v>3674.9265</v>
      </c>
      <c r="AE1153" s="42">
        <v>400.0</v>
      </c>
      <c r="AF1153" s="27" t="s">
        <v>3296</v>
      </c>
      <c r="AG1153" s="43">
        <f t="shared" si="941"/>
        <v>6516.86966</v>
      </c>
      <c r="AH1153" s="29"/>
      <c r="AI1153" s="29">
        <v>45284.0</v>
      </c>
      <c r="AJ1153" s="55">
        <v>0.28</v>
      </c>
      <c r="AK1153" s="182">
        <v>45279.0</v>
      </c>
      <c r="AL1153" s="27"/>
      <c r="AM1153" s="44"/>
      <c r="AN1153" s="47"/>
      <c r="AO1153" s="46"/>
      <c r="AP1153" s="47"/>
      <c r="AQ1153" s="43">
        <f>M1153*AJ1153</f>
        <v>6859.8628</v>
      </c>
      <c r="AR1153" s="43">
        <f t="shared" si="448"/>
        <v>342.99314</v>
      </c>
      <c r="AS1153" s="43">
        <f t="shared" si="449"/>
        <v>1200.47599</v>
      </c>
      <c r="AT1153" s="48">
        <f t="shared" si="753"/>
        <v>5316.39367</v>
      </c>
      <c r="AU1153" s="49">
        <f t="shared" si="921"/>
        <v>5316.39367</v>
      </c>
      <c r="AV1153" s="48"/>
      <c r="AW1153" s="34">
        <f t="shared" si="840"/>
        <v>22125.0735</v>
      </c>
      <c r="AX1153" s="113">
        <f t="shared" si="811"/>
        <v>1241.46717</v>
      </c>
      <c r="AY1153" s="43"/>
      <c r="AZ1153" s="47"/>
      <c r="BA1153" s="48">
        <f t="shared" si="922"/>
        <v>5316.39367</v>
      </c>
      <c r="BB1153" s="27"/>
      <c r="BC1153" s="27"/>
      <c r="BD1153" s="51"/>
      <c r="BE1153" s="52"/>
      <c r="BF1153" s="27"/>
      <c r="BG1153" s="58" t="s">
        <v>562</v>
      </c>
      <c r="BH1153" s="53" t="str">
        <f t="shared" si="939"/>
        <v>#REF!</v>
      </c>
      <c r="BI1153" s="27"/>
      <c r="BJ1153" s="27"/>
      <c r="BK1153" s="27" t="s">
        <v>76</v>
      </c>
      <c r="BL1153" s="27"/>
    </row>
    <row r="1154" ht="14.25" customHeight="1">
      <c r="A1154" s="26" t="s">
        <v>55</v>
      </c>
      <c r="B1154" s="26" t="s">
        <v>56</v>
      </c>
      <c r="C1154" s="26" t="s">
        <v>57</v>
      </c>
      <c r="D1154" s="26" t="s">
        <v>81</v>
      </c>
      <c r="E1154" s="27" t="s">
        <v>3768</v>
      </c>
      <c r="F1154" s="28" t="s">
        <v>3769</v>
      </c>
      <c r="G1154" s="29">
        <v>45214.0</v>
      </c>
      <c r="H1154" s="30">
        <v>45214.0</v>
      </c>
      <c r="I1154" s="30">
        <v>45579.0</v>
      </c>
      <c r="J1154" s="31" t="s">
        <v>3770</v>
      </c>
      <c r="K1154" s="26" t="s">
        <v>931</v>
      </c>
      <c r="L1154" s="69">
        <v>44937.0</v>
      </c>
      <c r="M1154" s="33">
        <v>12504.38</v>
      </c>
      <c r="N1154" s="34">
        <v>13445.66</v>
      </c>
      <c r="O1154" s="27" t="s">
        <v>76</v>
      </c>
      <c r="P1154" s="35" t="s">
        <v>122</v>
      </c>
      <c r="Q1154" s="35">
        <v>0.0</v>
      </c>
      <c r="R1154" s="36">
        <v>45214.0</v>
      </c>
      <c r="S1154" s="35" t="s">
        <v>86</v>
      </c>
      <c r="T1154" s="35">
        <v>0.0</v>
      </c>
      <c r="U1154" s="37" t="s">
        <v>67</v>
      </c>
      <c r="V1154" s="38">
        <v>585000.0</v>
      </c>
      <c r="W1154" s="78">
        <v>5499486.0</v>
      </c>
      <c r="X1154" s="27">
        <v>2016.0</v>
      </c>
      <c r="Y1154" s="79" t="s">
        <v>3771</v>
      </c>
      <c r="Z1154" s="39"/>
      <c r="AA1154" s="39"/>
      <c r="AB1154" s="27"/>
      <c r="AC1154" s="27">
        <f t="shared" si="926"/>
        <v>0</v>
      </c>
      <c r="AD1154" s="41">
        <f t="shared" ref="AD1154:AD1160" si="942">IF(AND(S1154="0",O1154="Paid"),(M1154*15%)-AC1154,0)</f>
        <v>1875.657</v>
      </c>
      <c r="AE1154" s="42"/>
      <c r="AF1154" s="27"/>
      <c r="AG1154" s="43">
        <f t="shared" ref="AG1154:AG1158" si="943">IF(O1154="Paid",IF(A1154="Alwataniya",(M1154*21%)-((M1154*21%)*5%),IF((A1154="GIG"),(M1154*25%)-((M1154*25%)*5%),IF((A1154="Allianz"),(M1154*27%)-((M1154*27%)*5%),0))),0)</f>
        <v>3207.37347</v>
      </c>
      <c r="AH1154" s="29"/>
      <c r="AI1154" s="29"/>
      <c r="AJ1154" s="29"/>
      <c r="AK1154" s="29"/>
      <c r="AL1154" s="27"/>
      <c r="AM1154" s="44"/>
      <c r="AN1154" s="47"/>
      <c r="AO1154" s="46"/>
      <c r="AP1154" s="47"/>
      <c r="AQ1154" s="43">
        <f>IF(O1154="Paid",IF(U1154="Motor Plus",(M1154*27%),IF(U1154="Motor One",(M1154*22%),(IF(U1154="Golden",(M1154*25%),(IF(U1154="Classic",(M1154*15%),(IF(U1154="Wethaq",(M1154*28%),IF(U1154="Alwataniya",(M1154*21%))*0)))))))))</f>
        <v>3376.1826</v>
      </c>
      <c r="AR1154" s="43">
        <f t="shared" si="448"/>
        <v>168.80913</v>
      </c>
      <c r="AS1154" s="43">
        <f t="shared" si="449"/>
        <v>590.831955</v>
      </c>
      <c r="AT1154" s="48">
        <f t="shared" si="753"/>
        <v>2616.541515</v>
      </c>
      <c r="AU1154" s="49">
        <f t="shared" si="921"/>
        <v>2616.541515</v>
      </c>
      <c r="AV1154" s="48"/>
      <c r="AW1154" s="34">
        <f t="shared" si="840"/>
        <v>11570.003</v>
      </c>
      <c r="AX1154" s="50">
        <f t="shared" si="811"/>
        <v>740.884515</v>
      </c>
      <c r="AY1154" s="43"/>
      <c r="AZ1154" s="47"/>
      <c r="BA1154" s="48">
        <f t="shared" si="922"/>
        <v>2616.541515</v>
      </c>
      <c r="BB1154" s="27"/>
      <c r="BC1154" s="27"/>
      <c r="BD1154" s="51"/>
      <c r="BE1154" s="52"/>
      <c r="BF1154" s="27"/>
      <c r="BG1154" s="53">
        <v>0.0</v>
      </c>
      <c r="BH1154" s="53" t="str">
        <f>'[1]2023'!Q1451</f>
        <v>#REF!</v>
      </c>
      <c r="BI1154" s="27"/>
      <c r="BJ1154" s="27"/>
      <c r="BK1154" s="27" t="s">
        <v>76</v>
      </c>
      <c r="BL1154" s="27"/>
    </row>
    <row r="1155" ht="14.25" customHeight="1">
      <c r="A1155" s="26" t="s">
        <v>55</v>
      </c>
      <c r="B1155" s="26" t="s">
        <v>56</v>
      </c>
      <c r="C1155" s="26" t="s">
        <v>57</v>
      </c>
      <c r="D1155" s="26" t="s">
        <v>58</v>
      </c>
      <c r="E1155" s="27" t="s">
        <v>3772</v>
      </c>
      <c r="F1155" s="28" t="s">
        <v>3773</v>
      </c>
      <c r="G1155" s="29">
        <v>45214.0</v>
      </c>
      <c r="H1155" s="30">
        <v>45214.0</v>
      </c>
      <c r="I1155" s="30">
        <v>45579.0</v>
      </c>
      <c r="J1155" s="31">
        <v>0.0</v>
      </c>
      <c r="K1155" s="26" t="s">
        <v>931</v>
      </c>
      <c r="L1155" s="32" t="s">
        <v>1325</v>
      </c>
      <c r="M1155" s="34">
        <v>13654.26</v>
      </c>
      <c r="N1155" s="34">
        <v>14459.86</v>
      </c>
      <c r="O1155" s="27" t="s">
        <v>76</v>
      </c>
      <c r="P1155" s="35" t="s">
        <v>89</v>
      </c>
      <c r="Q1155" s="35">
        <v>0.0</v>
      </c>
      <c r="R1155" s="36">
        <v>45214.0</v>
      </c>
      <c r="S1155" s="35" t="s">
        <v>66</v>
      </c>
      <c r="T1155" s="35">
        <v>0.0</v>
      </c>
      <c r="U1155" s="37" t="s">
        <v>157</v>
      </c>
      <c r="V1155" s="38">
        <v>2600000.0</v>
      </c>
      <c r="W1155" s="78"/>
      <c r="X1155" s="27">
        <v>2020.0</v>
      </c>
      <c r="Y1155" s="211" t="s">
        <v>1701</v>
      </c>
      <c r="Z1155" s="39"/>
      <c r="AA1155" s="39"/>
      <c r="AB1155" s="27"/>
      <c r="AC1155" s="27">
        <f t="shared" si="926"/>
        <v>0</v>
      </c>
      <c r="AD1155" s="41">
        <f t="shared" si="942"/>
        <v>0</v>
      </c>
      <c r="AE1155" s="42"/>
      <c r="AF1155" s="27"/>
      <c r="AG1155" s="43">
        <f t="shared" si="943"/>
        <v>3502.31769</v>
      </c>
      <c r="AH1155" s="29"/>
      <c r="AI1155" s="29"/>
      <c r="AJ1155" s="29"/>
      <c r="AK1155" s="29"/>
      <c r="AL1155" s="27"/>
      <c r="AM1155" s="27">
        <f>IF((BD1155&lt;=2),AU1155*10%,(IF((BD1155=3),AU1155*20%,IF((BD1155=4),AU1155*20%,IF((BD1155&gt;=5),AU1155*30%,(IF((BD1155="lead"),AU1155*30%,0)))))))</f>
        <v>232.805133</v>
      </c>
      <c r="AN1155" s="47"/>
      <c r="AO1155" s="46"/>
      <c r="AP1155" s="47"/>
      <c r="AQ1155" s="43">
        <f t="shared" ref="AQ1155:AQ1157" si="944">IF(U1155="Motor Plus",(M1155*27%),IF(U1155="Motor One",(M1155*22%),(IF(U1155="Golden",(M1155*25%),(IF(U1155="Classic",(M1155*15%),(IF(U1155="Wethaq",(M1155*28%),IF(U1155="Alwataniya",(M1155*21%))*0))))))))</f>
        <v>3003.9372</v>
      </c>
      <c r="AR1155" s="43">
        <f t="shared" si="448"/>
        <v>150.19686</v>
      </c>
      <c r="AS1155" s="43">
        <f t="shared" si="449"/>
        <v>525.68901</v>
      </c>
      <c r="AT1155" s="48">
        <f t="shared" si="753"/>
        <v>2328.05133</v>
      </c>
      <c r="AU1155" s="49">
        <f t="shared" si="921"/>
        <v>2328.05133</v>
      </c>
      <c r="AV1155" s="48"/>
      <c r="AW1155" s="34">
        <f t="shared" si="840"/>
        <v>14459.86</v>
      </c>
      <c r="AX1155" s="50">
        <f t="shared" si="811"/>
        <v>2743.823547</v>
      </c>
      <c r="AY1155" s="43"/>
      <c r="AZ1155" s="47"/>
      <c r="BA1155" s="48">
        <f t="shared" si="922"/>
        <v>2095.246197</v>
      </c>
      <c r="BB1155" s="27"/>
      <c r="BC1155" s="27"/>
      <c r="BD1155" s="51"/>
      <c r="BE1155" s="52"/>
      <c r="BF1155" s="27"/>
      <c r="BG1155" s="53">
        <v>0.0</v>
      </c>
      <c r="BH1155" s="53" t="str">
        <f>'[1]2023'!Q1474</f>
        <v>#REF!</v>
      </c>
      <c r="BI1155" s="27"/>
      <c r="BJ1155" s="27"/>
      <c r="BK1155" s="27" t="s">
        <v>76</v>
      </c>
      <c r="BL1155" s="27"/>
    </row>
    <row r="1156" ht="14.25" customHeight="1">
      <c r="A1156" s="26" t="s">
        <v>55</v>
      </c>
      <c r="B1156" s="26" t="s">
        <v>56</v>
      </c>
      <c r="C1156" s="26" t="s">
        <v>57</v>
      </c>
      <c r="D1156" s="26" t="s">
        <v>81</v>
      </c>
      <c r="E1156" s="27" t="s">
        <v>3774</v>
      </c>
      <c r="F1156" s="28" t="s">
        <v>3775</v>
      </c>
      <c r="G1156" s="29">
        <v>45215.0</v>
      </c>
      <c r="H1156" s="30">
        <v>45215.0</v>
      </c>
      <c r="I1156" s="30">
        <v>45580.0</v>
      </c>
      <c r="J1156" s="31" t="s">
        <v>3776</v>
      </c>
      <c r="K1156" s="26" t="s">
        <v>931</v>
      </c>
      <c r="L1156" s="69">
        <v>44936.0</v>
      </c>
      <c r="M1156" s="33">
        <v>14107.5</v>
      </c>
      <c r="N1156" s="34">
        <v>15151.39</v>
      </c>
      <c r="O1156" s="27" t="s">
        <v>76</v>
      </c>
      <c r="P1156" s="35" t="s">
        <v>122</v>
      </c>
      <c r="Q1156" s="35">
        <v>0.0</v>
      </c>
      <c r="R1156" s="36">
        <v>45215.0</v>
      </c>
      <c r="S1156" s="35" t="s">
        <v>86</v>
      </c>
      <c r="T1156" s="35">
        <v>0.0</v>
      </c>
      <c r="U1156" s="37" t="s">
        <v>67</v>
      </c>
      <c r="V1156" s="38">
        <v>900000.0</v>
      </c>
      <c r="W1156" s="78">
        <v>85548.0</v>
      </c>
      <c r="X1156" s="27">
        <v>2016.0</v>
      </c>
      <c r="Y1156" s="79" t="s">
        <v>3354</v>
      </c>
      <c r="Z1156" s="79" t="s">
        <v>3354</v>
      </c>
      <c r="AA1156" s="39">
        <v>237139.0</v>
      </c>
      <c r="AB1156" s="27"/>
      <c r="AC1156" s="27">
        <f t="shared" si="926"/>
        <v>0</v>
      </c>
      <c r="AD1156" s="41">
        <f t="shared" si="942"/>
        <v>2116.125</v>
      </c>
      <c r="AE1156" s="42"/>
      <c r="AF1156" s="27"/>
      <c r="AG1156" s="43">
        <f t="shared" si="943"/>
        <v>3618.57375</v>
      </c>
      <c r="AH1156" s="29"/>
      <c r="AI1156" s="29"/>
      <c r="AJ1156" s="29"/>
      <c r="AK1156" s="29"/>
      <c r="AL1156" s="27"/>
      <c r="AM1156" s="27"/>
      <c r="AN1156" s="47"/>
      <c r="AO1156" s="46"/>
      <c r="AP1156" s="47"/>
      <c r="AQ1156" s="43">
        <f t="shared" si="944"/>
        <v>3809.025</v>
      </c>
      <c r="AR1156" s="43">
        <f t="shared" si="448"/>
        <v>190.45125</v>
      </c>
      <c r="AS1156" s="43">
        <f t="shared" si="449"/>
        <v>666.579375</v>
      </c>
      <c r="AT1156" s="48">
        <f t="shared" si="753"/>
        <v>2951.994375</v>
      </c>
      <c r="AU1156" s="49">
        <f t="shared" si="921"/>
        <v>2951.994375</v>
      </c>
      <c r="AV1156" s="48"/>
      <c r="AW1156" s="34">
        <f t="shared" si="840"/>
        <v>13035.265</v>
      </c>
      <c r="AX1156" s="50">
        <f t="shared" si="811"/>
        <v>835.869375</v>
      </c>
      <c r="AY1156" s="43"/>
      <c r="AZ1156" s="47"/>
      <c r="BA1156" s="48">
        <f t="shared" si="922"/>
        <v>2951.994375</v>
      </c>
      <c r="BB1156" s="27"/>
      <c r="BC1156" s="27"/>
      <c r="BD1156" s="51"/>
      <c r="BE1156" s="52"/>
      <c r="BF1156" s="27"/>
      <c r="BG1156" s="53">
        <v>0.0</v>
      </c>
      <c r="BH1156" s="53" t="str">
        <f>'[1]2023'!Q1367</f>
        <v>#REF!</v>
      </c>
      <c r="BI1156" s="27"/>
      <c r="BJ1156" s="27"/>
      <c r="BK1156" s="27" t="s">
        <v>76</v>
      </c>
      <c r="BL1156" s="27"/>
    </row>
    <row r="1157" ht="14.25" customHeight="1">
      <c r="A1157" s="26" t="s">
        <v>55</v>
      </c>
      <c r="B1157" s="26" t="s">
        <v>56</v>
      </c>
      <c r="C1157" s="26" t="s">
        <v>57</v>
      </c>
      <c r="D1157" s="26" t="s">
        <v>81</v>
      </c>
      <c r="E1157" s="27" t="s">
        <v>3777</v>
      </c>
      <c r="F1157" s="28" t="s">
        <v>3778</v>
      </c>
      <c r="G1157" s="29">
        <v>45215.0</v>
      </c>
      <c r="H1157" s="30">
        <v>45215.0</v>
      </c>
      <c r="I1157" s="30">
        <v>45580.0</v>
      </c>
      <c r="J1157" s="31" t="s">
        <v>3779</v>
      </c>
      <c r="K1157" s="26" t="s">
        <v>931</v>
      </c>
      <c r="L1157" s="69">
        <v>45270.0</v>
      </c>
      <c r="M1157" s="33">
        <v>26550.0</v>
      </c>
      <c r="N1157" s="34">
        <v>28390.2</v>
      </c>
      <c r="O1157" s="27" t="s">
        <v>76</v>
      </c>
      <c r="P1157" s="35" t="s">
        <v>89</v>
      </c>
      <c r="Q1157" s="35" t="s">
        <v>90</v>
      </c>
      <c r="R1157" s="36">
        <v>45215.0</v>
      </c>
      <c r="S1157" s="35" t="s">
        <v>86</v>
      </c>
      <c r="T1157" s="35">
        <v>0.0</v>
      </c>
      <c r="U1157" s="37" t="s">
        <v>67</v>
      </c>
      <c r="V1157" s="38">
        <v>1500000.0</v>
      </c>
      <c r="W1157" s="78">
        <v>2555.0</v>
      </c>
      <c r="X1157" s="27">
        <v>2021.0</v>
      </c>
      <c r="Y1157" s="79" t="s">
        <v>2641</v>
      </c>
      <c r="Z1157" s="79" t="s">
        <v>208</v>
      </c>
      <c r="AA1157" s="39">
        <v>2661576.0</v>
      </c>
      <c r="AB1157" s="27"/>
      <c r="AC1157" s="27">
        <f t="shared" si="926"/>
        <v>0</v>
      </c>
      <c r="AD1157" s="41">
        <f t="shared" si="942"/>
        <v>3982.5</v>
      </c>
      <c r="AE1157" s="42"/>
      <c r="AF1157" s="27"/>
      <c r="AG1157" s="43">
        <f t="shared" si="943"/>
        <v>6810.075</v>
      </c>
      <c r="AH1157" s="29"/>
      <c r="AI1157" s="29"/>
      <c r="AJ1157" s="29"/>
      <c r="AK1157" s="29"/>
      <c r="AL1157" s="27"/>
      <c r="AM1157" s="44"/>
      <c r="AN1157" s="47"/>
      <c r="AO1157" s="46"/>
      <c r="AP1157" s="47"/>
      <c r="AQ1157" s="43">
        <f t="shared" si="944"/>
        <v>7168.5</v>
      </c>
      <c r="AR1157" s="43">
        <f t="shared" si="448"/>
        <v>358.425</v>
      </c>
      <c r="AS1157" s="43">
        <f t="shared" si="449"/>
        <v>1254.4875</v>
      </c>
      <c r="AT1157" s="48">
        <f t="shared" si="753"/>
        <v>5555.5875</v>
      </c>
      <c r="AU1157" s="49">
        <f t="shared" si="921"/>
        <v>5555.5875</v>
      </c>
      <c r="AV1157" s="48"/>
      <c r="AW1157" s="34">
        <f t="shared" si="840"/>
        <v>24407.7</v>
      </c>
      <c r="AX1157" s="50">
        <f t="shared" si="811"/>
        <v>1573.0875</v>
      </c>
      <c r="AY1157" s="43"/>
      <c r="AZ1157" s="47"/>
      <c r="BA1157" s="48">
        <f t="shared" si="922"/>
        <v>5555.5875</v>
      </c>
      <c r="BB1157" s="27"/>
      <c r="BC1157" s="27"/>
      <c r="BD1157" s="51"/>
      <c r="BE1157" s="52"/>
      <c r="BF1157" s="27"/>
      <c r="BG1157" s="53">
        <v>0.0</v>
      </c>
      <c r="BH1157" s="53" t="str">
        <f>'[1]2023'!Q1411</f>
        <v>#REF!</v>
      </c>
      <c r="BI1157" s="27"/>
      <c r="BJ1157" s="27"/>
      <c r="BK1157" s="27" t="s">
        <v>76</v>
      </c>
      <c r="BL1157" s="27"/>
    </row>
    <row r="1158" ht="14.25" customHeight="1">
      <c r="A1158" s="26" t="s">
        <v>55</v>
      </c>
      <c r="B1158" s="26" t="s">
        <v>56</v>
      </c>
      <c r="C1158" s="26" t="s">
        <v>57</v>
      </c>
      <c r="D1158" s="26" t="s">
        <v>81</v>
      </c>
      <c r="E1158" s="27" t="s">
        <v>3780</v>
      </c>
      <c r="F1158" s="28" t="s">
        <v>3781</v>
      </c>
      <c r="G1158" s="29">
        <v>45215.0</v>
      </c>
      <c r="H1158" s="30">
        <v>45215.0</v>
      </c>
      <c r="I1158" s="30">
        <v>45580.0</v>
      </c>
      <c r="J1158" s="31" t="s">
        <v>3782</v>
      </c>
      <c r="K1158" s="26" t="s">
        <v>931</v>
      </c>
      <c r="L1158" s="89">
        <v>45239.0</v>
      </c>
      <c r="M1158" s="33">
        <v>25935.0</v>
      </c>
      <c r="N1158" s="34">
        <v>27735.85</v>
      </c>
      <c r="O1158" s="27" t="s">
        <v>76</v>
      </c>
      <c r="P1158" s="35" t="s">
        <v>430</v>
      </c>
      <c r="Q1158" s="35" t="s">
        <v>90</v>
      </c>
      <c r="R1158" s="36">
        <v>45215.0</v>
      </c>
      <c r="S1158" s="35" t="s">
        <v>86</v>
      </c>
      <c r="T1158" s="35">
        <v>0.0</v>
      </c>
      <c r="U1158" s="37" t="s">
        <v>67</v>
      </c>
      <c r="V1158" s="38">
        <v>1140000.0</v>
      </c>
      <c r="W1158" s="78">
        <v>11955.0</v>
      </c>
      <c r="X1158" s="27">
        <v>2022.0</v>
      </c>
      <c r="Y1158" s="39" t="s">
        <v>3783</v>
      </c>
      <c r="Z1158" s="79" t="s">
        <v>764</v>
      </c>
      <c r="AA1158" s="39"/>
      <c r="AB1158" s="27"/>
      <c r="AC1158" s="27">
        <f t="shared" si="926"/>
        <v>0</v>
      </c>
      <c r="AD1158" s="41">
        <f t="shared" si="942"/>
        <v>3890.25</v>
      </c>
      <c r="AE1158" s="42"/>
      <c r="AF1158" s="27"/>
      <c r="AG1158" s="43">
        <f t="shared" si="943"/>
        <v>6652.3275</v>
      </c>
      <c r="AH1158" s="212"/>
      <c r="AI1158" s="29"/>
      <c r="AJ1158" s="29"/>
      <c r="AK1158" s="29"/>
      <c r="AL1158" s="27"/>
      <c r="AM1158" s="44"/>
      <c r="AN1158" s="47"/>
      <c r="AO1158" s="46"/>
      <c r="AP1158" s="47"/>
      <c r="AQ1158" s="43">
        <f>IF(O1158="Paid",IF(U1158="Motor Plus",(M1158*27%),IF(U1158="Motor One",(M1158*22%),(IF(U1158="Golden",(M1158*25%),(IF(U1158="Classic",(M1158*15%),(IF(U1158="Wethaq",(M1158*28%),IF(U1158="Alwataniya",(M1158*21%))*0)))))))))</f>
        <v>7002.45</v>
      </c>
      <c r="AR1158" s="43">
        <f t="shared" si="448"/>
        <v>350.1225</v>
      </c>
      <c r="AS1158" s="43">
        <f t="shared" si="449"/>
        <v>1225.42875</v>
      </c>
      <c r="AT1158" s="48">
        <f t="shared" si="753"/>
        <v>5426.89875</v>
      </c>
      <c r="AU1158" s="49">
        <f t="shared" si="921"/>
        <v>5426.89875</v>
      </c>
      <c r="AV1158" s="48"/>
      <c r="AW1158" s="34">
        <f t="shared" si="840"/>
        <v>23845.6</v>
      </c>
      <c r="AX1158" s="50">
        <f t="shared" si="811"/>
        <v>1536.64875</v>
      </c>
      <c r="AY1158" s="43"/>
      <c r="AZ1158" s="47"/>
      <c r="BA1158" s="48">
        <f t="shared" si="922"/>
        <v>5426.89875</v>
      </c>
      <c r="BB1158" s="27"/>
      <c r="BC1158" s="27"/>
      <c r="BD1158" s="51"/>
      <c r="BE1158" s="52"/>
      <c r="BF1158" s="27"/>
      <c r="BG1158" s="53">
        <v>0.0</v>
      </c>
      <c r="BH1158" s="53" t="str">
        <f>'[1]2023'!Q1434</f>
        <v>#REF!</v>
      </c>
      <c r="BI1158" s="27"/>
      <c r="BJ1158" s="27"/>
      <c r="BK1158" s="27" t="s">
        <v>76</v>
      </c>
      <c r="BL1158" s="27"/>
    </row>
    <row r="1159" ht="14.25" customHeight="1">
      <c r="A1159" s="26" t="s">
        <v>111</v>
      </c>
      <c r="B1159" s="26" t="s">
        <v>56</v>
      </c>
      <c r="C1159" s="26" t="s">
        <v>57</v>
      </c>
      <c r="D1159" s="26" t="s">
        <v>71</v>
      </c>
      <c r="E1159" s="27" t="s">
        <v>3784</v>
      </c>
      <c r="F1159" s="28" t="s">
        <v>3785</v>
      </c>
      <c r="G1159" s="29">
        <v>45215.0</v>
      </c>
      <c r="H1159" s="30">
        <v>45215.0</v>
      </c>
      <c r="I1159" s="30">
        <v>45580.0</v>
      </c>
      <c r="J1159" s="31" t="s">
        <v>3786</v>
      </c>
      <c r="K1159" s="26" t="s">
        <v>931</v>
      </c>
      <c r="L1159" s="32" t="s">
        <v>1324</v>
      </c>
      <c r="M1159" s="33">
        <v>31526.0</v>
      </c>
      <c r="N1159" s="34">
        <v>33800.0</v>
      </c>
      <c r="O1159" s="27" t="s">
        <v>76</v>
      </c>
      <c r="P1159" s="35" t="s">
        <v>142</v>
      </c>
      <c r="Q1159" s="35" t="s">
        <v>108</v>
      </c>
      <c r="R1159" s="36">
        <v>45224.0</v>
      </c>
      <c r="S1159" s="35" t="s">
        <v>86</v>
      </c>
      <c r="T1159" s="35">
        <v>0.0</v>
      </c>
      <c r="U1159" s="37" t="s">
        <v>115</v>
      </c>
      <c r="V1159" s="38">
        <v>1300000.0</v>
      </c>
      <c r="W1159" s="78">
        <v>55349.0</v>
      </c>
      <c r="X1159" s="27">
        <v>2023.0</v>
      </c>
      <c r="Y1159" s="39" t="s">
        <v>2962</v>
      </c>
      <c r="Z1159" s="39"/>
      <c r="AA1159" s="39"/>
      <c r="AB1159" s="27"/>
      <c r="AC1159" s="27">
        <f t="shared" si="926"/>
        <v>0</v>
      </c>
      <c r="AD1159" s="41">
        <f t="shared" si="942"/>
        <v>4728.9</v>
      </c>
      <c r="AE1159" s="42">
        <v>650.0</v>
      </c>
      <c r="AF1159" s="78" t="s">
        <v>3439</v>
      </c>
      <c r="AG1159" s="43">
        <f>IF(O1159="Paid",IF(A1159="Alwataniya",(M1159*21%)-((M1159*21%)*5%),IF((A1159="GIG"),(M1159*25%)-((M1159*25%)*5%),IF((A1159="Allianz"),(M1159*27%)-((M1159*27%)*20%),0))),0)</f>
        <v>7487.425</v>
      </c>
      <c r="AH1159" s="213" t="s">
        <v>3486</v>
      </c>
      <c r="AI1159" s="214" t="s">
        <v>3168</v>
      </c>
      <c r="AJ1159" s="29"/>
      <c r="AK1159" s="213" t="s">
        <v>926</v>
      </c>
      <c r="AL1159" s="27"/>
      <c r="AM1159" s="44"/>
      <c r="AN1159" s="47"/>
      <c r="AO1159" s="46"/>
      <c r="AP1159" s="47"/>
      <c r="AQ1159" s="43">
        <f t="shared" ref="AQ1159:AQ1160" si="945">IF(U1159="Motor Plus",(M1159*27%),IF(U1159="Motor One",(M1159*22%),(IF(U1159="Golden",(M1159*25%),(IF(U1159="Classic",(M1159*15%),(IF(U1159="Wethaq",(M1159*28%),IF(U1159="Alwataniya",(M1159*21%))*0))))))))</f>
        <v>7881.5</v>
      </c>
      <c r="AR1159" s="43">
        <f t="shared" si="448"/>
        <v>394.075</v>
      </c>
      <c r="AS1159" s="43">
        <f t="shared" si="449"/>
        <v>1379.2625</v>
      </c>
      <c r="AT1159" s="48">
        <f t="shared" si="753"/>
        <v>6108.1625</v>
      </c>
      <c r="AU1159" s="49">
        <f t="shared" si="921"/>
        <v>6108.1625</v>
      </c>
      <c r="AV1159" s="48"/>
      <c r="AW1159" s="34">
        <f t="shared" si="840"/>
        <v>28421.1</v>
      </c>
      <c r="AX1159" s="50">
        <f t="shared" si="811"/>
        <v>729.2625</v>
      </c>
      <c r="AY1159" s="43"/>
      <c r="AZ1159" s="47"/>
      <c r="BA1159" s="48">
        <f t="shared" si="922"/>
        <v>6108.1625</v>
      </c>
      <c r="BB1159" s="27"/>
      <c r="BC1159" s="27"/>
      <c r="BD1159" s="51"/>
      <c r="BE1159" s="52"/>
      <c r="BF1159" s="27"/>
      <c r="BG1159" s="53">
        <v>0.0</v>
      </c>
      <c r="BH1159" s="53" t="str">
        <f>'[1]2023'!Q1473</f>
        <v>#REF!</v>
      </c>
      <c r="BI1159" s="27"/>
      <c r="BJ1159" s="27"/>
      <c r="BK1159" s="27" t="s">
        <v>76</v>
      </c>
      <c r="BL1159" s="27"/>
    </row>
    <row r="1160" ht="14.25" customHeight="1">
      <c r="A1160" s="26" t="s">
        <v>55</v>
      </c>
      <c r="B1160" s="26" t="s">
        <v>56</v>
      </c>
      <c r="C1160" s="26" t="s">
        <v>57</v>
      </c>
      <c r="D1160" s="26" t="s">
        <v>81</v>
      </c>
      <c r="E1160" s="27" t="s">
        <v>3787</v>
      </c>
      <c r="F1160" s="28" t="s">
        <v>3788</v>
      </c>
      <c r="G1160" s="29">
        <v>45215.0</v>
      </c>
      <c r="H1160" s="30">
        <v>45215.0</v>
      </c>
      <c r="I1160" s="30">
        <v>45580.0</v>
      </c>
      <c r="J1160" s="31" t="s">
        <v>3789</v>
      </c>
      <c r="K1160" s="26" t="s">
        <v>931</v>
      </c>
      <c r="L1160" s="192">
        <v>45270.0</v>
      </c>
      <c r="M1160" s="33">
        <v>99000.0</v>
      </c>
      <c r="N1160" s="34">
        <v>105477.0</v>
      </c>
      <c r="O1160" s="27" t="s">
        <v>76</v>
      </c>
      <c r="P1160" s="35" t="s">
        <v>162</v>
      </c>
      <c r="Q1160" s="35" t="s">
        <v>108</v>
      </c>
      <c r="R1160" s="36">
        <v>45215.0</v>
      </c>
      <c r="S1160" s="35" t="s">
        <v>86</v>
      </c>
      <c r="T1160" s="35">
        <v>0.0</v>
      </c>
      <c r="U1160" s="37" t="s">
        <v>67</v>
      </c>
      <c r="V1160" s="38">
        <v>4500000.0</v>
      </c>
      <c r="W1160" s="78">
        <v>337415.0</v>
      </c>
      <c r="X1160" s="27">
        <v>2022.0</v>
      </c>
      <c r="Y1160" s="79" t="s">
        <v>829</v>
      </c>
      <c r="Z1160" s="39"/>
      <c r="AA1160" s="39"/>
      <c r="AB1160" s="40">
        <v>0.05533</v>
      </c>
      <c r="AC1160" s="27">
        <f t="shared" si="926"/>
        <v>5477.67</v>
      </c>
      <c r="AD1160" s="41">
        <f t="shared" si="942"/>
        <v>9372.33</v>
      </c>
      <c r="AE1160" s="42"/>
      <c r="AF1160" s="27" t="s">
        <v>3296</v>
      </c>
      <c r="AG1160" s="43">
        <f t="shared" ref="AG1160:AG1162" si="946">IF(O1160="Paid",IF(A1160="Alwataniya",(M1160*21%)-((M1160*21%)*5%),IF((A1160="GIG"),(M1160*25%)-((M1160*25%)*5%),IF((A1160="Allianz"),(M1160*27%)-((M1160*27%)*5%),0))),0)</f>
        <v>25393.5</v>
      </c>
      <c r="AH1160" s="75"/>
      <c r="AI1160" s="29"/>
      <c r="AJ1160" s="29"/>
      <c r="AK1160" s="29"/>
      <c r="AL1160" s="27"/>
      <c r="AM1160" s="44"/>
      <c r="AN1160" s="47"/>
      <c r="AO1160" s="46"/>
      <c r="AP1160" s="47"/>
      <c r="AQ1160" s="43">
        <f t="shared" si="945"/>
        <v>26730</v>
      </c>
      <c r="AR1160" s="43">
        <f t="shared" si="448"/>
        <v>1336.5</v>
      </c>
      <c r="AS1160" s="43">
        <f t="shared" si="449"/>
        <v>4677.75</v>
      </c>
      <c r="AT1160" s="48">
        <f t="shared" si="753"/>
        <v>20715.75</v>
      </c>
      <c r="AU1160" s="49">
        <f t="shared" si="921"/>
        <v>15238.08</v>
      </c>
      <c r="AV1160" s="48"/>
      <c r="AW1160" s="34">
        <f t="shared" si="840"/>
        <v>90627</v>
      </c>
      <c r="AX1160" s="50">
        <f t="shared" si="811"/>
        <v>11343.42</v>
      </c>
      <c r="AY1160" s="43"/>
      <c r="AZ1160" s="47"/>
      <c r="BA1160" s="48">
        <f t="shared" si="922"/>
        <v>15238.08</v>
      </c>
      <c r="BB1160" s="27"/>
      <c r="BC1160" s="27"/>
      <c r="BD1160" s="51"/>
      <c r="BE1160" s="52"/>
      <c r="BF1160" s="27"/>
      <c r="BG1160" s="53">
        <v>0.0</v>
      </c>
      <c r="BH1160" s="53" t="str">
        <f>'[1]2023'!Q1500</f>
        <v>#REF!</v>
      </c>
      <c r="BI1160" s="27"/>
      <c r="BJ1160" s="27"/>
      <c r="BK1160" s="27" t="s">
        <v>76</v>
      </c>
      <c r="BL1160" s="27"/>
    </row>
    <row r="1161" ht="14.25" customHeight="1">
      <c r="A1161" s="26" t="s">
        <v>55</v>
      </c>
      <c r="B1161" s="26" t="s">
        <v>56</v>
      </c>
      <c r="C1161" s="26" t="s">
        <v>57</v>
      </c>
      <c r="D1161" s="26" t="s">
        <v>58</v>
      </c>
      <c r="E1161" s="27" t="s">
        <v>3790</v>
      </c>
      <c r="F1161" s="28" t="s">
        <v>3791</v>
      </c>
      <c r="G1161" s="182">
        <v>45215.0</v>
      </c>
      <c r="H1161" s="30">
        <v>45215.0</v>
      </c>
      <c r="I1161" s="30">
        <v>45580.0</v>
      </c>
      <c r="J1161" s="31">
        <v>0.0</v>
      </c>
      <c r="K1161" s="26" t="s">
        <v>931</v>
      </c>
      <c r="L1161" s="187">
        <v>45270.0</v>
      </c>
      <c r="M1161" s="33">
        <v>2003.94</v>
      </c>
      <c r="N1161" s="34">
        <v>2122.17</v>
      </c>
      <c r="O1161" s="27" t="s">
        <v>76</v>
      </c>
      <c r="P1161" s="35" t="s">
        <v>142</v>
      </c>
      <c r="Q1161" s="35" t="s">
        <v>90</v>
      </c>
      <c r="R1161" s="36">
        <v>45215.0</v>
      </c>
      <c r="S1161" s="35" t="s">
        <v>66</v>
      </c>
      <c r="T1161" s="35">
        <v>0.0</v>
      </c>
      <c r="U1161" s="37">
        <v>0.0</v>
      </c>
      <c r="V1161" s="38"/>
      <c r="W1161" s="78"/>
      <c r="X1161" s="27"/>
      <c r="Y1161" s="39"/>
      <c r="Z1161" s="39"/>
      <c r="AA1161" s="39"/>
      <c r="AB1161" s="27"/>
      <c r="AC1161" s="27">
        <f t="shared" si="926"/>
        <v>0</v>
      </c>
      <c r="AD1161" s="109">
        <f>M1161*15%</f>
        <v>300.591</v>
      </c>
      <c r="AE1161" s="42"/>
      <c r="AF1161" s="205">
        <v>45266.0</v>
      </c>
      <c r="AG1161" s="43">
        <f t="shared" si="946"/>
        <v>514.01061</v>
      </c>
      <c r="AH1161" s="29"/>
      <c r="AI1161" s="29"/>
      <c r="AJ1161" s="29"/>
      <c r="AK1161" s="29"/>
      <c r="AL1161" s="27"/>
      <c r="AM1161" s="44"/>
      <c r="AN1161" s="47"/>
      <c r="AO1161" s="46"/>
      <c r="AP1161" s="47"/>
      <c r="AQ1161" s="43">
        <f>IF(O1161="Paid",IF(U1161="Motor Plus",(M1161*27%),IF(U1161="Motor One",(M1161*22%),(IF(U1161="Golden",(M1161*25%),(IF(U1161="Classic",(M1161*15%),(IF(U1161="Wethaq",(M1161*28%),IF(U1161="Alwataniya",(M1161*21%))*0)))))))))</f>
        <v>0</v>
      </c>
      <c r="AR1161" s="43">
        <f t="shared" si="448"/>
        <v>0</v>
      </c>
      <c r="AS1161" s="43">
        <f t="shared" si="449"/>
        <v>0</v>
      </c>
      <c r="AT1161" s="48">
        <f t="shared" si="753"/>
        <v>0</v>
      </c>
      <c r="AU1161" s="49">
        <f t="shared" si="921"/>
        <v>0</v>
      </c>
      <c r="AV1161" s="48"/>
      <c r="AW1161" s="34">
        <f t="shared" si="840"/>
        <v>1821.579</v>
      </c>
      <c r="AX1161" s="50">
        <f t="shared" si="811"/>
        <v>213.41961</v>
      </c>
      <c r="AY1161" s="43"/>
      <c r="AZ1161" s="47"/>
      <c r="BA1161" s="48">
        <f t="shared" si="922"/>
        <v>0</v>
      </c>
      <c r="BB1161" s="27"/>
      <c r="BC1161" s="27"/>
      <c r="BD1161" s="51"/>
      <c r="BE1161" s="52"/>
      <c r="BF1161" s="27"/>
      <c r="BG1161" s="53">
        <v>0.0</v>
      </c>
      <c r="BH1161" s="53" t="str">
        <f>'[1]2023'!Q1522</f>
        <v>#REF!</v>
      </c>
      <c r="BI1161" s="27"/>
      <c r="BJ1161" s="27"/>
      <c r="BK1161" s="27" t="s">
        <v>76</v>
      </c>
      <c r="BL1161" s="27"/>
    </row>
    <row r="1162" ht="14.25" customHeight="1">
      <c r="A1162" s="26" t="s">
        <v>55</v>
      </c>
      <c r="B1162" s="26" t="s">
        <v>56</v>
      </c>
      <c r="C1162" s="26" t="s">
        <v>57</v>
      </c>
      <c r="D1162" s="26" t="s">
        <v>81</v>
      </c>
      <c r="E1162" s="27" t="s">
        <v>3792</v>
      </c>
      <c r="F1162" s="28" t="s">
        <v>3793</v>
      </c>
      <c r="G1162" s="29">
        <v>45216.0</v>
      </c>
      <c r="H1162" s="30">
        <v>45216.0</v>
      </c>
      <c r="I1162" s="30">
        <v>45581.0</v>
      </c>
      <c r="J1162" s="31" t="s">
        <v>3794</v>
      </c>
      <c r="K1162" s="26" t="s">
        <v>931</v>
      </c>
      <c r="L1162" s="32" t="s">
        <v>3168</v>
      </c>
      <c r="M1162" s="33">
        <v>50445.0</v>
      </c>
      <c r="N1162" s="34">
        <v>53814.49</v>
      </c>
      <c r="O1162" s="27" t="s">
        <v>76</v>
      </c>
      <c r="P1162" s="35" t="s">
        <v>430</v>
      </c>
      <c r="Q1162" s="35" t="s">
        <v>65</v>
      </c>
      <c r="R1162" s="36">
        <v>45216.0</v>
      </c>
      <c r="S1162" s="35" t="s">
        <v>86</v>
      </c>
      <c r="T1162" s="35">
        <v>0.0</v>
      </c>
      <c r="U1162" s="37" t="s">
        <v>67</v>
      </c>
      <c r="V1162" s="38"/>
      <c r="W1162" s="38"/>
      <c r="X1162" s="27"/>
      <c r="Y1162" s="39"/>
      <c r="Z1162" s="39"/>
      <c r="AA1162" s="39"/>
      <c r="AB1162" s="27"/>
      <c r="AC1162" s="27">
        <f t="shared" si="926"/>
        <v>0</v>
      </c>
      <c r="AD1162" s="41"/>
      <c r="AE1162" s="42"/>
      <c r="AF1162" s="27"/>
      <c r="AG1162" s="43">
        <f t="shared" si="946"/>
        <v>12939.1425</v>
      </c>
      <c r="AH1162" s="29"/>
      <c r="AI1162" s="29"/>
      <c r="AJ1162" s="29"/>
      <c r="AK1162" s="29"/>
      <c r="AL1162" s="27"/>
      <c r="AM1162" s="44"/>
      <c r="AN1162" s="47"/>
      <c r="AO1162" s="46"/>
      <c r="AP1162" s="47"/>
      <c r="AQ1162" s="43">
        <f t="shared" ref="AQ1162:AQ1165" si="947">IF(U1162="Motor Plus",(M1162*27%),IF(U1162="Motor One",(M1162*22%),(IF(U1162="Golden",(M1162*25%),(IF(U1162="Classic",(M1162*15%),(IF(U1162="Wethaq",(M1162*28%),IF(U1162="Alwataniya",(M1162*21%))*0))))))))</f>
        <v>13620.15</v>
      </c>
      <c r="AR1162" s="43">
        <f t="shared" si="448"/>
        <v>681.0075</v>
      </c>
      <c r="AS1162" s="43">
        <f t="shared" si="449"/>
        <v>2383.52625</v>
      </c>
      <c r="AT1162" s="48">
        <f t="shared" si="753"/>
        <v>10555.61625</v>
      </c>
      <c r="AU1162" s="49">
        <f t="shared" si="921"/>
        <v>10555.61625</v>
      </c>
      <c r="AV1162" s="48"/>
      <c r="AW1162" s="34">
        <f t="shared" si="840"/>
        <v>53814.49</v>
      </c>
      <c r="AX1162" s="50">
        <f t="shared" si="811"/>
        <v>10555.61625</v>
      </c>
      <c r="AY1162" s="43"/>
      <c r="AZ1162" s="47"/>
      <c r="BA1162" s="48">
        <f t="shared" si="922"/>
        <v>10555.61625</v>
      </c>
      <c r="BB1162" s="27"/>
      <c r="BC1162" s="27"/>
      <c r="BD1162" s="51"/>
      <c r="BE1162" s="52"/>
      <c r="BF1162" s="27"/>
      <c r="BG1162" s="53">
        <v>0.0</v>
      </c>
      <c r="BH1162" s="53" t="str">
        <f>'[1]2023'!Q1244</f>
        <v>#REF!</v>
      </c>
      <c r="BI1162" s="27"/>
      <c r="BJ1162" s="27"/>
      <c r="BK1162" s="27" t="s">
        <v>76</v>
      </c>
      <c r="BL1162" s="27"/>
    </row>
    <row r="1163" ht="14.25" customHeight="1">
      <c r="A1163" s="26" t="s">
        <v>111</v>
      </c>
      <c r="B1163" s="26" t="s">
        <v>56</v>
      </c>
      <c r="C1163" s="26" t="s">
        <v>57</v>
      </c>
      <c r="D1163" s="26" t="s">
        <v>71</v>
      </c>
      <c r="E1163" s="27" t="s">
        <v>3795</v>
      </c>
      <c r="F1163" s="28" t="s">
        <v>3796</v>
      </c>
      <c r="G1163" s="29">
        <v>45216.0</v>
      </c>
      <c r="H1163" s="30">
        <v>45216.0</v>
      </c>
      <c r="I1163" s="30">
        <v>45581.0</v>
      </c>
      <c r="J1163" s="31" t="s">
        <v>3797</v>
      </c>
      <c r="K1163" s="26" t="s">
        <v>931</v>
      </c>
      <c r="L1163" s="32" t="s">
        <v>2981</v>
      </c>
      <c r="M1163" s="33">
        <v>17597.93</v>
      </c>
      <c r="N1163" s="34">
        <v>18980.0</v>
      </c>
      <c r="O1163" s="27" t="s">
        <v>76</v>
      </c>
      <c r="P1163" s="35" t="s">
        <v>430</v>
      </c>
      <c r="Q1163" s="35" t="s">
        <v>114</v>
      </c>
      <c r="R1163" s="36">
        <v>45225.0</v>
      </c>
      <c r="S1163" s="35" t="s">
        <v>78</v>
      </c>
      <c r="T1163" s="35">
        <v>0.0</v>
      </c>
      <c r="U1163" s="37" t="s">
        <v>115</v>
      </c>
      <c r="V1163" s="38">
        <v>730000.0</v>
      </c>
      <c r="W1163" s="78">
        <v>607429.0</v>
      </c>
      <c r="X1163" s="27">
        <v>2023.0</v>
      </c>
      <c r="Y1163" s="79" t="s">
        <v>3798</v>
      </c>
      <c r="Z1163" s="79" t="s">
        <v>865</v>
      </c>
      <c r="AA1163" s="39"/>
      <c r="AB1163" s="27"/>
      <c r="AC1163" s="27">
        <f t="shared" si="926"/>
        <v>0</v>
      </c>
      <c r="AD1163" s="41">
        <f t="shared" ref="AD1163:AD1164" si="948">IF(AND(S1163="0",O1163="Paid"),(M1163*15%)-AC1163,0)</f>
        <v>0</v>
      </c>
      <c r="AE1163" s="42"/>
      <c r="AF1163" s="27"/>
      <c r="AG1163" s="43">
        <f>IF(O1163="Paid",IF(A1163="Alwataniya",(M1163*21%)-((M1163*21%)*5%),IF((A1163="GIG"),(M1163*25%)-((M1163*25%)*5%),IF((A1163="Allianz"),(M1163*27%)-((M1163*27%)*20%),0))),0)</f>
        <v>4179.508375</v>
      </c>
      <c r="AH1163" s="29" t="s">
        <v>2981</v>
      </c>
      <c r="AI1163" s="29">
        <v>45088.0</v>
      </c>
      <c r="AJ1163" s="29"/>
      <c r="AK1163" s="29">
        <v>44968.0</v>
      </c>
      <c r="AL1163" s="27"/>
      <c r="AM1163" s="44"/>
      <c r="AN1163" s="47"/>
      <c r="AO1163" s="46"/>
      <c r="AP1163" s="47"/>
      <c r="AQ1163" s="43">
        <f t="shared" si="947"/>
        <v>4399.4825</v>
      </c>
      <c r="AR1163" s="43">
        <f t="shared" si="448"/>
        <v>219.974125</v>
      </c>
      <c r="AS1163" s="43">
        <f t="shared" si="449"/>
        <v>769.9094375</v>
      </c>
      <c r="AT1163" s="48">
        <f t="shared" si="753"/>
        <v>3409.598938</v>
      </c>
      <c r="AU1163" s="49">
        <f t="shared" si="921"/>
        <v>3409.598938</v>
      </c>
      <c r="AV1163" s="48"/>
      <c r="AW1163" s="34">
        <f t="shared" si="840"/>
        <v>18980</v>
      </c>
      <c r="AX1163" s="50">
        <f t="shared" si="811"/>
        <v>3409.598938</v>
      </c>
      <c r="AY1163" s="43"/>
      <c r="AZ1163" s="47"/>
      <c r="BA1163" s="48">
        <f t="shared" si="922"/>
        <v>3409.598938</v>
      </c>
      <c r="BB1163" s="27"/>
      <c r="BC1163" s="27"/>
      <c r="BD1163" s="51"/>
      <c r="BE1163" s="52"/>
      <c r="BF1163" s="27"/>
      <c r="BG1163" s="58" t="s">
        <v>3799</v>
      </c>
      <c r="BH1163" s="53" t="str">
        <f>'[1]2023'!Q1385</f>
        <v>#REF!</v>
      </c>
      <c r="BI1163" s="27"/>
      <c r="BJ1163" s="27"/>
      <c r="BK1163" s="27" t="s">
        <v>76</v>
      </c>
      <c r="BL1163" s="27"/>
    </row>
    <row r="1164" ht="14.25" customHeight="1">
      <c r="A1164" s="26" t="s">
        <v>55</v>
      </c>
      <c r="B1164" s="26" t="s">
        <v>56</v>
      </c>
      <c r="C1164" s="26" t="s">
        <v>57</v>
      </c>
      <c r="D1164" s="26" t="s">
        <v>81</v>
      </c>
      <c r="E1164" s="27" t="s">
        <v>3800</v>
      </c>
      <c r="F1164" s="28" t="s">
        <v>3801</v>
      </c>
      <c r="G1164" s="29">
        <v>45216.0</v>
      </c>
      <c r="H1164" s="30">
        <v>45216.0</v>
      </c>
      <c r="I1164" s="30">
        <v>45581.0</v>
      </c>
      <c r="J1164" s="31" t="s">
        <v>3802</v>
      </c>
      <c r="K1164" s="26" t="s">
        <v>931</v>
      </c>
      <c r="L1164" s="69">
        <v>45148.0</v>
      </c>
      <c r="M1164" s="33">
        <v>25935.0</v>
      </c>
      <c r="N1164" s="34">
        <v>27735.85</v>
      </c>
      <c r="O1164" s="27" t="s">
        <v>76</v>
      </c>
      <c r="P1164" s="35" t="s">
        <v>122</v>
      </c>
      <c r="Q1164" s="35" t="s">
        <v>90</v>
      </c>
      <c r="R1164" s="36">
        <v>45216.0</v>
      </c>
      <c r="S1164" s="35" t="s">
        <v>86</v>
      </c>
      <c r="T1164" s="35">
        <v>0.0</v>
      </c>
      <c r="U1164" s="37" t="s">
        <v>67</v>
      </c>
      <c r="V1164" s="38">
        <v>1140000.0</v>
      </c>
      <c r="W1164" s="78">
        <v>12081.0</v>
      </c>
      <c r="X1164" s="27">
        <v>2022.0</v>
      </c>
      <c r="Y1164" s="79" t="s">
        <v>764</v>
      </c>
      <c r="Z1164" s="39" t="s">
        <v>3783</v>
      </c>
      <c r="AA1164" s="39"/>
      <c r="AB1164" s="27"/>
      <c r="AC1164" s="27">
        <f t="shared" si="926"/>
        <v>0</v>
      </c>
      <c r="AD1164" s="41">
        <f t="shared" si="948"/>
        <v>3890.25</v>
      </c>
      <c r="AE1164" s="42"/>
      <c r="AF1164" s="27"/>
      <c r="AG1164" s="43">
        <f t="shared" ref="AG1164:AG1168" si="949">IF(O1164="Paid",IF(A1164="Alwataniya",(M1164*21%)-((M1164*21%)*5%),IF((A1164="GIG"),(M1164*25%)-((M1164*25%)*5%),IF((A1164="Allianz"),(M1164*27%)-((M1164*27%)*5%),0))),0)</f>
        <v>6652.3275</v>
      </c>
      <c r="AH1164" s="29"/>
      <c r="AI1164" s="29"/>
      <c r="AJ1164" s="29"/>
      <c r="AK1164" s="29"/>
      <c r="AL1164" s="27"/>
      <c r="AM1164" s="27"/>
      <c r="AN1164" s="47"/>
      <c r="AO1164" s="46"/>
      <c r="AP1164" s="47"/>
      <c r="AQ1164" s="43">
        <f t="shared" si="947"/>
        <v>7002.45</v>
      </c>
      <c r="AR1164" s="43">
        <f t="shared" si="448"/>
        <v>350.1225</v>
      </c>
      <c r="AS1164" s="43">
        <f t="shared" si="449"/>
        <v>1225.42875</v>
      </c>
      <c r="AT1164" s="48">
        <f t="shared" si="753"/>
        <v>5426.89875</v>
      </c>
      <c r="AU1164" s="49">
        <f t="shared" si="921"/>
        <v>5426.89875</v>
      </c>
      <c r="AV1164" s="48"/>
      <c r="AW1164" s="34">
        <f t="shared" si="840"/>
        <v>23845.6</v>
      </c>
      <c r="AX1164" s="50">
        <f t="shared" si="811"/>
        <v>1536.64875</v>
      </c>
      <c r="AY1164" s="43"/>
      <c r="AZ1164" s="47"/>
      <c r="BA1164" s="48">
        <f t="shared" si="922"/>
        <v>5426.89875</v>
      </c>
      <c r="BB1164" s="27"/>
      <c r="BC1164" s="27"/>
      <c r="BD1164" s="51"/>
      <c r="BE1164" s="52"/>
      <c r="BF1164" s="27"/>
      <c r="BG1164" s="53">
        <v>0.0</v>
      </c>
      <c r="BH1164" s="53" t="str">
        <f>'[1]2023'!Q1394</f>
        <v>#REF!</v>
      </c>
      <c r="BI1164" s="27"/>
      <c r="BJ1164" s="27"/>
      <c r="BK1164" s="27" t="s">
        <v>76</v>
      </c>
      <c r="BL1164" s="27"/>
    </row>
    <row r="1165" ht="14.25" customHeight="1">
      <c r="A1165" s="26" t="s">
        <v>55</v>
      </c>
      <c r="B1165" s="26" t="s">
        <v>56</v>
      </c>
      <c r="C1165" s="26" t="s">
        <v>57</v>
      </c>
      <c r="D1165" s="26" t="s">
        <v>81</v>
      </c>
      <c r="E1165" s="27" t="s">
        <v>3803</v>
      </c>
      <c r="F1165" s="28" t="s">
        <v>3804</v>
      </c>
      <c r="G1165" s="29">
        <v>45216.0</v>
      </c>
      <c r="H1165" s="30">
        <v>45216.0</v>
      </c>
      <c r="I1165" s="30">
        <v>45581.0</v>
      </c>
      <c r="J1165" s="31" t="s">
        <v>3805</v>
      </c>
      <c r="K1165" s="26" t="s">
        <v>931</v>
      </c>
      <c r="L1165" s="32" t="s">
        <v>3631</v>
      </c>
      <c r="M1165" s="33">
        <v>33187.5</v>
      </c>
      <c r="N1165" s="34">
        <v>35452.51</v>
      </c>
      <c r="O1165" s="27" t="s">
        <v>76</v>
      </c>
      <c r="P1165" s="35" t="s">
        <v>122</v>
      </c>
      <c r="Q1165" s="35" t="s">
        <v>65</v>
      </c>
      <c r="R1165" s="36">
        <v>45216.0</v>
      </c>
      <c r="S1165" s="35" t="s">
        <v>86</v>
      </c>
      <c r="T1165" s="35">
        <v>0.0</v>
      </c>
      <c r="U1165" s="37" t="s">
        <v>67</v>
      </c>
      <c r="V1165" s="38">
        <v>1500000.0</v>
      </c>
      <c r="W1165" s="78" t="s">
        <v>3806</v>
      </c>
      <c r="X1165" s="27">
        <v>2020.0</v>
      </c>
      <c r="Y1165" s="79" t="s">
        <v>208</v>
      </c>
      <c r="Z1165" s="39"/>
      <c r="AA1165" s="39"/>
      <c r="AB1165" s="27"/>
      <c r="AC1165" s="27">
        <f t="shared" si="926"/>
        <v>0</v>
      </c>
      <c r="AD1165" s="41"/>
      <c r="AE1165" s="42"/>
      <c r="AF1165" s="27"/>
      <c r="AG1165" s="43">
        <f t="shared" si="949"/>
        <v>8512.59375</v>
      </c>
      <c r="AH1165" s="29"/>
      <c r="AI1165" s="29"/>
      <c r="AJ1165" s="29"/>
      <c r="AK1165" s="29"/>
      <c r="AL1165" s="27"/>
      <c r="AM1165" s="27"/>
      <c r="AN1165" s="47"/>
      <c r="AO1165" s="46"/>
      <c r="AP1165" s="47"/>
      <c r="AQ1165" s="43">
        <f t="shared" si="947"/>
        <v>8960.625</v>
      </c>
      <c r="AR1165" s="43">
        <f t="shared" si="448"/>
        <v>448.03125</v>
      </c>
      <c r="AS1165" s="43">
        <f t="shared" si="449"/>
        <v>1568.109375</v>
      </c>
      <c r="AT1165" s="48">
        <f t="shared" si="753"/>
        <v>6944.484375</v>
      </c>
      <c r="AU1165" s="49">
        <f t="shared" si="921"/>
        <v>6944.484375</v>
      </c>
      <c r="AV1165" s="48"/>
      <c r="AW1165" s="34">
        <f t="shared" si="840"/>
        <v>35452.51</v>
      </c>
      <c r="AX1165" s="50">
        <f t="shared" si="811"/>
        <v>6944.484375</v>
      </c>
      <c r="AY1165" s="43"/>
      <c r="AZ1165" s="47"/>
      <c r="BA1165" s="48">
        <f t="shared" si="922"/>
        <v>6944.484375</v>
      </c>
      <c r="BB1165" s="27"/>
      <c r="BC1165" s="27"/>
      <c r="BD1165" s="51"/>
      <c r="BE1165" s="52"/>
      <c r="BF1165" s="27"/>
      <c r="BG1165" s="53">
        <v>0.0</v>
      </c>
      <c r="BH1165" s="53" t="str">
        <f>'[1]2023'!Q1440</f>
        <v>#REF!</v>
      </c>
      <c r="BI1165" s="27"/>
      <c r="BJ1165" s="27"/>
      <c r="BK1165" s="27" t="s">
        <v>76</v>
      </c>
      <c r="BL1165" s="27"/>
    </row>
    <row r="1166" ht="14.25" customHeight="1">
      <c r="A1166" s="26" t="s">
        <v>55</v>
      </c>
      <c r="B1166" s="26" t="s">
        <v>56</v>
      </c>
      <c r="C1166" s="26" t="s">
        <v>57</v>
      </c>
      <c r="D1166" s="26" t="s">
        <v>81</v>
      </c>
      <c r="E1166" s="27" t="s">
        <v>3807</v>
      </c>
      <c r="F1166" s="28" t="s">
        <v>3808</v>
      </c>
      <c r="G1166" s="29">
        <v>45216.0</v>
      </c>
      <c r="H1166" s="30">
        <v>45216.0</v>
      </c>
      <c r="I1166" s="30">
        <v>45581.0</v>
      </c>
      <c r="J1166" s="31" t="s">
        <v>3809</v>
      </c>
      <c r="K1166" s="26" t="s">
        <v>931</v>
      </c>
      <c r="L1166" s="89">
        <v>45207.0</v>
      </c>
      <c r="M1166" s="33">
        <v>24780.0</v>
      </c>
      <c r="N1166" s="34">
        <v>26506.92</v>
      </c>
      <c r="O1166" s="27" t="s">
        <v>76</v>
      </c>
      <c r="P1166" s="35" t="s">
        <v>430</v>
      </c>
      <c r="Q1166" s="35" t="s">
        <v>90</v>
      </c>
      <c r="R1166" s="36">
        <v>45216.0</v>
      </c>
      <c r="S1166" s="35" t="s">
        <v>86</v>
      </c>
      <c r="T1166" s="35">
        <v>0.0</v>
      </c>
      <c r="U1166" s="37" t="s">
        <v>67</v>
      </c>
      <c r="V1166" s="38">
        <v>1200000.0</v>
      </c>
      <c r="W1166" s="78">
        <v>520224.0</v>
      </c>
      <c r="X1166" s="27">
        <v>2022.0</v>
      </c>
      <c r="Y1166" s="39"/>
      <c r="Z1166" s="79" t="s">
        <v>232</v>
      </c>
      <c r="AA1166" s="39"/>
      <c r="AB1166" s="27"/>
      <c r="AC1166" s="27">
        <f t="shared" si="926"/>
        <v>0</v>
      </c>
      <c r="AD1166" s="41">
        <f t="shared" ref="AD1166:AD1169" si="950">IF(AND(S1166="0",O1166="Paid"),(M1166*15%)-AC1166,0)</f>
        <v>3717</v>
      </c>
      <c r="AE1166" s="42"/>
      <c r="AF1166" s="27"/>
      <c r="AG1166" s="43">
        <f t="shared" si="949"/>
        <v>6356.07</v>
      </c>
      <c r="AH1166" s="29"/>
      <c r="AI1166" s="29"/>
      <c r="AJ1166" s="29"/>
      <c r="AK1166" s="29"/>
      <c r="AL1166" s="27"/>
      <c r="AM1166" s="44"/>
      <c r="AN1166" s="47"/>
      <c r="AO1166" s="46"/>
      <c r="AP1166" s="47"/>
      <c r="AQ1166" s="43">
        <f t="shared" ref="AQ1166:AQ1168" si="951">IF(O1166="Paid",IF(U1166="Motor Plus",(M1166*27%),IF(U1166="Motor One",(M1166*22%),(IF(U1166="Golden",(M1166*25%),(IF(U1166="Classic",(M1166*15%),(IF(U1166="Wethaq",(M1166*28%),IF(U1166="Alwataniya",(M1166*21%))*0)))))))))</f>
        <v>6690.6</v>
      </c>
      <c r="AR1166" s="43">
        <f t="shared" si="448"/>
        <v>334.53</v>
      </c>
      <c r="AS1166" s="43">
        <f t="shared" si="449"/>
        <v>1170.855</v>
      </c>
      <c r="AT1166" s="48">
        <f t="shared" si="753"/>
        <v>5185.215</v>
      </c>
      <c r="AU1166" s="49">
        <f t="shared" si="921"/>
        <v>5185.215</v>
      </c>
      <c r="AV1166" s="48"/>
      <c r="AW1166" s="34">
        <f t="shared" si="840"/>
        <v>22789.92</v>
      </c>
      <c r="AX1166" s="50">
        <f t="shared" si="811"/>
        <v>1468.215</v>
      </c>
      <c r="AY1166" s="43"/>
      <c r="AZ1166" s="47"/>
      <c r="BA1166" s="48">
        <f t="shared" si="922"/>
        <v>5185.215</v>
      </c>
      <c r="BB1166" s="27"/>
      <c r="BC1166" s="27"/>
      <c r="BD1166" s="51"/>
      <c r="BE1166" s="52"/>
      <c r="BF1166" s="27"/>
      <c r="BG1166" s="58" t="s">
        <v>562</v>
      </c>
      <c r="BH1166" s="53" t="str">
        <f>'[1]2023'!Q1445</f>
        <v>#REF!</v>
      </c>
      <c r="BI1166" s="27"/>
      <c r="BJ1166" s="27"/>
      <c r="BK1166" s="27" t="s">
        <v>76</v>
      </c>
      <c r="BL1166" s="27"/>
    </row>
    <row r="1167" ht="14.25" customHeight="1">
      <c r="A1167" s="26" t="s">
        <v>55</v>
      </c>
      <c r="B1167" s="26" t="s">
        <v>56</v>
      </c>
      <c r="C1167" s="26" t="s">
        <v>57</v>
      </c>
      <c r="D1167" s="26" t="s">
        <v>81</v>
      </c>
      <c r="E1167" s="27" t="s">
        <v>3810</v>
      </c>
      <c r="F1167" s="28" t="s">
        <v>3811</v>
      </c>
      <c r="G1167" s="29">
        <v>45216.0</v>
      </c>
      <c r="H1167" s="30">
        <v>45216.0</v>
      </c>
      <c r="I1167" s="30">
        <v>45581.0</v>
      </c>
      <c r="J1167" s="31" t="s">
        <v>3812</v>
      </c>
      <c r="K1167" s="26" t="s">
        <v>931</v>
      </c>
      <c r="L1167" s="89">
        <v>45245.0</v>
      </c>
      <c r="M1167" s="33">
        <v>25935.0</v>
      </c>
      <c r="N1167" s="34">
        <v>27735.85</v>
      </c>
      <c r="O1167" s="27" t="s">
        <v>76</v>
      </c>
      <c r="P1167" s="35" t="s">
        <v>122</v>
      </c>
      <c r="Q1167" s="35" t="s">
        <v>90</v>
      </c>
      <c r="R1167" s="36">
        <v>45216.0</v>
      </c>
      <c r="S1167" s="35" t="s">
        <v>86</v>
      </c>
      <c r="T1167" s="35">
        <v>0.0</v>
      </c>
      <c r="U1167" s="37" t="s">
        <v>67</v>
      </c>
      <c r="V1167" s="38">
        <v>1140000.0</v>
      </c>
      <c r="W1167" s="78">
        <v>12038.0</v>
      </c>
      <c r="X1167" s="27">
        <v>2022.0</v>
      </c>
      <c r="Y1167" s="79" t="s">
        <v>764</v>
      </c>
      <c r="Z1167" s="39" t="s">
        <v>3783</v>
      </c>
      <c r="AA1167" s="39"/>
      <c r="AB1167" s="27"/>
      <c r="AC1167" s="27">
        <f t="shared" si="926"/>
        <v>0</v>
      </c>
      <c r="AD1167" s="41">
        <f t="shared" si="950"/>
        <v>3890.25</v>
      </c>
      <c r="AE1167" s="42"/>
      <c r="AF1167" s="27"/>
      <c r="AG1167" s="43">
        <f t="shared" si="949"/>
        <v>6652.3275</v>
      </c>
      <c r="AH1167" s="29"/>
      <c r="AI1167" s="29"/>
      <c r="AJ1167" s="29"/>
      <c r="AK1167" s="29"/>
      <c r="AL1167" s="27"/>
      <c r="AM1167" s="44"/>
      <c r="AN1167" s="47"/>
      <c r="AO1167" s="46"/>
      <c r="AP1167" s="47"/>
      <c r="AQ1167" s="43">
        <f t="shared" si="951"/>
        <v>7002.45</v>
      </c>
      <c r="AR1167" s="43">
        <f t="shared" si="448"/>
        <v>350.1225</v>
      </c>
      <c r="AS1167" s="43">
        <f t="shared" si="449"/>
        <v>1225.42875</v>
      </c>
      <c r="AT1167" s="48">
        <f t="shared" si="753"/>
        <v>5426.89875</v>
      </c>
      <c r="AU1167" s="49">
        <f t="shared" si="921"/>
        <v>5426.89875</v>
      </c>
      <c r="AV1167" s="48"/>
      <c r="AW1167" s="34">
        <f t="shared" si="840"/>
        <v>23845.6</v>
      </c>
      <c r="AX1167" s="50">
        <f t="shared" si="811"/>
        <v>1536.64875</v>
      </c>
      <c r="AY1167" s="43"/>
      <c r="AZ1167" s="47"/>
      <c r="BA1167" s="48">
        <f t="shared" si="922"/>
        <v>5426.89875</v>
      </c>
      <c r="BB1167" s="27"/>
      <c r="BC1167" s="27"/>
      <c r="BD1167" s="51"/>
      <c r="BE1167" s="52"/>
      <c r="BF1167" s="27"/>
      <c r="BG1167" s="58" t="s">
        <v>3813</v>
      </c>
      <c r="BH1167" s="53" t="str">
        <f>'[1]2023'!Q1453</f>
        <v>#REF!</v>
      </c>
      <c r="BI1167" s="27"/>
      <c r="BJ1167" s="27"/>
      <c r="BK1167" s="27" t="s">
        <v>76</v>
      </c>
      <c r="BL1167" s="27"/>
    </row>
    <row r="1168" ht="14.25" customHeight="1">
      <c r="A1168" s="26" t="s">
        <v>55</v>
      </c>
      <c r="B1168" s="26" t="s">
        <v>56</v>
      </c>
      <c r="C1168" s="26" t="s">
        <v>57</v>
      </c>
      <c r="D1168" s="26" t="s">
        <v>81</v>
      </c>
      <c r="E1168" s="27" t="s">
        <v>3814</v>
      </c>
      <c r="F1168" s="28" t="s">
        <v>3815</v>
      </c>
      <c r="G1168" s="29">
        <v>45216.0</v>
      </c>
      <c r="H1168" s="30">
        <v>45216.0</v>
      </c>
      <c r="I1168" s="30">
        <v>45581.0</v>
      </c>
      <c r="J1168" s="31" t="s">
        <v>3530</v>
      </c>
      <c r="K1168" s="26" t="s">
        <v>931</v>
      </c>
      <c r="L1168" s="89">
        <v>45210.0</v>
      </c>
      <c r="M1168" s="33">
        <v>250040.0</v>
      </c>
      <c r="N1168" s="34">
        <v>266183.56</v>
      </c>
      <c r="O1168" s="27" t="s">
        <v>76</v>
      </c>
      <c r="P1168" s="35" t="s">
        <v>430</v>
      </c>
      <c r="Q1168" s="35" t="s">
        <v>65</v>
      </c>
      <c r="R1168" s="36">
        <v>45216.0</v>
      </c>
      <c r="S1168" s="35" t="s">
        <v>86</v>
      </c>
      <c r="T1168" s="35">
        <v>0.0</v>
      </c>
      <c r="U1168" s="37" t="s">
        <v>157</v>
      </c>
      <c r="V1168" s="38">
        <v>1.0E7</v>
      </c>
      <c r="W1168" s="78" t="s">
        <v>3816</v>
      </c>
      <c r="X1168" s="27">
        <v>2021.0</v>
      </c>
      <c r="Y1168" s="79" t="s">
        <v>3817</v>
      </c>
      <c r="Z1168" s="39"/>
      <c r="AA1168" s="39"/>
      <c r="AB1168" s="27"/>
      <c r="AC1168" s="27">
        <f t="shared" si="926"/>
        <v>0</v>
      </c>
      <c r="AD1168" s="41">
        <f t="shared" si="950"/>
        <v>37506</v>
      </c>
      <c r="AE1168" s="42"/>
      <c r="AF1168" s="27"/>
      <c r="AG1168" s="43">
        <f t="shared" si="949"/>
        <v>64135.26</v>
      </c>
      <c r="AH1168" s="29"/>
      <c r="AI1168" s="29"/>
      <c r="AJ1168" s="29"/>
      <c r="AK1168" s="29"/>
      <c r="AL1168" s="27"/>
      <c r="AM1168" s="44"/>
      <c r="AN1168" s="47"/>
      <c r="AO1168" s="46"/>
      <c r="AP1168" s="47"/>
      <c r="AQ1168" s="43">
        <f t="shared" si="951"/>
        <v>55008.8</v>
      </c>
      <c r="AR1168" s="43">
        <f t="shared" si="448"/>
        <v>2750.44</v>
      </c>
      <c r="AS1168" s="43">
        <f t="shared" si="449"/>
        <v>9626.54</v>
      </c>
      <c r="AT1168" s="48">
        <f t="shared" si="753"/>
        <v>42631.82</v>
      </c>
      <c r="AU1168" s="49">
        <f t="shared" si="921"/>
        <v>42631.82</v>
      </c>
      <c r="AV1168" s="48"/>
      <c r="AW1168" s="34">
        <f t="shared" si="840"/>
        <v>228677.56</v>
      </c>
      <c r="AX1168" s="50">
        <f t="shared" si="811"/>
        <v>17002.72</v>
      </c>
      <c r="AY1168" s="43"/>
      <c r="AZ1168" s="47"/>
      <c r="BA1168" s="48">
        <f t="shared" si="922"/>
        <v>42631.82</v>
      </c>
      <c r="BB1168" s="27"/>
      <c r="BC1168" s="27"/>
      <c r="BD1168" s="51"/>
      <c r="BE1168" s="52"/>
      <c r="BF1168" s="27"/>
      <c r="BG1168" s="53">
        <v>0.0</v>
      </c>
      <c r="BH1168" s="53" t="str">
        <f>'[1]2023'!Q1455</f>
        <v>#REF!</v>
      </c>
      <c r="BI1168" s="27"/>
      <c r="BJ1168" s="27"/>
      <c r="BK1168" s="27" t="s">
        <v>76</v>
      </c>
      <c r="BL1168" s="27"/>
    </row>
    <row r="1169" ht="14.25" customHeight="1">
      <c r="A1169" s="26" t="s">
        <v>68</v>
      </c>
      <c r="B1169" s="26" t="s">
        <v>56</v>
      </c>
      <c r="C1169" s="26" t="s">
        <v>57</v>
      </c>
      <c r="D1169" s="26" t="s">
        <v>71</v>
      </c>
      <c r="E1169" s="27" t="s">
        <v>3818</v>
      </c>
      <c r="F1169" s="28" t="s">
        <v>3819</v>
      </c>
      <c r="G1169" s="29">
        <v>45216.0</v>
      </c>
      <c r="H1169" s="30">
        <v>45216.0</v>
      </c>
      <c r="I1169" s="30">
        <v>45581.0</v>
      </c>
      <c r="J1169" s="31" t="s">
        <v>3763</v>
      </c>
      <c r="K1169" s="26" t="s">
        <v>931</v>
      </c>
      <c r="L1169" s="32" t="s">
        <v>2981</v>
      </c>
      <c r="M1169" s="33">
        <v>54235.56</v>
      </c>
      <c r="N1169" s="34">
        <v>58000.0</v>
      </c>
      <c r="O1169" s="27" t="s">
        <v>76</v>
      </c>
      <c r="P1169" s="35" t="s">
        <v>142</v>
      </c>
      <c r="Q1169" s="54" t="s">
        <v>462</v>
      </c>
      <c r="R1169" s="36">
        <v>45235.0</v>
      </c>
      <c r="S1169" s="35" t="s">
        <v>86</v>
      </c>
      <c r="T1169" s="35">
        <v>0.0</v>
      </c>
      <c r="U1169" s="37" t="s">
        <v>68</v>
      </c>
      <c r="V1169" s="38">
        <v>2900000.0</v>
      </c>
      <c r="W1169" s="78">
        <v>8590814.0</v>
      </c>
      <c r="X1169" s="27">
        <v>2023.0</v>
      </c>
      <c r="Y1169" s="79" t="s">
        <v>3820</v>
      </c>
      <c r="Z1169" s="39"/>
      <c r="AA1169" s="39"/>
      <c r="AB1169" s="27"/>
      <c r="AC1169" s="27">
        <f t="shared" si="926"/>
        <v>0</v>
      </c>
      <c r="AD1169" s="41">
        <f t="shared" si="950"/>
        <v>8135.334</v>
      </c>
      <c r="AE1169" s="42">
        <v>1400.0</v>
      </c>
      <c r="AF1169" s="27" t="s">
        <v>3439</v>
      </c>
      <c r="AG1169" s="43">
        <f>M1169*28%-((M1169*28%)*5%)</f>
        <v>14426.65896</v>
      </c>
      <c r="AH1169" s="29"/>
      <c r="AI1169" s="29" t="s">
        <v>2982</v>
      </c>
      <c r="AJ1169" s="55">
        <v>0.28</v>
      </c>
      <c r="AK1169" s="29">
        <v>45180.0</v>
      </c>
      <c r="AL1169" s="27"/>
      <c r="AM1169" s="27"/>
      <c r="AN1169" s="47"/>
      <c r="AO1169" s="46"/>
      <c r="AP1169" s="47"/>
      <c r="AQ1169" s="43">
        <f t="shared" ref="AQ1169:AQ1171" si="952">IF(U1169="Motor Plus",(M1169*27%),IF(U1169="Motor One",(M1169*22%),(IF(U1169="Golden",(M1169*25%),(IF(U1169="Classic",(M1169*15%),(IF(U1169="Wethaq",(M1169*28%),IF(U1169="Alwataniya",(M1169*21%))*0))))))))</f>
        <v>15185.9568</v>
      </c>
      <c r="AR1169" s="43">
        <f t="shared" si="448"/>
        <v>759.29784</v>
      </c>
      <c r="AS1169" s="43">
        <f t="shared" si="449"/>
        <v>2657.54244</v>
      </c>
      <c r="AT1169" s="48">
        <f t="shared" si="753"/>
        <v>11769.11652</v>
      </c>
      <c r="AU1169" s="49">
        <f t="shared" si="921"/>
        <v>11769.11652</v>
      </c>
      <c r="AV1169" s="48"/>
      <c r="AW1169" s="34">
        <f t="shared" si="840"/>
        <v>48464.666</v>
      </c>
      <c r="AX1169" s="50">
        <f t="shared" si="811"/>
        <v>2233.78252</v>
      </c>
      <c r="AY1169" s="43"/>
      <c r="AZ1169" s="47"/>
      <c r="BA1169" s="48">
        <f t="shared" si="922"/>
        <v>11769.11652</v>
      </c>
      <c r="BB1169" s="27"/>
      <c r="BC1169" s="27"/>
      <c r="BD1169" s="51"/>
      <c r="BE1169" s="52"/>
      <c r="BF1169" s="27"/>
      <c r="BG1169" s="58" t="s">
        <v>562</v>
      </c>
      <c r="BH1169" s="53" t="str">
        <f>'[1]2023'!Q1475</f>
        <v>#REF!</v>
      </c>
      <c r="BI1169" s="27"/>
      <c r="BJ1169" s="27"/>
      <c r="BK1169" s="27" t="s">
        <v>76</v>
      </c>
      <c r="BL1169" s="27"/>
    </row>
    <row r="1170" ht="14.25" customHeight="1">
      <c r="A1170" s="26" t="s">
        <v>68</v>
      </c>
      <c r="B1170" s="26" t="s">
        <v>56</v>
      </c>
      <c r="C1170" s="26" t="s">
        <v>57</v>
      </c>
      <c r="D1170" s="26" t="s">
        <v>58</v>
      </c>
      <c r="E1170" s="27" t="s">
        <v>3821</v>
      </c>
      <c r="F1170" s="28" t="s">
        <v>3822</v>
      </c>
      <c r="G1170" s="29">
        <v>45216.0</v>
      </c>
      <c r="H1170" s="30">
        <v>45216.0</v>
      </c>
      <c r="I1170" s="30">
        <v>45581.0</v>
      </c>
      <c r="J1170" s="31">
        <v>0.0</v>
      </c>
      <c r="K1170" s="26" t="s">
        <v>931</v>
      </c>
      <c r="L1170" s="32" t="s">
        <v>63</v>
      </c>
      <c r="M1170" s="33">
        <v>0.0</v>
      </c>
      <c r="N1170" s="34">
        <v>30.0</v>
      </c>
      <c r="O1170" s="27" t="s">
        <v>76</v>
      </c>
      <c r="P1170" s="35" t="s">
        <v>142</v>
      </c>
      <c r="Q1170" s="35" t="s">
        <v>90</v>
      </c>
      <c r="R1170" s="36">
        <v>45235.0</v>
      </c>
      <c r="S1170" s="35" t="s">
        <v>78</v>
      </c>
      <c r="T1170" s="54" t="s">
        <v>456</v>
      </c>
      <c r="U1170" s="37" t="s">
        <v>68</v>
      </c>
      <c r="V1170" s="38"/>
      <c r="W1170" s="78"/>
      <c r="X1170" s="27"/>
      <c r="Y1170" s="39"/>
      <c r="Z1170" s="39"/>
      <c r="AA1170" s="39"/>
      <c r="AB1170" s="27"/>
      <c r="AC1170" s="27">
        <f t="shared" si="926"/>
        <v>0</v>
      </c>
      <c r="AD1170" s="41"/>
      <c r="AE1170" s="42"/>
      <c r="AF1170" s="27">
        <v>0.0</v>
      </c>
      <c r="AG1170" s="43"/>
      <c r="AH1170" s="29"/>
      <c r="AI1170" s="29"/>
      <c r="AJ1170" s="29"/>
      <c r="AK1170" s="29" t="s">
        <v>63</v>
      </c>
      <c r="AL1170" s="27"/>
      <c r="AM1170" s="27"/>
      <c r="AN1170" s="47"/>
      <c r="AO1170" s="46"/>
      <c r="AP1170" s="47"/>
      <c r="AQ1170" s="43">
        <f t="shared" si="952"/>
        <v>0</v>
      </c>
      <c r="AR1170" s="43">
        <f t="shared" si="448"/>
        <v>0</v>
      </c>
      <c r="AS1170" s="43">
        <f t="shared" si="449"/>
        <v>0</v>
      </c>
      <c r="AT1170" s="48">
        <f t="shared" si="753"/>
        <v>0</v>
      </c>
      <c r="AU1170" s="49">
        <f t="shared" si="921"/>
        <v>0</v>
      </c>
      <c r="AV1170" s="48"/>
      <c r="AW1170" s="34">
        <f t="shared" si="840"/>
        <v>30</v>
      </c>
      <c r="AX1170" s="50">
        <f t="shared" si="811"/>
        <v>0</v>
      </c>
      <c r="AY1170" s="43"/>
      <c r="AZ1170" s="47"/>
      <c r="BA1170" s="48">
        <f t="shared" si="922"/>
        <v>0</v>
      </c>
      <c r="BB1170" s="27"/>
      <c r="BC1170" s="27"/>
      <c r="BD1170" s="51"/>
      <c r="BE1170" s="52"/>
      <c r="BF1170" s="27"/>
      <c r="BG1170" s="53">
        <v>0.0</v>
      </c>
      <c r="BH1170" s="53" t="str">
        <f>'[1]2023'!Q1479</f>
        <v>#REF!</v>
      </c>
      <c r="BI1170" s="27"/>
      <c r="BJ1170" s="27"/>
      <c r="BK1170" s="27" t="s">
        <v>76</v>
      </c>
      <c r="BL1170" s="27"/>
    </row>
    <row r="1171" ht="14.25" customHeight="1">
      <c r="A1171" s="26" t="s">
        <v>55</v>
      </c>
      <c r="B1171" s="26" t="s">
        <v>56</v>
      </c>
      <c r="C1171" s="26" t="s">
        <v>57</v>
      </c>
      <c r="D1171" s="26" t="s">
        <v>81</v>
      </c>
      <c r="E1171" s="27" t="s">
        <v>3823</v>
      </c>
      <c r="F1171" s="28" t="s">
        <v>3824</v>
      </c>
      <c r="G1171" s="29">
        <v>45216.0</v>
      </c>
      <c r="H1171" s="30">
        <v>45216.0</v>
      </c>
      <c r="I1171" s="30">
        <v>45581.0</v>
      </c>
      <c r="J1171" s="31" t="s">
        <v>3825</v>
      </c>
      <c r="K1171" s="26" t="s">
        <v>931</v>
      </c>
      <c r="L1171" s="32" t="s">
        <v>1324</v>
      </c>
      <c r="M1171" s="33">
        <v>49500.0</v>
      </c>
      <c r="N1171" s="34">
        <v>52810.0</v>
      </c>
      <c r="O1171" s="27" t="s">
        <v>76</v>
      </c>
      <c r="P1171" s="35" t="s">
        <v>122</v>
      </c>
      <c r="Q1171" s="35" t="s">
        <v>85</v>
      </c>
      <c r="R1171" s="36">
        <v>45216.0</v>
      </c>
      <c r="S1171" s="35" t="s">
        <v>86</v>
      </c>
      <c r="T1171" s="35">
        <v>0.0</v>
      </c>
      <c r="U1171" s="37" t="s">
        <v>67</v>
      </c>
      <c r="V1171" s="38">
        <v>1800000.0</v>
      </c>
      <c r="W1171" s="78">
        <v>115027.0</v>
      </c>
      <c r="X1171" s="27">
        <v>2022.0</v>
      </c>
      <c r="Y1171" s="79" t="s">
        <v>1164</v>
      </c>
      <c r="Z1171" s="39"/>
      <c r="AA1171" s="39"/>
      <c r="AB1171" s="27"/>
      <c r="AC1171" s="27">
        <f t="shared" si="926"/>
        <v>0</v>
      </c>
      <c r="AD1171" s="41">
        <f t="shared" ref="AD1171:AD1174" si="953">IF(AND(S1171="0",O1171="Paid"),(M1171*15%)-AC1171,0)</f>
        <v>7425</v>
      </c>
      <c r="AE1171" s="42"/>
      <c r="AF1171" s="29">
        <v>45149.0</v>
      </c>
      <c r="AG1171" s="43">
        <f t="shared" ref="AG1171:AG1172" si="954">IF(O1171="Paid",IF(A1171="Alwataniya",(M1171*21%)-((M1171*21%)*5%),IF((A1171="GIG"),(M1171*25%)-((M1171*25%)*5%),IF((A1171="Allianz"),(M1171*27%)-((M1171*27%)*5%),0))),0)</f>
        <v>12696.75</v>
      </c>
      <c r="AH1171" s="29"/>
      <c r="AI1171" s="29"/>
      <c r="AJ1171" s="29"/>
      <c r="AK1171" s="29"/>
      <c r="AL1171" s="27"/>
      <c r="AM1171" s="44"/>
      <c r="AN1171" s="68"/>
      <c r="AO1171" s="46"/>
      <c r="AP1171" s="47"/>
      <c r="AQ1171" s="43">
        <f t="shared" si="952"/>
        <v>13365</v>
      </c>
      <c r="AR1171" s="43">
        <f t="shared" si="448"/>
        <v>668.25</v>
      </c>
      <c r="AS1171" s="43">
        <f t="shared" si="449"/>
        <v>2338.875</v>
      </c>
      <c r="AT1171" s="48">
        <f t="shared" si="753"/>
        <v>10357.875</v>
      </c>
      <c r="AU1171" s="49">
        <f t="shared" si="921"/>
        <v>10357.875</v>
      </c>
      <c r="AV1171" s="48"/>
      <c r="AW1171" s="34">
        <f t="shared" si="840"/>
        <v>45385</v>
      </c>
      <c r="AX1171" s="50">
        <f t="shared" si="811"/>
        <v>2932.875</v>
      </c>
      <c r="AY1171" s="43"/>
      <c r="AZ1171" s="47"/>
      <c r="BA1171" s="48">
        <f t="shared" si="922"/>
        <v>10357.875</v>
      </c>
      <c r="BB1171" s="27"/>
      <c r="BC1171" s="27"/>
      <c r="BD1171" s="51"/>
      <c r="BE1171" s="52"/>
      <c r="BF1171" s="27"/>
      <c r="BG1171" s="53">
        <v>0.0</v>
      </c>
      <c r="BH1171" s="53" t="str">
        <f>'[1]2023'!Q1489</f>
        <v>#REF!</v>
      </c>
      <c r="BI1171" s="27"/>
      <c r="BJ1171" s="27"/>
      <c r="BK1171" s="27" t="s">
        <v>76</v>
      </c>
      <c r="BL1171" s="27"/>
    </row>
    <row r="1172" ht="14.25" customHeight="1">
      <c r="A1172" s="26" t="s">
        <v>55</v>
      </c>
      <c r="B1172" s="26" t="s">
        <v>1099</v>
      </c>
      <c r="C1172" s="26" t="s">
        <v>70</v>
      </c>
      <c r="D1172" s="26" t="s">
        <v>71</v>
      </c>
      <c r="E1172" s="27" t="s">
        <v>3826</v>
      </c>
      <c r="F1172" s="26" t="s">
        <v>3827</v>
      </c>
      <c r="G1172" s="29">
        <v>45216.0</v>
      </c>
      <c r="H1172" s="30">
        <v>45216.0</v>
      </c>
      <c r="I1172" s="30">
        <v>45581.0</v>
      </c>
      <c r="J1172" s="31">
        <v>0.0</v>
      </c>
      <c r="K1172" s="26" t="s">
        <v>931</v>
      </c>
      <c r="L1172" s="32" t="s">
        <v>2764</v>
      </c>
      <c r="M1172" s="33">
        <v>170592.0</v>
      </c>
      <c r="N1172" s="34">
        <v>173895.0</v>
      </c>
      <c r="O1172" s="27" t="s">
        <v>76</v>
      </c>
      <c r="P1172" s="35" t="s">
        <v>89</v>
      </c>
      <c r="Q1172" s="35">
        <v>0.0</v>
      </c>
      <c r="R1172" s="36">
        <v>45216.0</v>
      </c>
      <c r="S1172" s="35" t="s">
        <v>676</v>
      </c>
      <c r="T1172" s="35">
        <v>0.0</v>
      </c>
      <c r="U1172" s="37" t="s">
        <v>1099</v>
      </c>
      <c r="V1172" s="38"/>
      <c r="W1172" s="78"/>
      <c r="X1172" s="27"/>
      <c r="Y1172" s="39"/>
      <c r="Z1172" s="39"/>
      <c r="AA1172" s="39"/>
      <c r="AB1172" s="27"/>
      <c r="AC1172" s="27">
        <f t="shared" si="926"/>
        <v>0</v>
      </c>
      <c r="AD1172" s="41">
        <f t="shared" si="953"/>
        <v>0</v>
      </c>
      <c r="AE1172" s="42"/>
      <c r="AF1172" s="27"/>
      <c r="AG1172" s="43">
        <f t="shared" si="954"/>
        <v>43756.848</v>
      </c>
      <c r="AH1172" s="29"/>
      <c r="AI1172" s="29"/>
      <c r="AJ1172" s="29"/>
      <c r="AK1172" s="29"/>
      <c r="AL1172" s="27"/>
      <c r="AM1172" s="215">
        <f>AU1172*10%</f>
        <v>1322.088</v>
      </c>
      <c r="AN1172" s="71">
        <v>45654.0</v>
      </c>
      <c r="AO1172" s="46"/>
      <c r="AP1172" s="47"/>
      <c r="AQ1172" s="43">
        <f>M1172*10%</f>
        <v>17059.2</v>
      </c>
      <c r="AR1172" s="43">
        <f t="shared" si="448"/>
        <v>852.96</v>
      </c>
      <c r="AS1172" s="43">
        <f t="shared" si="449"/>
        <v>2985.36</v>
      </c>
      <c r="AT1172" s="48">
        <f t="shared" si="753"/>
        <v>13220.88</v>
      </c>
      <c r="AU1172" s="49">
        <f t="shared" si="921"/>
        <v>13220.88</v>
      </c>
      <c r="AV1172" s="106">
        <f>(AU1172-AM1172)*10%</f>
        <v>1189.8792</v>
      </c>
      <c r="AW1172" s="34">
        <f t="shared" si="840"/>
        <v>173895</v>
      </c>
      <c r="AX1172" s="50">
        <f t="shared" si="811"/>
        <v>38259.5208</v>
      </c>
      <c r="AY1172" s="43"/>
      <c r="AZ1172" s="47"/>
      <c r="BA1172" s="48">
        <f t="shared" si="922"/>
        <v>11898.792</v>
      </c>
      <c r="BB1172" s="27"/>
      <c r="BC1172" s="27"/>
      <c r="BD1172" s="51"/>
      <c r="BE1172" s="52"/>
      <c r="BF1172" s="27"/>
      <c r="BG1172" s="53">
        <v>0.0</v>
      </c>
      <c r="BH1172" s="53" t="str">
        <f>'[1]2023'!Q1509</f>
        <v>#REF!</v>
      </c>
      <c r="BI1172" s="27"/>
      <c r="BJ1172" s="27"/>
      <c r="BK1172" s="27" t="s">
        <v>76</v>
      </c>
      <c r="BL1172" s="27"/>
    </row>
    <row r="1173" ht="14.25" customHeight="1">
      <c r="A1173" s="26" t="s">
        <v>55</v>
      </c>
      <c r="B1173" s="26" t="s">
        <v>56</v>
      </c>
      <c r="C1173" s="26" t="s">
        <v>57</v>
      </c>
      <c r="D1173" s="26" t="s">
        <v>81</v>
      </c>
      <c r="E1173" s="27" t="s">
        <v>3828</v>
      </c>
      <c r="F1173" s="26" t="s">
        <v>3829</v>
      </c>
      <c r="G1173" s="29">
        <v>45216.0</v>
      </c>
      <c r="H1173" s="30">
        <v>45216.0</v>
      </c>
      <c r="I1173" s="30">
        <v>45581.0</v>
      </c>
      <c r="J1173" s="31">
        <v>0.0</v>
      </c>
      <c r="K1173" s="26" t="s">
        <v>3541</v>
      </c>
      <c r="L1173" s="32"/>
      <c r="M1173" s="33"/>
      <c r="N1173" s="34"/>
      <c r="O1173" s="27" t="s">
        <v>64</v>
      </c>
      <c r="P1173" s="35">
        <v>0.0</v>
      </c>
      <c r="Q1173" s="35">
        <v>0.0</v>
      </c>
      <c r="R1173" s="36">
        <v>45216.0</v>
      </c>
      <c r="S1173" s="35" t="s">
        <v>86</v>
      </c>
      <c r="T1173" s="35">
        <v>0.0</v>
      </c>
      <c r="U1173" s="37">
        <v>0.0</v>
      </c>
      <c r="V1173" s="38"/>
      <c r="W1173" s="78"/>
      <c r="X1173" s="27"/>
      <c r="Y1173" s="39"/>
      <c r="Z1173" s="39"/>
      <c r="AA1173" s="39"/>
      <c r="AB1173" s="27"/>
      <c r="AC1173" s="27">
        <f t="shared" si="926"/>
        <v>0</v>
      </c>
      <c r="AD1173" s="41">
        <f t="shared" si="953"/>
        <v>0</v>
      </c>
      <c r="AE1173" s="42"/>
      <c r="AF1173" s="27"/>
      <c r="AG1173" s="43">
        <f>IF(O1173="Paid",IF(A1173="Wethaq",(M1173*28%)-((M1173*28%)*5%),IF((A1173="GIG"),(M1173*25%)-((M1173*25%)*5%),IF((A1173="Allianz"),(M1173*27%)-((M1173*27%)*20%),0))),0)</f>
        <v>0</v>
      </c>
      <c r="AH1173" s="29"/>
      <c r="AI1173" s="29"/>
      <c r="AJ1173" s="29"/>
      <c r="AK1173" s="29"/>
      <c r="AL1173" s="27"/>
      <c r="AM1173" s="44"/>
      <c r="AN1173" s="47"/>
      <c r="AO1173" s="46"/>
      <c r="AP1173" s="47"/>
      <c r="AQ1173" s="43" t="b">
        <f>IF(O1173="Paid",IF(U1173="Motor Plus",(M1173*27%),IF(U1173="Motor One",(M1173*22%),(IF(U1173="Golden",(M1173*25%),(IF(U1173="Classic",(M1173*15%),(IF(U1173="Wethaq",(M1173*28%),IF(U1173="Alwataniya",(M1173*21%))*0)))))))))</f>
        <v>0</v>
      </c>
      <c r="AR1173" s="43">
        <f t="shared" si="448"/>
        <v>0</v>
      </c>
      <c r="AS1173" s="43">
        <f t="shared" si="449"/>
        <v>0</v>
      </c>
      <c r="AT1173" s="48">
        <f t="shared" si="753"/>
        <v>0</v>
      </c>
      <c r="AU1173" s="49">
        <f t="shared" si="921"/>
        <v>0</v>
      </c>
      <c r="AV1173" s="48"/>
      <c r="AW1173" s="34">
        <f t="shared" si="840"/>
        <v>0</v>
      </c>
      <c r="AX1173" s="50">
        <f t="shared" si="811"/>
        <v>0</v>
      </c>
      <c r="AY1173" s="43"/>
      <c r="AZ1173" s="47"/>
      <c r="BA1173" s="48">
        <f t="shared" si="922"/>
        <v>0</v>
      </c>
      <c r="BB1173" s="27"/>
      <c r="BC1173" s="27"/>
      <c r="BD1173" s="51"/>
      <c r="BE1173" s="52"/>
      <c r="BF1173" s="27"/>
      <c r="BG1173" s="53">
        <v>0.0</v>
      </c>
      <c r="BH1173" s="53" t="str">
        <f>'[1]2023'!Q1670</f>
        <v>#REF!</v>
      </c>
      <c r="BI1173" s="27"/>
      <c r="BJ1173" s="27"/>
      <c r="BK1173" s="27" t="s">
        <v>64</v>
      </c>
      <c r="BL1173" s="27"/>
    </row>
    <row r="1174" ht="14.25" customHeight="1">
      <c r="A1174" s="26" t="s">
        <v>55</v>
      </c>
      <c r="B1174" s="26" t="s">
        <v>56</v>
      </c>
      <c r="C1174" s="26" t="s">
        <v>57</v>
      </c>
      <c r="D1174" s="26" t="s">
        <v>58</v>
      </c>
      <c r="E1174" s="27" t="s">
        <v>3830</v>
      </c>
      <c r="F1174" s="28" t="s">
        <v>3831</v>
      </c>
      <c r="G1174" s="29">
        <v>45217.0</v>
      </c>
      <c r="H1174" s="30">
        <v>45217.0</v>
      </c>
      <c r="I1174" s="30">
        <v>45582.0</v>
      </c>
      <c r="J1174" s="31">
        <v>0.0</v>
      </c>
      <c r="K1174" s="26" t="s">
        <v>931</v>
      </c>
      <c r="L1174" s="32" t="s">
        <v>3439</v>
      </c>
      <c r="M1174" s="33">
        <v>4155.38</v>
      </c>
      <c r="N1174" s="34">
        <v>4400.55</v>
      </c>
      <c r="O1174" s="27" t="s">
        <v>76</v>
      </c>
      <c r="P1174" s="35" t="s">
        <v>89</v>
      </c>
      <c r="Q1174" s="35" t="s">
        <v>90</v>
      </c>
      <c r="R1174" s="36">
        <v>45217.0</v>
      </c>
      <c r="S1174" s="35" t="s">
        <v>231</v>
      </c>
      <c r="T1174" s="35">
        <v>0.0</v>
      </c>
      <c r="U1174" s="37" t="s">
        <v>67</v>
      </c>
      <c r="V1174" s="38"/>
      <c r="W1174" s="38"/>
      <c r="X1174" s="27"/>
      <c r="Y1174" s="39"/>
      <c r="Z1174" s="39"/>
      <c r="AA1174" s="39"/>
      <c r="AB1174" s="40"/>
      <c r="AC1174" s="27">
        <f t="shared" si="926"/>
        <v>0</v>
      </c>
      <c r="AD1174" s="41">
        <f t="shared" si="953"/>
        <v>0</v>
      </c>
      <c r="AE1174" s="42"/>
      <c r="AF1174" s="27"/>
      <c r="AG1174" s="43">
        <f t="shared" ref="AG1174:AG1177" si="955">IF(O1174="Paid",IF(A1174="Alwataniya",(M1174*21%)-((M1174*21%)*5%),IF((A1174="GIG"),(M1174*25%)-((M1174*25%)*5%),IF((A1174="Allianz"),(M1174*27%)-((M1174*27%)*5%),0))),0)</f>
        <v>1065.85497</v>
      </c>
      <c r="AH1174" s="29"/>
      <c r="AI1174" s="29"/>
      <c r="AJ1174" s="29"/>
      <c r="AK1174" s="29"/>
      <c r="AL1174" s="27"/>
      <c r="AM1174" s="44"/>
      <c r="AN1174" s="47"/>
      <c r="AO1174" s="46">
        <v>347.80530600000003</v>
      </c>
      <c r="AP1174" s="71">
        <v>45302.0</v>
      </c>
      <c r="AQ1174" s="43">
        <f t="shared" ref="AQ1174:AQ1177" si="956">IF(U1174="Motor Plus",(M1174*27%),IF(U1174="Motor One",(M1174*22%),(IF(U1174="Golden",(M1174*25%),(IF(U1174="Classic",(M1174*15%),(IF(U1174="Wethaq",(M1174*28%),IF(U1174="Alwataniya",(M1174*21%))*0))))))))</f>
        <v>1121.9526</v>
      </c>
      <c r="AR1174" s="43">
        <f t="shared" si="448"/>
        <v>56.09763</v>
      </c>
      <c r="AS1174" s="43">
        <f t="shared" si="449"/>
        <v>196.341705</v>
      </c>
      <c r="AT1174" s="48">
        <f t="shared" si="753"/>
        <v>869.513265</v>
      </c>
      <c r="AU1174" s="49">
        <f t="shared" si="921"/>
        <v>521.707959</v>
      </c>
      <c r="AV1174" s="48"/>
      <c r="AW1174" s="34">
        <f t="shared" si="840"/>
        <v>4400.55</v>
      </c>
      <c r="AX1174" s="50">
        <f t="shared" si="811"/>
        <v>521.707959</v>
      </c>
      <c r="AY1174" s="43"/>
      <c r="AZ1174" s="43"/>
      <c r="BA1174" s="48">
        <f t="shared" si="922"/>
        <v>173.902653</v>
      </c>
      <c r="BB1174" s="27"/>
      <c r="BC1174" s="27"/>
      <c r="BD1174" s="51"/>
      <c r="BE1174" s="52"/>
      <c r="BF1174" s="27" t="s">
        <v>3832</v>
      </c>
      <c r="BG1174" s="53">
        <v>0.0</v>
      </c>
      <c r="BH1174" s="53" t="str">
        <f>'[1]2023'!Q893</f>
        <v>#REF!</v>
      </c>
      <c r="BI1174" s="27"/>
      <c r="BJ1174" s="27"/>
      <c r="BK1174" s="27" t="s">
        <v>76</v>
      </c>
      <c r="BL1174" s="27"/>
    </row>
    <row r="1175" ht="14.25" customHeight="1">
      <c r="A1175" s="26" t="s">
        <v>55</v>
      </c>
      <c r="B1175" s="26" t="s">
        <v>56</v>
      </c>
      <c r="C1175" s="26" t="s">
        <v>57</v>
      </c>
      <c r="D1175" s="26" t="s">
        <v>81</v>
      </c>
      <c r="E1175" s="27" t="s">
        <v>3833</v>
      </c>
      <c r="F1175" s="28" t="s">
        <v>3834</v>
      </c>
      <c r="G1175" s="29">
        <v>45217.0</v>
      </c>
      <c r="H1175" s="30">
        <v>45217.0</v>
      </c>
      <c r="I1175" s="30">
        <v>45582.0</v>
      </c>
      <c r="J1175" s="31" t="s">
        <v>3835</v>
      </c>
      <c r="K1175" s="26" t="s">
        <v>931</v>
      </c>
      <c r="L1175" s="69">
        <v>45179.0</v>
      </c>
      <c r="M1175" s="33">
        <v>71321.25</v>
      </c>
      <c r="N1175" s="34">
        <v>76026.81</v>
      </c>
      <c r="O1175" s="27" t="s">
        <v>76</v>
      </c>
      <c r="P1175" s="35" t="s">
        <v>89</v>
      </c>
      <c r="Q1175" s="35" t="s">
        <v>65</v>
      </c>
      <c r="R1175" s="36">
        <v>45217.0</v>
      </c>
      <c r="S1175" s="35" t="s">
        <v>86</v>
      </c>
      <c r="T1175" s="35">
        <v>0.0</v>
      </c>
      <c r="U1175" s="37" t="s">
        <v>67</v>
      </c>
      <c r="V1175" s="38">
        <v>3900000.0</v>
      </c>
      <c r="W1175" s="78" t="s">
        <v>3836</v>
      </c>
      <c r="X1175" s="27">
        <v>2020.0</v>
      </c>
      <c r="Y1175" s="79" t="s">
        <v>2437</v>
      </c>
      <c r="Z1175" s="79" t="s">
        <v>997</v>
      </c>
      <c r="AA1175" s="39"/>
      <c r="AB1175" s="27"/>
      <c r="AC1175" s="27">
        <f t="shared" si="926"/>
        <v>0</v>
      </c>
      <c r="AD1175" s="41"/>
      <c r="AE1175" s="42"/>
      <c r="AF1175" s="27"/>
      <c r="AG1175" s="43">
        <f t="shared" si="955"/>
        <v>18293.90063</v>
      </c>
      <c r="AH1175" s="29"/>
      <c r="AI1175" s="29"/>
      <c r="AJ1175" s="29"/>
      <c r="AK1175" s="29"/>
      <c r="AL1175" s="27"/>
      <c r="AM1175" s="44"/>
      <c r="AN1175" s="47"/>
      <c r="AO1175" s="46"/>
      <c r="AP1175" s="47"/>
      <c r="AQ1175" s="43">
        <f t="shared" si="956"/>
        <v>19256.7375</v>
      </c>
      <c r="AR1175" s="43">
        <f t="shared" si="448"/>
        <v>962.836875</v>
      </c>
      <c r="AS1175" s="43">
        <f t="shared" si="449"/>
        <v>3369.929063</v>
      </c>
      <c r="AT1175" s="48">
        <f t="shared" si="753"/>
        <v>14923.97156</v>
      </c>
      <c r="AU1175" s="49">
        <f t="shared" si="921"/>
        <v>14923.97156</v>
      </c>
      <c r="AV1175" s="48"/>
      <c r="AW1175" s="34">
        <f t="shared" si="840"/>
        <v>76026.81</v>
      </c>
      <c r="AX1175" s="50">
        <f t="shared" si="811"/>
        <v>14923.97156</v>
      </c>
      <c r="AY1175" s="43"/>
      <c r="AZ1175" s="47"/>
      <c r="BA1175" s="48">
        <f t="shared" si="922"/>
        <v>14923.97156</v>
      </c>
      <c r="BB1175" s="27"/>
      <c r="BC1175" s="27"/>
      <c r="BD1175" s="51"/>
      <c r="BE1175" s="52"/>
      <c r="BF1175" s="27"/>
      <c r="BG1175" s="53">
        <v>0.0</v>
      </c>
      <c r="BH1175" s="53" t="str">
        <f>'[1]2023'!Q1398</f>
        <v>#REF!</v>
      </c>
      <c r="BI1175" s="27"/>
      <c r="BJ1175" s="27"/>
      <c r="BK1175" s="27" t="s">
        <v>76</v>
      </c>
      <c r="BL1175" s="27"/>
    </row>
    <row r="1176" ht="14.25" customHeight="1">
      <c r="A1176" s="26" t="s">
        <v>55</v>
      </c>
      <c r="B1176" s="26" t="s">
        <v>56</v>
      </c>
      <c r="C1176" s="26" t="s">
        <v>57</v>
      </c>
      <c r="D1176" s="26" t="s">
        <v>81</v>
      </c>
      <c r="E1176" s="27" t="s">
        <v>3837</v>
      </c>
      <c r="F1176" s="28" t="s">
        <v>3838</v>
      </c>
      <c r="G1176" s="29">
        <v>45217.0</v>
      </c>
      <c r="H1176" s="30">
        <v>45217.0</v>
      </c>
      <c r="I1176" s="30">
        <v>45582.0</v>
      </c>
      <c r="J1176" s="31" t="s">
        <v>3839</v>
      </c>
      <c r="K1176" s="26" t="s">
        <v>931</v>
      </c>
      <c r="L1176" s="32" t="s">
        <v>3408</v>
      </c>
      <c r="M1176" s="33">
        <v>24780.0</v>
      </c>
      <c r="N1176" s="34">
        <v>26506.92</v>
      </c>
      <c r="O1176" s="27" t="s">
        <v>76</v>
      </c>
      <c r="P1176" s="35" t="s">
        <v>430</v>
      </c>
      <c r="Q1176" s="35" t="s">
        <v>85</v>
      </c>
      <c r="R1176" s="36">
        <v>45217.0</v>
      </c>
      <c r="S1176" s="35" t="s">
        <v>86</v>
      </c>
      <c r="T1176" s="35">
        <v>0.0</v>
      </c>
      <c r="U1176" s="37" t="s">
        <v>67</v>
      </c>
      <c r="V1176" s="38">
        <v>1200000.0</v>
      </c>
      <c r="W1176" s="78">
        <v>520109.0</v>
      </c>
      <c r="X1176" s="27">
        <v>2022.0</v>
      </c>
      <c r="Y1176" s="39"/>
      <c r="Z1176" s="79" t="s">
        <v>232</v>
      </c>
      <c r="AA1176" s="39"/>
      <c r="AB1176" s="27"/>
      <c r="AC1176" s="27">
        <f t="shared" si="926"/>
        <v>0</v>
      </c>
      <c r="AD1176" s="41">
        <f t="shared" ref="AD1176:AD1181" si="957">IF(AND(S1176="0",O1176="Paid"),(M1176*15%)-AC1176,0)</f>
        <v>3717</v>
      </c>
      <c r="AE1176" s="42"/>
      <c r="AF1176" s="29">
        <v>45149.0</v>
      </c>
      <c r="AG1176" s="43">
        <f t="shared" si="955"/>
        <v>6356.07</v>
      </c>
      <c r="AH1176" s="29"/>
      <c r="AI1176" s="29"/>
      <c r="AJ1176" s="29"/>
      <c r="AK1176" s="29"/>
      <c r="AL1176" s="27"/>
      <c r="AM1176" s="44"/>
      <c r="AN1176" s="47"/>
      <c r="AO1176" s="46"/>
      <c r="AP1176" s="47"/>
      <c r="AQ1176" s="43">
        <f t="shared" si="956"/>
        <v>6690.6</v>
      </c>
      <c r="AR1176" s="43">
        <f t="shared" si="448"/>
        <v>334.53</v>
      </c>
      <c r="AS1176" s="43">
        <f t="shared" si="449"/>
        <v>1170.855</v>
      </c>
      <c r="AT1176" s="48">
        <f t="shared" si="753"/>
        <v>5185.215</v>
      </c>
      <c r="AU1176" s="49">
        <f t="shared" si="921"/>
        <v>5185.215</v>
      </c>
      <c r="AV1176" s="48"/>
      <c r="AW1176" s="34">
        <f t="shared" si="840"/>
        <v>22789.92</v>
      </c>
      <c r="AX1176" s="50">
        <f t="shared" si="811"/>
        <v>1468.215</v>
      </c>
      <c r="AY1176" s="43"/>
      <c r="AZ1176" s="47"/>
      <c r="BA1176" s="48">
        <f t="shared" si="922"/>
        <v>5185.215</v>
      </c>
      <c r="BB1176" s="27"/>
      <c r="BC1176" s="27"/>
      <c r="BD1176" s="51"/>
      <c r="BE1176" s="52"/>
      <c r="BF1176" s="27"/>
      <c r="BG1176" s="58" t="s">
        <v>562</v>
      </c>
      <c r="BH1176" s="53" t="str">
        <f>'[1]2023'!Q1435</f>
        <v>#REF!</v>
      </c>
      <c r="BI1176" s="27"/>
      <c r="BJ1176" s="27"/>
      <c r="BK1176" s="27" t="s">
        <v>76</v>
      </c>
      <c r="BL1176" s="27"/>
    </row>
    <row r="1177" ht="14.25" customHeight="1">
      <c r="A1177" s="26" t="s">
        <v>55</v>
      </c>
      <c r="B1177" s="26" t="s">
        <v>56</v>
      </c>
      <c r="C1177" s="26" t="s">
        <v>57</v>
      </c>
      <c r="D1177" s="26" t="s">
        <v>81</v>
      </c>
      <c r="E1177" s="27" t="s">
        <v>3840</v>
      </c>
      <c r="F1177" s="28" t="s">
        <v>3841</v>
      </c>
      <c r="G1177" s="29">
        <v>45217.0</v>
      </c>
      <c r="H1177" s="30">
        <v>45217.0</v>
      </c>
      <c r="I1177" s="30">
        <v>45582.0</v>
      </c>
      <c r="J1177" s="31" t="s">
        <v>3842</v>
      </c>
      <c r="K1177" s="26" t="s">
        <v>931</v>
      </c>
      <c r="L1177" s="32" t="s">
        <v>2764</v>
      </c>
      <c r="M1177" s="33">
        <v>18200.0</v>
      </c>
      <c r="N1177" s="34">
        <v>19505.8</v>
      </c>
      <c r="O1177" s="27" t="s">
        <v>76</v>
      </c>
      <c r="P1177" s="35" t="s">
        <v>122</v>
      </c>
      <c r="Q1177" s="35">
        <v>0.0</v>
      </c>
      <c r="R1177" s="36">
        <v>45217.0</v>
      </c>
      <c r="S1177" s="35" t="s">
        <v>86</v>
      </c>
      <c r="T1177" s="35">
        <v>0.0</v>
      </c>
      <c r="U1177" s="37" t="s">
        <v>67</v>
      </c>
      <c r="V1177" s="38">
        <v>700000.0</v>
      </c>
      <c r="W1177" s="78">
        <v>4249719.0</v>
      </c>
      <c r="X1177" s="27">
        <v>2018.0</v>
      </c>
      <c r="Y1177" s="79" t="s">
        <v>2612</v>
      </c>
      <c r="Z1177" s="39"/>
      <c r="AA1177" s="39"/>
      <c r="AB1177" s="27"/>
      <c r="AC1177" s="27">
        <f t="shared" si="926"/>
        <v>0</v>
      </c>
      <c r="AD1177" s="41">
        <f t="shared" si="957"/>
        <v>2730</v>
      </c>
      <c r="AE1177" s="42"/>
      <c r="AF1177" s="27"/>
      <c r="AG1177" s="43">
        <f t="shared" si="955"/>
        <v>4668.3</v>
      </c>
      <c r="AH1177" s="29"/>
      <c r="AI1177" s="29"/>
      <c r="AJ1177" s="29"/>
      <c r="AK1177" s="29"/>
      <c r="AL1177" s="27"/>
      <c r="AM1177" s="44"/>
      <c r="AN1177" s="47"/>
      <c r="AO1177" s="46"/>
      <c r="AP1177" s="47"/>
      <c r="AQ1177" s="43">
        <f t="shared" si="956"/>
        <v>4914</v>
      </c>
      <c r="AR1177" s="43">
        <f t="shared" si="448"/>
        <v>245.7</v>
      </c>
      <c r="AS1177" s="43">
        <f t="shared" si="449"/>
        <v>859.95</v>
      </c>
      <c r="AT1177" s="48">
        <f t="shared" si="753"/>
        <v>3808.35</v>
      </c>
      <c r="AU1177" s="49">
        <f t="shared" si="921"/>
        <v>3808.35</v>
      </c>
      <c r="AV1177" s="48"/>
      <c r="AW1177" s="34">
        <f t="shared" si="840"/>
        <v>16775.8</v>
      </c>
      <c r="AX1177" s="50">
        <f t="shared" si="811"/>
        <v>1078.35</v>
      </c>
      <c r="AY1177" s="43"/>
      <c r="AZ1177" s="47"/>
      <c r="BA1177" s="48">
        <f t="shared" si="922"/>
        <v>3808.35</v>
      </c>
      <c r="BB1177" s="27"/>
      <c r="BC1177" s="27"/>
      <c r="BD1177" s="51"/>
      <c r="BE1177" s="52"/>
      <c r="BF1177" s="27"/>
      <c r="BG1177" s="53">
        <v>0.0</v>
      </c>
      <c r="BH1177" s="53" t="str">
        <f>'[1]2023'!Q1457</f>
        <v>#REF!</v>
      </c>
      <c r="BI1177" s="27"/>
      <c r="BJ1177" s="27"/>
      <c r="BK1177" s="27" t="s">
        <v>76</v>
      </c>
      <c r="BL1177" s="27"/>
    </row>
    <row r="1178" ht="14.25" customHeight="1">
      <c r="A1178" s="26" t="s">
        <v>68</v>
      </c>
      <c r="B1178" s="26" t="s">
        <v>56</v>
      </c>
      <c r="C1178" s="26" t="s">
        <v>57</v>
      </c>
      <c r="D1178" s="26" t="s">
        <v>71</v>
      </c>
      <c r="E1178" s="27" t="s">
        <v>3843</v>
      </c>
      <c r="F1178" s="28" t="s">
        <v>3844</v>
      </c>
      <c r="G1178" s="29">
        <v>45217.0</v>
      </c>
      <c r="H1178" s="30">
        <v>45217.0</v>
      </c>
      <c r="I1178" s="30">
        <v>45582.0</v>
      </c>
      <c r="J1178" s="31" t="s">
        <v>3845</v>
      </c>
      <c r="K1178" s="26" t="s">
        <v>931</v>
      </c>
      <c r="L1178" s="32" t="s">
        <v>63</v>
      </c>
      <c r="M1178" s="160">
        <v>22562.96</v>
      </c>
      <c r="N1178" s="82">
        <v>24200.0</v>
      </c>
      <c r="O1178" s="27" t="s">
        <v>64</v>
      </c>
      <c r="P1178" s="35">
        <v>0.0</v>
      </c>
      <c r="Q1178" s="35">
        <v>0.0</v>
      </c>
      <c r="R1178" s="36">
        <v>45236.0</v>
      </c>
      <c r="S1178" s="35" t="s">
        <v>1103</v>
      </c>
      <c r="T1178" s="54" t="s">
        <v>2391</v>
      </c>
      <c r="U1178" s="37" t="s">
        <v>68</v>
      </c>
      <c r="V1178" s="38">
        <v>1100000.0</v>
      </c>
      <c r="W1178" s="78" t="s">
        <v>3846</v>
      </c>
      <c r="X1178" s="27"/>
      <c r="Y1178" s="79" t="s">
        <v>3847</v>
      </c>
      <c r="Z1178" s="39"/>
      <c r="AA1178" s="39"/>
      <c r="AB1178" s="27"/>
      <c r="AC1178" s="27">
        <f t="shared" si="926"/>
        <v>0</v>
      </c>
      <c r="AD1178" s="41">
        <f t="shared" si="957"/>
        <v>0</v>
      </c>
      <c r="AE1178" s="42"/>
      <c r="AF1178" s="27"/>
      <c r="AG1178" s="43">
        <f>M1178*28%-((M1178*28%)*5%)</f>
        <v>6001.74736</v>
      </c>
      <c r="AH1178" s="29"/>
      <c r="AI1178" s="29"/>
      <c r="AJ1178" s="29"/>
      <c r="AK1178" s="29"/>
      <c r="AL1178" s="27"/>
      <c r="AM1178" s="44">
        <f>IF((BD1178&lt;=2),AU1178*10%,(IF((BD1178=3),AU1178*20%,IF((BD1178=4),AU1178*20%,IF((BD1178&gt;=5),AU1178*30%,(IF((BD1178="lead"),AU1178*30%,0)))))))</f>
        <v>0</v>
      </c>
      <c r="AN1178" s="47"/>
      <c r="AO1178" s="46"/>
      <c r="AP1178" s="47"/>
      <c r="AQ1178" s="43" t="b">
        <f t="shared" ref="AQ1178:AQ1181" si="958">IF(O1178="Paid",IF(U1178="Motor Plus",(M1178*27%),IF(U1178="Motor One",(M1178*22%),(IF(U1178="Golden",(M1178*25%),(IF(U1178="Classic",(M1178*15%),(IF(U1178="Wethaq",(M1178*28%),IF(U1178="Alwataniya",(M1178*21%))*0)))))))))</f>
        <v>0</v>
      </c>
      <c r="AR1178" s="43">
        <f t="shared" si="448"/>
        <v>0</v>
      </c>
      <c r="AS1178" s="43">
        <f t="shared" si="449"/>
        <v>0</v>
      </c>
      <c r="AT1178" s="48">
        <f t="shared" si="753"/>
        <v>0</v>
      </c>
      <c r="AU1178" s="49">
        <f t="shared" si="921"/>
        <v>0</v>
      </c>
      <c r="AV1178" s="48"/>
      <c r="AW1178" s="34">
        <f t="shared" si="840"/>
        <v>24200</v>
      </c>
      <c r="AX1178" s="50">
        <f t="shared" si="811"/>
        <v>0</v>
      </c>
      <c r="AY1178" s="43"/>
      <c r="AZ1178" s="47"/>
      <c r="BA1178" s="48">
        <f t="shared" si="922"/>
        <v>0</v>
      </c>
      <c r="BB1178" s="27"/>
      <c r="BC1178" s="27"/>
      <c r="BD1178" s="51"/>
      <c r="BE1178" s="52"/>
      <c r="BF1178" s="27"/>
      <c r="BG1178" s="53">
        <v>0.0</v>
      </c>
      <c r="BH1178" s="53" t="str">
        <f>'[1]2023'!Q1480</f>
        <v>#REF!</v>
      </c>
      <c r="BI1178" s="27"/>
      <c r="BJ1178" s="27"/>
      <c r="BK1178" s="27" t="s">
        <v>64</v>
      </c>
      <c r="BL1178" s="27"/>
    </row>
    <row r="1179" ht="14.25" customHeight="1">
      <c r="A1179" s="26" t="s">
        <v>111</v>
      </c>
      <c r="B1179" s="26" t="s">
        <v>56</v>
      </c>
      <c r="C1179" s="26" t="s">
        <v>57</v>
      </c>
      <c r="D1179" s="26" t="s">
        <v>71</v>
      </c>
      <c r="E1179" s="27" t="s">
        <v>3848</v>
      </c>
      <c r="F1179" s="28" t="s">
        <v>3849</v>
      </c>
      <c r="G1179" s="29">
        <v>45217.0</v>
      </c>
      <c r="H1179" s="30">
        <v>45217.0</v>
      </c>
      <c r="I1179" s="30">
        <v>45582.0</v>
      </c>
      <c r="J1179" s="31" t="s">
        <v>3850</v>
      </c>
      <c r="K1179" s="26" t="s">
        <v>931</v>
      </c>
      <c r="L1179" s="32" t="s">
        <v>63</v>
      </c>
      <c r="M1179" s="160">
        <v>30304.7</v>
      </c>
      <c r="N1179" s="82">
        <v>32500.0</v>
      </c>
      <c r="O1179" s="27" t="s">
        <v>64</v>
      </c>
      <c r="P1179" s="35">
        <v>0.0</v>
      </c>
      <c r="Q1179" s="35" t="s">
        <v>114</v>
      </c>
      <c r="R1179" s="36">
        <v>45226.0</v>
      </c>
      <c r="S1179" s="35" t="s">
        <v>78</v>
      </c>
      <c r="T1179" s="35">
        <v>0.0</v>
      </c>
      <c r="U1179" s="37" t="s">
        <v>115</v>
      </c>
      <c r="V1179" s="38">
        <v>1250000.0</v>
      </c>
      <c r="W1179" s="78">
        <v>1312.0</v>
      </c>
      <c r="X1179" s="27"/>
      <c r="Y1179" s="79" t="s">
        <v>3851</v>
      </c>
      <c r="Z1179" s="39"/>
      <c r="AA1179" s="39"/>
      <c r="AB1179" s="27"/>
      <c r="AC1179" s="27">
        <f t="shared" si="926"/>
        <v>0</v>
      </c>
      <c r="AD1179" s="41">
        <f t="shared" si="957"/>
        <v>0</v>
      </c>
      <c r="AE1179" s="42"/>
      <c r="AF1179" s="27"/>
      <c r="AG1179" s="43">
        <f t="shared" ref="AG1179:AG1180" si="959">IF(O1179="Paid",IF(A1179="Alwataniya",(M1179*21%)-((M1179*21%)*5%),IF((A1179="GIG"),(M1179*25%)-((M1179*25%)*5%),IF((A1179="Allianz"),(M1179*27%)-((M1179*27%)*20%),0))),0)</f>
        <v>0</v>
      </c>
      <c r="AH1179" s="29"/>
      <c r="AI1179" s="29"/>
      <c r="AJ1179" s="29"/>
      <c r="AK1179" s="29"/>
      <c r="AL1179" s="27"/>
      <c r="AM1179" s="44"/>
      <c r="AN1179" s="47"/>
      <c r="AO1179" s="46"/>
      <c r="AP1179" s="47"/>
      <c r="AQ1179" s="43" t="b">
        <f t="shared" si="958"/>
        <v>0</v>
      </c>
      <c r="AR1179" s="43">
        <f t="shared" si="448"/>
        <v>0</v>
      </c>
      <c r="AS1179" s="43">
        <f t="shared" si="449"/>
        <v>0</v>
      </c>
      <c r="AT1179" s="48">
        <f t="shared" si="753"/>
        <v>0</v>
      </c>
      <c r="AU1179" s="49">
        <f t="shared" si="921"/>
        <v>0</v>
      </c>
      <c r="AV1179" s="48"/>
      <c r="AW1179" s="34">
        <f t="shared" si="840"/>
        <v>32500</v>
      </c>
      <c r="AX1179" s="50">
        <f t="shared" si="811"/>
        <v>0</v>
      </c>
      <c r="AY1179" s="43"/>
      <c r="AZ1179" s="47"/>
      <c r="BA1179" s="48">
        <f t="shared" si="922"/>
        <v>0</v>
      </c>
      <c r="BB1179" s="27"/>
      <c r="BC1179" s="27"/>
      <c r="BD1179" s="51"/>
      <c r="BE1179" s="52"/>
      <c r="BF1179" s="27"/>
      <c r="BG1179" s="58" t="s">
        <v>3852</v>
      </c>
      <c r="BH1179" s="53" t="str">
        <f t="shared" ref="BH1179:BH1181" si="960">'[1]2023'!Q1482</f>
        <v>#REF!</v>
      </c>
      <c r="BI1179" s="27"/>
      <c r="BJ1179" s="27"/>
      <c r="BK1179" s="27" t="s">
        <v>64</v>
      </c>
      <c r="BL1179" s="27"/>
    </row>
    <row r="1180" ht="14.25" customHeight="1">
      <c r="A1180" s="26" t="s">
        <v>111</v>
      </c>
      <c r="B1180" s="26" t="s">
        <v>56</v>
      </c>
      <c r="C1180" s="26" t="s">
        <v>57</v>
      </c>
      <c r="D1180" s="26" t="s">
        <v>71</v>
      </c>
      <c r="E1180" s="27" t="s">
        <v>3853</v>
      </c>
      <c r="F1180" s="28" t="s">
        <v>3854</v>
      </c>
      <c r="G1180" s="29">
        <v>45217.0</v>
      </c>
      <c r="H1180" s="30">
        <v>45217.0</v>
      </c>
      <c r="I1180" s="30">
        <v>45582.0</v>
      </c>
      <c r="J1180" s="31" t="s">
        <v>3850</v>
      </c>
      <c r="K1180" s="26" t="s">
        <v>931</v>
      </c>
      <c r="L1180" s="32" t="s">
        <v>63</v>
      </c>
      <c r="M1180" s="160">
        <v>38857.33</v>
      </c>
      <c r="N1180" s="82">
        <v>41600.0</v>
      </c>
      <c r="O1180" s="27" t="s">
        <v>64</v>
      </c>
      <c r="P1180" s="35">
        <v>0.0</v>
      </c>
      <c r="Q1180" s="35" t="s">
        <v>114</v>
      </c>
      <c r="R1180" s="36">
        <v>45226.0</v>
      </c>
      <c r="S1180" s="35" t="s">
        <v>78</v>
      </c>
      <c r="T1180" s="35">
        <v>0.0</v>
      </c>
      <c r="U1180" s="37" t="s">
        <v>115</v>
      </c>
      <c r="V1180" s="38">
        <v>1600000.0</v>
      </c>
      <c r="W1180" s="78">
        <v>111010.0</v>
      </c>
      <c r="X1180" s="27"/>
      <c r="Y1180" s="79" t="s">
        <v>3855</v>
      </c>
      <c r="Z1180" s="39"/>
      <c r="AA1180" s="39"/>
      <c r="AB1180" s="27"/>
      <c r="AC1180" s="27">
        <f t="shared" si="926"/>
        <v>0</v>
      </c>
      <c r="AD1180" s="41">
        <f t="shared" si="957"/>
        <v>0</v>
      </c>
      <c r="AE1180" s="42"/>
      <c r="AF1180" s="27"/>
      <c r="AG1180" s="43">
        <f t="shared" si="959"/>
        <v>0</v>
      </c>
      <c r="AH1180" s="29"/>
      <c r="AI1180" s="29"/>
      <c r="AJ1180" s="29"/>
      <c r="AK1180" s="29"/>
      <c r="AL1180" s="27"/>
      <c r="AM1180" s="27"/>
      <c r="AN1180" s="47"/>
      <c r="AO1180" s="46"/>
      <c r="AP1180" s="47"/>
      <c r="AQ1180" s="43" t="b">
        <f t="shared" si="958"/>
        <v>0</v>
      </c>
      <c r="AR1180" s="43">
        <f t="shared" si="448"/>
        <v>0</v>
      </c>
      <c r="AS1180" s="43">
        <f t="shared" si="449"/>
        <v>0</v>
      </c>
      <c r="AT1180" s="48">
        <f t="shared" si="753"/>
        <v>0</v>
      </c>
      <c r="AU1180" s="49">
        <f t="shared" si="921"/>
        <v>0</v>
      </c>
      <c r="AV1180" s="48"/>
      <c r="AW1180" s="34">
        <f t="shared" si="840"/>
        <v>41600</v>
      </c>
      <c r="AX1180" s="50">
        <f t="shared" si="811"/>
        <v>0</v>
      </c>
      <c r="AY1180" s="43"/>
      <c r="AZ1180" s="47"/>
      <c r="BA1180" s="48">
        <f t="shared" si="922"/>
        <v>0</v>
      </c>
      <c r="BB1180" s="27"/>
      <c r="BC1180" s="27"/>
      <c r="BD1180" s="51"/>
      <c r="BE1180" s="52"/>
      <c r="BF1180" s="27"/>
      <c r="BG1180" s="58" t="s">
        <v>3852</v>
      </c>
      <c r="BH1180" s="53" t="str">
        <f t="shared" si="960"/>
        <v>#REF!</v>
      </c>
      <c r="BI1180" s="27"/>
      <c r="BJ1180" s="27"/>
      <c r="BK1180" s="27" t="s">
        <v>64</v>
      </c>
      <c r="BL1180" s="27"/>
    </row>
    <row r="1181" ht="14.25" customHeight="1">
      <c r="A1181" s="26" t="s">
        <v>68</v>
      </c>
      <c r="B1181" s="26" t="s">
        <v>56</v>
      </c>
      <c r="C1181" s="26" t="s">
        <v>57</v>
      </c>
      <c r="D1181" s="26" t="s">
        <v>71</v>
      </c>
      <c r="E1181" s="27" t="s">
        <v>3856</v>
      </c>
      <c r="F1181" s="28" t="s">
        <v>3857</v>
      </c>
      <c r="G1181" s="29">
        <v>45217.0</v>
      </c>
      <c r="H1181" s="30">
        <v>45217.0</v>
      </c>
      <c r="I1181" s="30">
        <v>45582.0</v>
      </c>
      <c r="J1181" s="31" t="s">
        <v>3858</v>
      </c>
      <c r="K1181" s="26" t="s">
        <v>931</v>
      </c>
      <c r="L1181" s="32" t="s">
        <v>1324</v>
      </c>
      <c r="M1181" s="108">
        <v>28052.88</v>
      </c>
      <c r="N1181" s="85">
        <v>30000.0</v>
      </c>
      <c r="O1181" s="27" t="s">
        <v>76</v>
      </c>
      <c r="P1181" s="35" t="s">
        <v>430</v>
      </c>
      <c r="Q1181" s="35">
        <v>0.0</v>
      </c>
      <c r="R1181" s="36">
        <v>45236.0</v>
      </c>
      <c r="S1181" s="35" t="s">
        <v>676</v>
      </c>
      <c r="T1181" s="35">
        <v>0.0</v>
      </c>
      <c r="U1181" s="37" t="s">
        <v>68</v>
      </c>
      <c r="V1181" s="38">
        <v>1500000.0</v>
      </c>
      <c r="W1181" s="78">
        <v>6749.0</v>
      </c>
      <c r="X1181" s="27"/>
      <c r="Y1181" s="79" t="s">
        <v>1599</v>
      </c>
      <c r="Z1181" s="39"/>
      <c r="AA1181" s="39"/>
      <c r="AB1181" s="27"/>
      <c r="AC1181" s="27">
        <f t="shared" si="926"/>
        <v>0</v>
      </c>
      <c r="AD1181" s="41">
        <f t="shared" si="957"/>
        <v>0</v>
      </c>
      <c r="AE1181" s="42"/>
      <c r="AF1181" s="27"/>
      <c r="AG1181" s="43">
        <f>IF(O1181="Paid",IF(A1181="Wethaq",(M1181*28%)-((M1181*28%)*5%),IF((A1181="GIG"),(M1181*25%)-((M1181*25%)*5%),IF((A1181="Allianz"),(M1181*27%)-((M1181*27%)*20%),0))),0)</f>
        <v>7462.06608</v>
      </c>
      <c r="AH1181" s="29" t="s">
        <v>1108</v>
      </c>
      <c r="AI1181" s="29" t="s">
        <v>926</v>
      </c>
      <c r="AJ1181" s="55">
        <v>0.28</v>
      </c>
      <c r="AK1181" s="29" t="s">
        <v>2764</v>
      </c>
      <c r="AL1181" s="27"/>
      <c r="AM1181" s="215">
        <f>AU1181*10%</f>
        <v>608.747496</v>
      </c>
      <c r="AN1181" s="130">
        <v>45654.0</v>
      </c>
      <c r="AO1181" s="46"/>
      <c r="AP1181" s="47"/>
      <c r="AQ1181" s="43">
        <f t="shared" si="958"/>
        <v>7854.8064</v>
      </c>
      <c r="AR1181" s="43">
        <f t="shared" si="448"/>
        <v>392.74032</v>
      </c>
      <c r="AS1181" s="43">
        <f t="shared" si="449"/>
        <v>1374.59112</v>
      </c>
      <c r="AT1181" s="48">
        <f t="shared" si="753"/>
        <v>6087.47496</v>
      </c>
      <c r="AU1181" s="49">
        <f t="shared" si="921"/>
        <v>6087.47496</v>
      </c>
      <c r="AV1181" s="106">
        <f>(AU1181-AM1181)*10%</f>
        <v>547.8727464</v>
      </c>
      <c r="AW1181" s="34">
        <f t="shared" si="840"/>
        <v>30000</v>
      </c>
      <c r="AX1181" s="50">
        <f t="shared" si="811"/>
        <v>4930.854718</v>
      </c>
      <c r="AY1181" s="43"/>
      <c r="AZ1181" s="47"/>
      <c r="BA1181" s="48">
        <f t="shared" si="922"/>
        <v>5478.727464</v>
      </c>
      <c r="BB1181" s="27"/>
      <c r="BC1181" s="27"/>
      <c r="BD1181" s="51"/>
      <c r="BE1181" s="52"/>
      <c r="BF1181" s="27"/>
      <c r="BG1181" s="58" t="s">
        <v>562</v>
      </c>
      <c r="BH1181" s="53" t="str">
        <f t="shared" si="960"/>
        <v>#REF!</v>
      </c>
      <c r="BI1181" s="27"/>
      <c r="BJ1181" s="27"/>
      <c r="BK1181" s="27" t="s">
        <v>76</v>
      </c>
      <c r="BL1181" s="27"/>
    </row>
    <row r="1182" ht="14.25" customHeight="1">
      <c r="A1182" s="26" t="s">
        <v>68</v>
      </c>
      <c r="B1182" s="26" t="s">
        <v>56</v>
      </c>
      <c r="C1182" s="26" t="s">
        <v>57</v>
      </c>
      <c r="D1182" s="26" t="s">
        <v>71</v>
      </c>
      <c r="E1182" s="27" t="s">
        <v>3859</v>
      </c>
      <c r="F1182" s="28" t="s">
        <v>3860</v>
      </c>
      <c r="G1182" s="29">
        <v>45217.0</v>
      </c>
      <c r="H1182" s="30">
        <v>45217.0</v>
      </c>
      <c r="I1182" s="30">
        <v>45582.0</v>
      </c>
      <c r="J1182" s="31" t="s">
        <v>3861</v>
      </c>
      <c r="K1182" s="26" t="s">
        <v>931</v>
      </c>
      <c r="L1182" s="89">
        <v>45238.0</v>
      </c>
      <c r="M1182" s="33">
        <v>14326.07</v>
      </c>
      <c r="N1182" s="34">
        <v>15415.0</v>
      </c>
      <c r="O1182" s="27" t="s">
        <v>76</v>
      </c>
      <c r="P1182" s="35" t="s">
        <v>142</v>
      </c>
      <c r="Q1182" s="35" t="s">
        <v>90</v>
      </c>
      <c r="R1182" s="36">
        <v>45238.0</v>
      </c>
      <c r="S1182" s="35" t="s">
        <v>78</v>
      </c>
      <c r="T1182" s="54" t="s">
        <v>456</v>
      </c>
      <c r="U1182" s="37" t="s">
        <v>68</v>
      </c>
      <c r="V1182" s="38">
        <v>685000.0</v>
      </c>
      <c r="W1182" s="78">
        <v>16074.0</v>
      </c>
      <c r="X1182" s="27"/>
      <c r="Y1182" s="170" t="s">
        <v>2936</v>
      </c>
      <c r="Z1182" s="39"/>
      <c r="AA1182" s="39"/>
      <c r="AB1182" s="27"/>
      <c r="AC1182" s="27">
        <f t="shared" si="926"/>
        <v>0</v>
      </c>
      <c r="AD1182" s="109">
        <f>M1182*15%</f>
        <v>2148.9105</v>
      </c>
      <c r="AE1182" s="42">
        <v>400.0</v>
      </c>
      <c r="AF1182" s="27" t="s">
        <v>3296</v>
      </c>
      <c r="AG1182" s="43">
        <f>M1182*28%-((M1182*28%)*5%)</f>
        <v>3810.73462</v>
      </c>
      <c r="AH1182" s="29"/>
      <c r="AI1182" s="29" t="s">
        <v>3049</v>
      </c>
      <c r="AJ1182" s="29"/>
      <c r="AK1182" s="29" t="s">
        <v>3050</v>
      </c>
      <c r="AL1182" s="27"/>
      <c r="AM1182" s="27"/>
      <c r="AN1182" s="47"/>
      <c r="AO1182" s="46"/>
      <c r="AP1182" s="47"/>
      <c r="AQ1182" s="43">
        <f t="shared" ref="AQ1182:AQ1183" si="961">IF(U1182="Motor Plus",(M1182*27%),IF(U1182="Motor One",(M1182*22%),(IF(U1182="Golden",(M1182*25%),(IF(U1182="Classic",(M1182*15%),(IF(U1182="Wethaq",(M1182*28%),IF(U1182="Alwataniya",(M1182*21%))*0))))))))</f>
        <v>4011.2996</v>
      </c>
      <c r="AR1182" s="43">
        <f t="shared" si="448"/>
        <v>200.56498</v>
      </c>
      <c r="AS1182" s="43">
        <f t="shared" si="449"/>
        <v>701.97743</v>
      </c>
      <c r="AT1182" s="48">
        <f t="shared" si="753"/>
        <v>3108.75719</v>
      </c>
      <c r="AU1182" s="49">
        <f t="shared" si="921"/>
        <v>3108.75719</v>
      </c>
      <c r="AV1182" s="48"/>
      <c r="AW1182" s="34">
        <f t="shared" si="840"/>
        <v>12866.0895</v>
      </c>
      <c r="AX1182" s="113">
        <f t="shared" si="811"/>
        <v>559.84669</v>
      </c>
      <c r="AY1182" s="43"/>
      <c r="AZ1182" s="47"/>
      <c r="BA1182" s="48">
        <f t="shared" si="922"/>
        <v>3108.75719</v>
      </c>
      <c r="BB1182" s="27"/>
      <c r="BC1182" s="27"/>
      <c r="BD1182" s="51"/>
      <c r="BE1182" s="52"/>
      <c r="BF1182" s="27"/>
      <c r="BG1182" s="58" t="s">
        <v>562</v>
      </c>
      <c r="BH1182" s="53" t="str">
        <f>'[1]2023'!Q1487</f>
        <v>#REF!</v>
      </c>
      <c r="BI1182" s="27"/>
      <c r="BJ1182" s="27"/>
      <c r="BK1182" s="27" t="s">
        <v>76</v>
      </c>
      <c r="BL1182" s="27"/>
    </row>
    <row r="1183" ht="14.25" customHeight="1">
      <c r="A1183" s="26" t="s">
        <v>55</v>
      </c>
      <c r="B1183" s="26" t="s">
        <v>56</v>
      </c>
      <c r="C1183" s="26" t="s">
        <v>57</v>
      </c>
      <c r="D1183" s="26" t="s">
        <v>71</v>
      </c>
      <c r="E1183" s="27" t="s">
        <v>3862</v>
      </c>
      <c r="F1183" s="28" t="s">
        <v>3863</v>
      </c>
      <c r="G1183" s="182">
        <v>45217.0</v>
      </c>
      <c r="H1183" s="30">
        <v>45217.0</v>
      </c>
      <c r="I1183" s="30">
        <v>45582.0</v>
      </c>
      <c r="J1183" s="31" t="s">
        <v>3864</v>
      </c>
      <c r="K1183" s="26" t="s">
        <v>931</v>
      </c>
      <c r="L1183" s="183" t="s">
        <v>63</v>
      </c>
      <c r="M1183" s="33">
        <v>50325.0</v>
      </c>
      <c r="N1183" s="34">
        <v>53684.81</v>
      </c>
      <c r="O1183" s="27" t="s">
        <v>76</v>
      </c>
      <c r="P1183" s="35" t="s">
        <v>142</v>
      </c>
      <c r="Q1183" s="35" t="s">
        <v>108</v>
      </c>
      <c r="R1183" s="36">
        <v>45217.0</v>
      </c>
      <c r="S1183" s="35" t="s">
        <v>86</v>
      </c>
      <c r="T1183" s="35">
        <v>0.0</v>
      </c>
      <c r="U1183" s="37" t="s">
        <v>67</v>
      </c>
      <c r="V1183" s="38">
        <v>1830000.0</v>
      </c>
      <c r="W1183" s="78">
        <v>372010.0</v>
      </c>
      <c r="X1183" s="27">
        <v>2023.0</v>
      </c>
      <c r="Y1183" s="79" t="s">
        <v>1164</v>
      </c>
      <c r="Z1183" s="39"/>
      <c r="AA1183" s="39"/>
      <c r="AB1183" s="27"/>
      <c r="AC1183" s="27">
        <f t="shared" si="926"/>
        <v>0</v>
      </c>
      <c r="AD1183" s="41">
        <f t="shared" ref="AD1183:AD1230" si="962">IF(AND(S1183="0",O1183="Paid"),(M1183*15%)-AC1183,0)</f>
        <v>7548.75</v>
      </c>
      <c r="AE1183" s="42">
        <v>850.0</v>
      </c>
      <c r="AF1183" s="27" t="s">
        <v>3296</v>
      </c>
      <c r="AG1183" s="43">
        <f>IF(O1183="Paid",IF(A1183="Alwataniya",(M1183*21%)-((M1183*21%)*5%),IF((A1183="GIG"),(M1183*25%)-((M1183*25%)*5%),IF((A1183="Allianz"),(M1183*27%)-((M1183*27%)*5%),0))),0)</f>
        <v>12908.3625</v>
      </c>
      <c r="AH1183" s="29"/>
      <c r="AI1183" s="29"/>
      <c r="AJ1183" s="29"/>
      <c r="AK1183" s="29"/>
      <c r="AL1183" s="27"/>
      <c r="AM1183" s="27"/>
      <c r="AN1183" s="47"/>
      <c r="AO1183" s="46"/>
      <c r="AP1183" s="47"/>
      <c r="AQ1183" s="43">
        <f t="shared" si="961"/>
        <v>13587.75</v>
      </c>
      <c r="AR1183" s="43">
        <f t="shared" si="448"/>
        <v>679.3875</v>
      </c>
      <c r="AS1183" s="43">
        <f t="shared" si="449"/>
        <v>2377.85625</v>
      </c>
      <c r="AT1183" s="48">
        <f t="shared" si="753"/>
        <v>10530.50625</v>
      </c>
      <c r="AU1183" s="49">
        <f t="shared" si="921"/>
        <v>10530.50625</v>
      </c>
      <c r="AV1183" s="48"/>
      <c r="AW1183" s="34">
        <f t="shared" si="840"/>
        <v>45286.06</v>
      </c>
      <c r="AX1183" s="50">
        <f t="shared" si="811"/>
        <v>2131.75625</v>
      </c>
      <c r="AY1183" s="43"/>
      <c r="AZ1183" s="47"/>
      <c r="BA1183" s="48">
        <f t="shared" si="922"/>
        <v>10530.50625</v>
      </c>
      <c r="BB1183" s="27"/>
      <c r="BC1183" s="27"/>
      <c r="BD1183" s="51"/>
      <c r="BE1183" s="52"/>
      <c r="BF1183" s="27"/>
      <c r="BG1183" s="53">
        <v>0.0</v>
      </c>
      <c r="BH1183" s="53" t="str">
        <f>'[1]2023'!Q1490</f>
        <v>#REF!</v>
      </c>
      <c r="BI1183" s="27"/>
      <c r="BJ1183" s="27"/>
      <c r="BK1183" s="27" t="s">
        <v>76</v>
      </c>
      <c r="BL1183" s="27"/>
    </row>
    <row r="1184" ht="14.25" customHeight="1">
      <c r="A1184" s="26" t="s">
        <v>68</v>
      </c>
      <c r="B1184" s="26" t="s">
        <v>56</v>
      </c>
      <c r="C1184" s="26" t="s">
        <v>57</v>
      </c>
      <c r="D1184" s="26" t="s">
        <v>58</v>
      </c>
      <c r="E1184" s="27" t="s">
        <v>3865</v>
      </c>
      <c r="F1184" s="28" t="s">
        <v>3866</v>
      </c>
      <c r="G1184" s="29">
        <v>45217.0</v>
      </c>
      <c r="H1184" s="30">
        <v>45217.0</v>
      </c>
      <c r="I1184" s="30">
        <v>45582.0</v>
      </c>
      <c r="J1184" s="31" t="s">
        <v>3527</v>
      </c>
      <c r="K1184" s="26" t="s">
        <v>931</v>
      </c>
      <c r="L1184" s="32" t="s">
        <v>63</v>
      </c>
      <c r="M1184" s="33">
        <v>1220.92</v>
      </c>
      <c r="N1184" s="34">
        <v>1315.0</v>
      </c>
      <c r="O1184" s="27" t="s">
        <v>64</v>
      </c>
      <c r="P1184" s="35">
        <v>0.0</v>
      </c>
      <c r="Q1184" s="35">
        <v>0.0</v>
      </c>
      <c r="R1184" s="36">
        <v>45237.0</v>
      </c>
      <c r="S1184" s="35" t="s">
        <v>86</v>
      </c>
      <c r="T1184" s="35">
        <v>0.0</v>
      </c>
      <c r="U1184" s="37">
        <v>0.0</v>
      </c>
      <c r="V1184" s="38"/>
      <c r="W1184" s="78"/>
      <c r="X1184" s="27"/>
      <c r="Y1184" s="39"/>
      <c r="Z1184" s="39"/>
      <c r="AA1184" s="39"/>
      <c r="AB1184" s="27"/>
      <c r="AC1184" s="27">
        <f t="shared" si="926"/>
        <v>0</v>
      </c>
      <c r="AD1184" s="41">
        <f t="shared" si="962"/>
        <v>0</v>
      </c>
      <c r="AE1184" s="42"/>
      <c r="AF1184" s="27"/>
      <c r="AG1184" s="43">
        <f>IF(O1184="Paid",IF(A1184="Wethaq",(M1184*28%)-((M1184*28%)*5%),IF((A1184="GIG"),(M1184*25%)-((M1184*25%)*5%),IF((A1184="Allianz"),(M1184*27%)-((M1184*27%)*20%),0))),0)</f>
        <v>0</v>
      </c>
      <c r="AH1184" s="29"/>
      <c r="AI1184" s="29"/>
      <c r="AJ1184" s="29"/>
      <c r="AK1184" s="29"/>
      <c r="AL1184" s="27"/>
      <c r="AM1184" s="44"/>
      <c r="AN1184" s="68"/>
      <c r="AO1184" s="46"/>
      <c r="AP1184" s="47"/>
      <c r="AQ1184" s="43" t="b">
        <f t="shared" ref="AQ1184:AQ1186" si="963">IF(O1184="Paid",IF(U1184="Motor Plus",(M1184*27%),IF(U1184="Motor One",(M1184*22%),(IF(U1184="Golden",(M1184*25%),(IF(U1184="Classic",(M1184*15%),(IF(U1184="Wethaq",(M1184*28%),IF(U1184="Alwataniya",(M1184*21%))*0)))))))))</f>
        <v>0</v>
      </c>
      <c r="AR1184" s="43">
        <f t="shared" si="448"/>
        <v>0</v>
      </c>
      <c r="AS1184" s="43">
        <f t="shared" si="449"/>
        <v>0</v>
      </c>
      <c r="AT1184" s="48">
        <f t="shared" si="753"/>
        <v>0</v>
      </c>
      <c r="AU1184" s="49">
        <f t="shared" si="921"/>
        <v>0</v>
      </c>
      <c r="AV1184" s="48"/>
      <c r="AW1184" s="34">
        <f t="shared" si="840"/>
        <v>1315</v>
      </c>
      <c r="AX1184" s="50">
        <f t="shared" si="811"/>
        <v>0</v>
      </c>
      <c r="AY1184" s="43"/>
      <c r="AZ1184" s="47"/>
      <c r="BA1184" s="48">
        <f t="shared" si="922"/>
        <v>0</v>
      </c>
      <c r="BB1184" s="27"/>
      <c r="BC1184" s="27"/>
      <c r="BD1184" s="51"/>
      <c r="BE1184" s="52"/>
      <c r="BF1184" s="27"/>
      <c r="BG1184" s="58" t="s">
        <v>3867</v>
      </c>
      <c r="BH1184" s="53" t="str">
        <f>'[1]2023'!Q1516</f>
        <v>#REF!</v>
      </c>
      <c r="BI1184" s="27"/>
      <c r="BJ1184" s="27"/>
      <c r="BK1184" s="27" t="s">
        <v>1102</v>
      </c>
      <c r="BL1184" s="27"/>
    </row>
    <row r="1185" ht="14.25" customHeight="1">
      <c r="A1185" s="26" t="s">
        <v>1634</v>
      </c>
      <c r="B1185" s="26" t="s">
        <v>56</v>
      </c>
      <c r="C1185" s="26" t="s">
        <v>57</v>
      </c>
      <c r="D1185" s="26" t="s">
        <v>71</v>
      </c>
      <c r="E1185" s="27" t="s">
        <v>3868</v>
      </c>
      <c r="F1185" s="26" t="s">
        <v>3869</v>
      </c>
      <c r="G1185" s="29">
        <v>45217.0</v>
      </c>
      <c r="H1185" s="30">
        <v>45217.0</v>
      </c>
      <c r="I1185" s="30">
        <v>45582.0</v>
      </c>
      <c r="J1185" s="31">
        <v>0.0</v>
      </c>
      <c r="K1185" s="26" t="s">
        <v>931</v>
      </c>
      <c r="L1185" s="32" t="s">
        <v>63</v>
      </c>
      <c r="M1185" s="108">
        <v>1972.0</v>
      </c>
      <c r="N1185" s="85">
        <v>2100.0</v>
      </c>
      <c r="O1185" s="27" t="s">
        <v>64</v>
      </c>
      <c r="P1185" s="35">
        <v>0.0</v>
      </c>
      <c r="Q1185" s="35">
        <v>0.0</v>
      </c>
      <c r="R1185" s="36">
        <v>45217.0</v>
      </c>
      <c r="S1185" s="35" t="s">
        <v>78</v>
      </c>
      <c r="T1185" s="54" t="s">
        <v>79</v>
      </c>
      <c r="U1185" s="37" t="s">
        <v>213</v>
      </c>
      <c r="V1185" s="38"/>
      <c r="W1185" s="78"/>
      <c r="X1185" s="27"/>
      <c r="Y1185" s="39"/>
      <c r="Z1185" s="39"/>
      <c r="AA1185" s="39"/>
      <c r="AB1185" s="27"/>
      <c r="AC1185" s="27">
        <f t="shared" si="926"/>
        <v>0</v>
      </c>
      <c r="AD1185" s="41">
        <f t="shared" si="962"/>
        <v>0</v>
      </c>
      <c r="AE1185" s="42"/>
      <c r="AF1185" s="27"/>
      <c r="AG1185" s="43">
        <f>IF(O1185="Paid",IF(A1185="Alwataniya",(M1185*21%)-((M1185*21%)*5%),IF((A1185="GIG"),(M1185*25%)-((M1185*25%)*5%),IF((A1185="Allianz"),(M1185*27%)-((M1185*27%)*5%),0))),0)</f>
        <v>0</v>
      </c>
      <c r="AH1185" s="29"/>
      <c r="AI1185" s="29"/>
      <c r="AJ1185" s="29"/>
      <c r="AK1185" s="29"/>
      <c r="AL1185" s="27"/>
      <c r="AM1185" s="44"/>
      <c r="AN1185" s="47"/>
      <c r="AO1185" s="46"/>
      <c r="AP1185" s="47"/>
      <c r="AQ1185" s="43" t="b">
        <f t="shared" si="963"/>
        <v>0</v>
      </c>
      <c r="AR1185" s="43">
        <f t="shared" si="448"/>
        <v>0</v>
      </c>
      <c r="AS1185" s="43">
        <f t="shared" si="449"/>
        <v>0</v>
      </c>
      <c r="AT1185" s="48">
        <f t="shared" si="753"/>
        <v>0</v>
      </c>
      <c r="AU1185" s="49">
        <f t="shared" si="921"/>
        <v>0</v>
      </c>
      <c r="AV1185" s="48"/>
      <c r="AW1185" s="34">
        <f t="shared" si="840"/>
        <v>2100</v>
      </c>
      <c r="AX1185" s="50">
        <f t="shared" si="811"/>
        <v>0</v>
      </c>
      <c r="AY1185" s="43"/>
      <c r="AZ1185" s="47"/>
      <c r="BA1185" s="48">
        <f t="shared" si="922"/>
        <v>0</v>
      </c>
      <c r="BB1185" s="27"/>
      <c r="BC1185" s="27"/>
      <c r="BD1185" s="51"/>
      <c r="BE1185" s="52"/>
      <c r="BF1185" s="27"/>
      <c r="BG1185" s="58" t="s">
        <v>3870</v>
      </c>
      <c r="BH1185" s="53" t="str">
        <f>'[1]2023'!Q1539</f>
        <v>#REF!</v>
      </c>
      <c r="BI1185" s="27"/>
      <c r="BJ1185" s="27"/>
      <c r="BK1185" s="27" t="s">
        <v>64</v>
      </c>
      <c r="BL1185" s="27"/>
    </row>
    <row r="1186" ht="14.25" customHeight="1">
      <c r="A1186" s="26" t="s">
        <v>1634</v>
      </c>
      <c r="B1186" s="26" t="s">
        <v>69</v>
      </c>
      <c r="C1186" s="26" t="s">
        <v>70</v>
      </c>
      <c r="D1186" s="26" t="s">
        <v>71</v>
      </c>
      <c r="E1186" s="27" t="s">
        <v>3871</v>
      </c>
      <c r="F1186" s="26" t="s">
        <v>2310</v>
      </c>
      <c r="G1186" s="29">
        <v>45217.0</v>
      </c>
      <c r="H1186" s="30">
        <v>45217.0</v>
      </c>
      <c r="I1186" s="30">
        <v>45582.0</v>
      </c>
      <c r="J1186" s="31">
        <v>0.0</v>
      </c>
      <c r="K1186" s="26" t="s">
        <v>3541</v>
      </c>
      <c r="L1186" s="89">
        <v>45285.0</v>
      </c>
      <c r="M1186" s="33">
        <v>444.0</v>
      </c>
      <c r="N1186" s="34">
        <v>500.0</v>
      </c>
      <c r="O1186" s="27" t="s">
        <v>76</v>
      </c>
      <c r="P1186" s="35" t="s">
        <v>77</v>
      </c>
      <c r="Q1186" s="35">
        <v>0.0</v>
      </c>
      <c r="R1186" s="36">
        <v>45217.0</v>
      </c>
      <c r="S1186" s="35" t="s">
        <v>86</v>
      </c>
      <c r="T1186" s="35">
        <v>0.0</v>
      </c>
      <c r="U1186" s="37" t="s">
        <v>69</v>
      </c>
      <c r="V1186" s="38"/>
      <c r="W1186" s="78"/>
      <c r="X1186" s="27"/>
      <c r="Y1186" s="39"/>
      <c r="Z1186" s="39"/>
      <c r="AA1186" s="39"/>
      <c r="AB1186" s="27"/>
      <c r="AC1186" s="27">
        <f t="shared" si="926"/>
        <v>0</v>
      </c>
      <c r="AD1186" s="41">
        <f t="shared" si="962"/>
        <v>66.6</v>
      </c>
      <c r="AE1186" s="42"/>
      <c r="AF1186" s="27"/>
      <c r="AG1186" s="43">
        <f>IF(O1186="Paid",IF(A1186="Wethaq",(M1186*28%)-((M1186*28%)*5%),IF((A1186="GIG"),(M1186*25%)-((M1186*25%)*5%),IF((A1186="Allianz"),(M1186*27%)-((M1186*27%)*20%),0))),0)</f>
        <v>0</v>
      </c>
      <c r="AH1186" s="29"/>
      <c r="AI1186" s="29"/>
      <c r="AJ1186" s="29"/>
      <c r="AK1186" s="29"/>
      <c r="AL1186" s="27"/>
      <c r="AM1186" s="44"/>
      <c r="AN1186" s="47"/>
      <c r="AO1186" s="46"/>
      <c r="AP1186" s="47"/>
      <c r="AQ1186" s="43">
        <f t="shared" si="963"/>
        <v>0</v>
      </c>
      <c r="AR1186" s="43">
        <f t="shared" si="448"/>
        <v>0</v>
      </c>
      <c r="AS1186" s="43">
        <f t="shared" si="449"/>
        <v>0</v>
      </c>
      <c r="AT1186" s="48">
        <f t="shared" si="753"/>
        <v>0</v>
      </c>
      <c r="AU1186" s="49">
        <f t="shared" si="921"/>
        <v>0</v>
      </c>
      <c r="AV1186" s="48"/>
      <c r="AW1186" s="34">
        <f t="shared" si="840"/>
        <v>433.4</v>
      </c>
      <c r="AX1186" s="50">
        <f t="shared" si="811"/>
        <v>-66.6</v>
      </c>
      <c r="AY1186" s="43"/>
      <c r="AZ1186" s="47"/>
      <c r="BA1186" s="48">
        <f t="shared" si="922"/>
        <v>0</v>
      </c>
      <c r="BB1186" s="27"/>
      <c r="BC1186" s="27"/>
      <c r="BD1186" s="51"/>
      <c r="BE1186" s="52"/>
      <c r="BF1186" s="27"/>
      <c r="BG1186" s="53">
        <v>0.0</v>
      </c>
      <c r="BH1186" s="53" t="str">
        <f>'[1]2023'!Q1667</f>
        <v>#REF!</v>
      </c>
      <c r="BI1186" s="27"/>
      <c r="BJ1186" s="27"/>
      <c r="BK1186" s="27" t="s">
        <v>76</v>
      </c>
      <c r="BL1186" s="27"/>
    </row>
    <row r="1187" ht="14.25" customHeight="1">
      <c r="A1187" s="26" t="s">
        <v>55</v>
      </c>
      <c r="B1187" s="26" t="s">
        <v>56</v>
      </c>
      <c r="C1187" s="26" t="s">
        <v>57</v>
      </c>
      <c r="D1187" s="26" t="s">
        <v>81</v>
      </c>
      <c r="E1187" s="27" t="s">
        <v>3872</v>
      </c>
      <c r="F1187" s="28" t="s">
        <v>3873</v>
      </c>
      <c r="G1187" s="29">
        <v>45218.0</v>
      </c>
      <c r="H1187" s="30">
        <v>45218.0</v>
      </c>
      <c r="I1187" s="30">
        <v>45583.0</v>
      </c>
      <c r="J1187" s="31" t="s">
        <v>3874</v>
      </c>
      <c r="K1187" s="26" t="s">
        <v>931</v>
      </c>
      <c r="L1187" s="32" t="s">
        <v>3486</v>
      </c>
      <c r="M1187" s="33">
        <v>145140.0</v>
      </c>
      <c r="N1187" s="34">
        <v>154569.96</v>
      </c>
      <c r="O1187" s="27" t="s">
        <v>76</v>
      </c>
      <c r="P1187" s="35" t="s">
        <v>122</v>
      </c>
      <c r="Q1187" s="35" t="s">
        <v>108</v>
      </c>
      <c r="R1187" s="36">
        <v>45218.0</v>
      </c>
      <c r="S1187" s="35" t="s">
        <v>86</v>
      </c>
      <c r="T1187" s="35">
        <v>0.0</v>
      </c>
      <c r="U1187" s="37" t="s">
        <v>67</v>
      </c>
      <c r="V1187" s="38">
        <v>4100000.0</v>
      </c>
      <c r="W1187" s="38">
        <v>929551.0</v>
      </c>
      <c r="X1187" s="27">
        <v>2021.0</v>
      </c>
      <c r="Y1187" s="79" t="s">
        <v>3342</v>
      </c>
      <c r="Z1187" s="39"/>
      <c r="AA1187" s="39"/>
      <c r="AB1187" s="27"/>
      <c r="AC1187" s="27">
        <f t="shared" si="926"/>
        <v>0</v>
      </c>
      <c r="AD1187" s="41">
        <f t="shared" si="962"/>
        <v>21771</v>
      </c>
      <c r="AE1187" s="42"/>
      <c r="AF1187" s="188">
        <v>45259.0</v>
      </c>
      <c r="AG1187" s="43">
        <f>IF(O1187="Paid",IF(A1187="Alwataniya",(M1187*21%)-((M1187*21%)*5%),IF((A1187="GIG"),(M1187*25%)-((M1187*25%)*5%),IF((A1187="Allianz"),(M1187*27%)-((M1187*27%)*5%),0))),0)</f>
        <v>37228.41</v>
      </c>
      <c r="AH1187" s="29"/>
      <c r="AI1187" s="29"/>
      <c r="AJ1187" s="29"/>
      <c r="AK1187" s="29"/>
      <c r="AL1187" s="27"/>
      <c r="AM1187" s="44"/>
      <c r="AN1187" s="47"/>
      <c r="AO1187" s="46"/>
      <c r="AP1187" s="47"/>
      <c r="AQ1187" s="43">
        <f t="shared" ref="AQ1187:AQ1188" si="964">IF(U1187="Motor Plus",(M1187*27%),IF(U1187="Motor One",(M1187*22%),(IF(U1187="Golden",(M1187*25%),(IF(U1187="Classic",(M1187*15%),(IF(U1187="Wethaq",(M1187*28%),IF(U1187="Alwataniya",(M1187*21%))*0))))))))</f>
        <v>39187.8</v>
      </c>
      <c r="AR1187" s="43">
        <f t="shared" si="448"/>
        <v>1959.39</v>
      </c>
      <c r="AS1187" s="43">
        <f t="shared" si="449"/>
        <v>6857.865</v>
      </c>
      <c r="AT1187" s="48">
        <f t="shared" si="753"/>
        <v>30370.545</v>
      </c>
      <c r="AU1187" s="49">
        <f t="shared" si="921"/>
        <v>30370.545</v>
      </c>
      <c r="AV1187" s="48"/>
      <c r="AW1187" s="34">
        <f t="shared" si="840"/>
        <v>132798.96</v>
      </c>
      <c r="AX1187" s="50">
        <f t="shared" si="811"/>
        <v>8599.545</v>
      </c>
      <c r="AY1187" s="43"/>
      <c r="AZ1187" s="47"/>
      <c r="BA1187" s="48">
        <f t="shared" si="922"/>
        <v>30370.545</v>
      </c>
      <c r="BB1187" s="27"/>
      <c r="BC1187" s="27"/>
      <c r="BD1187" s="51"/>
      <c r="BE1187" s="52"/>
      <c r="BF1187" s="27" t="s">
        <v>3875</v>
      </c>
      <c r="BG1187" s="53">
        <v>0.0</v>
      </c>
      <c r="BH1187" s="53" t="str">
        <f>'[1]2023'!Q1112</f>
        <v>#REF!</v>
      </c>
      <c r="BI1187" s="27"/>
      <c r="BJ1187" s="27"/>
      <c r="BK1187" s="27" t="s">
        <v>76</v>
      </c>
      <c r="BL1187" s="27"/>
    </row>
    <row r="1188" ht="14.25" customHeight="1">
      <c r="A1188" s="26" t="s">
        <v>111</v>
      </c>
      <c r="B1188" s="26" t="s">
        <v>56</v>
      </c>
      <c r="C1188" s="26" t="s">
        <v>57</v>
      </c>
      <c r="D1188" s="26" t="s">
        <v>71</v>
      </c>
      <c r="E1188" s="27" t="s">
        <v>3876</v>
      </c>
      <c r="F1188" s="28" t="s">
        <v>3877</v>
      </c>
      <c r="G1188" s="29">
        <v>45218.0</v>
      </c>
      <c r="H1188" s="30">
        <v>45218.0</v>
      </c>
      <c r="I1188" s="30">
        <v>45583.0</v>
      </c>
      <c r="J1188" s="31" t="s">
        <v>3878</v>
      </c>
      <c r="K1188" s="26" t="s">
        <v>931</v>
      </c>
      <c r="L1188" s="32" t="s">
        <v>3168</v>
      </c>
      <c r="M1188" s="33">
        <v>30304.7</v>
      </c>
      <c r="N1188" s="34">
        <v>32500.0</v>
      </c>
      <c r="O1188" s="27" t="s">
        <v>76</v>
      </c>
      <c r="P1188" s="35" t="s">
        <v>89</v>
      </c>
      <c r="Q1188" s="35" t="s">
        <v>114</v>
      </c>
      <c r="R1188" s="36">
        <v>45227.0</v>
      </c>
      <c r="S1188" s="35" t="s">
        <v>66</v>
      </c>
      <c r="T1188" s="35">
        <v>0.0</v>
      </c>
      <c r="U1188" s="37" t="s">
        <v>115</v>
      </c>
      <c r="V1188" s="38">
        <v>1250000.0</v>
      </c>
      <c r="W1188" s="78">
        <v>14428.0</v>
      </c>
      <c r="X1188" s="27"/>
      <c r="Y1188" s="79" t="s">
        <v>2768</v>
      </c>
      <c r="Z1188" s="39"/>
      <c r="AA1188" s="39"/>
      <c r="AB1188" s="27"/>
      <c r="AC1188" s="27">
        <f t="shared" si="926"/>
        <v>0</v>
      </c>
      <c r="AD1188" s="41">
        <f t="shared" si="962"/>
        <v>0</v>
      </c>
      <c r="AE1188" s="42"/>
      <c r="AF1188" s="27"/>
      <c r="AG1188" s="43">
        <f>IF(O1188="Paid",IF(A1188="Wethaq",(M1188*28%)-((M1188*28%)*5%),IF((A1188="GIG"),(M1188*25%)-((M1188*25%)*5%),IF((A1188="Allianz"),(M1188*27%)-((M1188*27%)*5%),0))),0)</f>
        <v>7197.36625</v>
      </c>
      <c r="AH1188" s="29" t="s">
        <v>3168</v>
      </c>
      <c r="AI1188" s="182">
        <v>45300.0</v>
      </c>
      <c r="AJ1188" s="29"/>
      <c r="AK1188" s="29">
        <v>45300.0</v>
      </c>
      <c r="AL1188" s="27"/>
      <c r="AM1188" s="140">
        <f>AU1188*30%</f>
        <v>1761.460688</v>
      </c>
      <c r="AN1188" s="71">
        <v>45654.0</v>
      </c>
      <c r="AO1188" s="46"/>
      <c r="AP1188" s="47"/>
      <c r="AQ1188" s="43">
        <f t="shared" si="964"/>
        <v>7576.175</v>
      </c>
      <c r="AR1188" s="43">
        <f t="shared" si="448"/>
        <v>378.80875</v>
      </c>
      <c r="AS1188" s="43">
        <f t="shared" si="449"/>
        <v>1325.830625</v>
      </c>
      <c r="AT1188" s="48">
        <f t="shared" si="753"/>
        <v>5871.535625</v>
      </c>
      <c r="AU1188" s="49">
        <f t="shared" si="921"/>
        <v>5871.535625</v>
      </c>
      <c r="AV1188" s="48"/>
      <c r="AW1188" s="34">
        <f t="shared" si="840"/>
        <v>32500</v>
      </c>
      <c r="AX1188" s="50">
        <f t="shared" si="811"/>
        <v>4110.074938</v>
      </c>
      <c r="AY1188" s="43"/>
      <c r="AZ1188" s="47"/>
      <c r="BA1188" s="48">
        <f t="shared" si="922"/>
        <v>4110.074938</v>
      </c>
      <c r="BB1188" s="27"/>
      <c r="BC1188" s="27"/>
      <c r="BD1188" s="51"/>
      <c r="BE1188" s="52"/>
      <c r="BF1188" s="27"/>
      <c r="BG1188" s="53">
        <v>0.0</v>
      </c>
      <c r="BH1188" s="53" t="str">
        <f>'[1]2023'!Q1481</f>
        <v>#REF!</v>
      </c>
      <c r="BI1188" s="27"/>
      <c r="BJ1188" s="27"/>
      <c r="BK1188" s="27" t="s">
        <v>76</v>
      </c>
      <c r="BL1188" s="27"/>
    </row>
    <row r="1189" ht="14.25" customHeight="1">
      <c r="A1189" s="26" t="s">
        <v>111</v>
      </c>
      <c r="B1189" s="26" t="s">
        <v>56</v>
      </c>
      <c r="C1189" s="26" t="s">
        <v>57</v>
      </c>
      <c r="D1189" s="26" t="s">
        <v>71</v>
      </c>
      <c r="E1189" s="27" t="s">
        <v>3879</v>
      </c>
      <c r="F1189" s="28" t="s">
        <v>3880</v>
      </c>
      <c r="G1189" s="29">
        <v>45218.0</v>
      </c>
      <c r="H1189" s="30">
        <v>45218.0</v>
      </c>
      <c r="I1189" s="30">
        <v>45583.0</v>
      </c>
      <c r="J1189" s="31" t="s">
        <v>3881</v>
      </c>
      <c r="K1189" s="26" t="s">
        <v>931</v>
      </c>
      <c r="L1189" s="32" t="s">
        <v>63</v>
      </c>
      <c r="M1189" s="160">
        <v>36413.72</v>
      </c>
      <c r="N1189" s="82">
        <v>39000.0</v>
      </c>
      <c r="O1189" s="27" t="s">
        <v>64</v>
      </c>
      <c r="P1189" s="35">
        <v>0.0</v>
      </c>
      <c r="Q1189" s="35" t="s">
        <v>114</v>
      </c>
      <c r="R1189" s="36">
        <v>45227.0</v>
      </c>
      <c r="S1189" s="35" t="s">
        <v>66</v>
      </c>
      <c r="T1189" s="35">
        <v>0.0</v>
      </c>
      <c r="U1189" s="37" t="s">
        <v>115</v>
      </c>
      <c r="V1189" s="38">
        <v>1500000.0</v>
      </c>
      <c r="W1189" s="78">
        <v>1739.0</v>
      </c>
      <c r="X1189" s="27"/>
      <c r="Y1189" s="79" t="s">
        <v>3882</v>
      </c>
      <c r="Z1189" s="39"/>
      <c r="AA1189" s="39"/>
      <c r="AB1189" s="27"/>
      <c r="AC1189" s="27">
        <f t="shared" si="926"/>
        <v>0</v>
      </c>
      <c r="AD1189" s="41">
        <f t="shared" si="962"/>
        <v>0</v>
      </c>
      <c r="AE1189" s="42"/>
      <c r="AF1189" s="27"/>
      <c r="AG1189" s="43">
        <f>IF(O1189="Paid",IF(A1189="Alwataniya",(M1189*21%)-((M1189*21%)*5%),IF((A1189="GIG"),(M1189*25%)-((M1189*25%)*5%),IF((A1189="Allianz"),(M1189*27%)-((M1189*27%)*20%),0))),0)</f>
        <v>0</v>
      </c>
      <c r="AH1189" s="29"/>
      <c r="AI1189" s="29"/>
      <c r="AJ1189" s="29"/>
      <c r="AK1189" s="29"/>
      <c r="AL1189" s="27"/>
      <c r="AM1189" s="44">
        <f>IF((BD1189&lt;=2),AU1189*10%,(IF((BD1189=3),AU1189*20%,IF((BD1189=4),AU1189*20%,IF((BD1189&gt;=5),AU1189*30%,(IF((BD1189="lead"),AU1189*30%,0)))))))</f>
        <v>0</v>
      </c>
      <c r="AN1189" s="47"/>
      <c r="AO1189" s="46"/>
      <c r="AP1189" s="47"/>
      <c r="AQ1189" s="43" t="b">
        <f>IF(O1189="Paid",IF(U1189="Motor Plus",(M1189*27%),IF(U1189="Motor One",(M1189*22%),(IF(U1189="Golden",(M1189*25%),(IF(U1189="Classic",(M1189*15%),(IF(U1189="Wethaq",(M1189*28%),IF(U1189="Alwataniya",(M1189*21%))*0)))))))))</f>
        <v>0</v>
      </c>
      <c r="AR1189" s="43">
        <f t="shared" si="448"/>
        <v>0</v>
      </c>
      <c r="AS1189" s="43">
        <f t="shared" si="449"/>
        <v>0</v>
      </c>
      <c r="AT1189" s="48">
        <f t="shared" si="753"/>
        <v>0</v>
      </c>
      <c r="AU1189" s="49">
        <f t="shared" si="921"/>
        <v>0</v>
      </c>
      <c r="AV1189" s="48"/>
      <c r="AW1189" s="34">
        <f t="shared" si="840"/>
        <v>39000</v>
      </c>
      <c r="AX1189" s="50">
        <f t="shared" si="811"/>
        <v>0</v>
      </c>
      <c r="AY1189" s="43"/>
      <c r="AZ1189" s="47"/>
      <c r="BA1189" s="48">
        <f t="shared" si="922"/>
        <v>0</v>
      </c>
      <c r="BB1189" s="27"/>
      <c r="BC1189" s="27"/>
      <c r="BD1189" s="51"/>
      <c r="BE1189" s="52"/>
      <c r="BF1189" s="27"/>
      <c r="BG1189" s="53">
        <v>0.0</v>
      </c>
      <c r="BH1189" s="53" t="str">
        <f>'[1]2023'!Q1485</f>
        <v>#REF!</v>
      </c>
      <c r="BI1189" s="27"/>
      <c r="BJ1189" s="27"/>
      <c r="BK1189" s="27" t="s">
        <v>64</v>
      </c>
      <c r="BL1189" s="27"/>
    </row>
    <row r="1190" ht="14.25" customHeight="1">
      <c r="A1190" s="26" t="s">
        <v>68</v>
      </c>
      <c r="B1190" s="26" t="s">
        <v>56</v>
      </c>
      <c r="C1190" s="26" t="s">
        <v>57</v>
      </c>
      <c r="D1190" s="26" t="s">
        <v>71</v>
      </c>
      <c r="E1190" s="27" t="s">
        <v>3883</v>
      </c>
      <c r="F1190" s="28" t="s">
        <v>3884</v>
      </c>
      <c r="G1190" s="29">
        <v>45218.0</v>
      </c>
      <c r="H1190" s="30">
        <v>45218.0</v>
      </c>
      <c r="I1190" s="30">
        <v>45583.0</v>
      </c>
      <c r="J1190" s="31" t="s">
        <v>3885</v>
      </c>
      <c r="K1190" s="26" t="s">
        <v>931</v>
      </c>
      <c r="L1190" s="69">
        <v>44968.0</v>
      </c>
      <c r="M1190" s="33">
        <v>51046.18</v>
      </c>
      <c r="N1190" s="34">
        <v>54720.0</v>
      </c>
      <c r="O1190" s="27" t="s">
        <v>76</v>
      </c>
      <c r="P1190" s="35" t="s">
        <v>77</v>
      </c>
      <c r="Q1190" s="35">
        <v>0.0</v>
      </c>
      <c r="R1190" s="36">
        <v>45237.0</v>
      </c>
      <c r="S1190" s="35" t="s">
        <v>1103</v>
      </c>
      <c r="T1190" s="35">
        <v>0.0</v>
      </c>
      <c r="U1190" s="37" t="s">
        <v>68</v>
      </c>
      <c r="V1190" s="38">
        <v>3040000.0</v>
      </c>
      <c r="W1190" s="78">
        <v>501309.0</v>
      </c>
      <c r="X1190" s="27"/>
      <c r="Y1190" s="79" t="s">
        <v>3886</v>
      </c>
      <c r="Z1190" s="39"/>
      <c r="AA1190" s="39"/>
      <c r="AB1190" s="27"/>
      <c r="AC1190" s="27">
        <f t="shared" si="926"/>
        <v>0</v>
      </c>
      <c r="AD1190" s="41">
        <f t="shared" si="962"/>
        <v>0</v>
      </c>
      <c r="AE1190" s="42"/>
      <c r="AF1190" s="27"/>
      <c r="AG1190" s="43">
        <f>M1190*25.32%-((M1190*25.32%)*5%)</f>
        <v>12278.64814</v>
      </c>
      <c r="AH1190" s="29"/>
      <c r="AI1190" s="29" t="s">
        <v>3049</v>
      </c>
      <c r="AJ1190" s="40">
        <v>0.2532</v>
      </c>
      <c r="AK1190" s="29" t="s">
        <v>3050</v>
      </c>
      <c r="AL1190" s="27"/>
      <c r="AM1190" s="215">
        <f>AU1190*10%</f>
        <v>1001.67919</v>
      </c>
      <c r="AN1190" s="71">
        <v>45654.0</v>
      </c>
      <c r="AO1190" s="46"/>
      <c r="AP1190" s="47"/>
      <c r="AQ1190" s="43">
        <f>IF(O1190="Paid",IF(U1190="Motor Plus",(M1190*27%),IF(U1190="Motor One",(M1190*22%),(IF(U1190="Golden",(M1190*25%),(IF(U1190="Classic",(M1190*15%),(IF(U1190="Wethaq",(M1190*25.32%),IF(U1190="Alwataniya",(M1190*21%))*0)))))))))</f>
        <v>12924.89278</v>
      </c>
      <c r="AR1190" s="43">
        <f t="shared" si="448"/>
        <v>646.2446388</v>
      </c>
      <c r="AS1190" s="43">
        <f t="shared" si="449"/>
        <v>2261.856236</v>
      </c>
      <c r="AT1190" s="48">
        <f t="shared" si="753"/>
        <v>10016.7919</v>
      </c>
      <c r="AU1190" s="49">
        <f t="shared" si="921"/>
        <v>10016.7919</v>
      </c>
      <c r="AV1190" s="106">
        <f>(AU1190-AM1190)*10%</f>
        <v>901.5112711</v>
      </c>
      <c r="AW1190" s="34">
        <f t="shared" si="840"/>
        <v>54720</v>
      </c>
      <c r="AX1190" s="50">
        <f t="shared" si="811"/>
        <v>8113.60144</v>
      </c>
      <c r="AY1190" s="43"/>
      <c r="AZ1190" s="47"/>
      <c r="BA1190" s="48">
        <f t="shared" si="922"/>
        <v>9015.112711</v>
      </c>
      <c r="BB1190" s="27"/>
      <c r="BC1190" s="27"/>
      <c r="BD1190" s="51"/>
      <c r="BE1190" s="52"/>
      <c r="BF1190" s="27"/>
      <c r="BG1190" s="53" t="s">
        <v>3887</v>
      </c>
      <c r="BH1190" s="53" t="str">
        <f t="shared" ref="BH1190:BH1191" si="965">'[1]2023'!Q1498</f>
        <v>#REF!</v>
      </c>
      <c r="BI1190" s="27"/>
      <c r="BJ1190" s="27"/>
      <c r="BK1190" s="27" t="s">
        <v>76</v>
      </c>
      <c r="BL1190" s="27"/>
    </row>
    <row r="1191" ht="14.25" customHeight="1">
      <c r="A1191" s="26" t="s">
        <v>68</v>
      </c>
      <c r="B1191" s="26" t="s">
        <v>56</v>
      </c>
      <c r="C1191" s="26" t="s">
        <v>57</v>
      </c>
      <c r="D1191" s="26" t="s">
        <v>71</v>
      </c>
      <c r="E1191" s="27" t="s">
        <v>3888</v>
      </c>
      <c r="F1191" s="28" t="s">
        <v>3889</v>
      </c>
      <c r="G1191" s="29">
        <v>45218.0</v>
      </c>
      <c r="H1191" s="30">
        <v>45218.0</v>
      </c>
      <c r="I1191" s="30">
        <v>45583.0</v>
      </c>
      <c r="J1191" s="31" t="s">
        <v>3890</v>
      </c>
      <c r="K1191" s="26" t="s">
        <v>931</v>
      </c>
      <c r="L1191" s="89">
        <v>45238.0</v>
      </c>
      <c r="M1191" s="33">
        <v>40583.16</v>
      </c>
      <c r="N1191" s="34">
        <v>43400.0</v>
      </c>
      <c r="O1191" s="27" t="s">
        <v>76</v>
      </c>
      <c r="P1191" s="35" t="s">
        <v>142</v>
      </c>
      <c r="Q1191" s="35" t="s">
        <v>108</v>
      </c>
      <c r="R1191" s="36">
        <v>45239.0</v>
      </c>
      <c r="S1191" s="35" t="s">
        <v>86</v>
      </c>
      <c r="T1191" s="35">
        <v>0.0</v>
      </c>
      <c r="U1191" s="37" t="s">
        <v>68</v>
      </c>
      <c r="V1191" s="38">
        <v>2170000.0</v>
      </c>
      <c r="W1191" s="78">
        <v>8047628.0</v>
      </c>
      <c r="X1191" s="27"/>
      <c r="Y1191" s="79" t="s">
        <v>3820</v>
      </c>
      <c r="Z1191" s="39"/>
      <c r="AA1191" s="39"/>
      <c r="AB1191" s="27"/>
      <c r="AC1191" s="27">
        <f t="shared" si="926"/>
        <v>0</v>
      </c>
      <c r="AD1191" s="41">
        <f t="shared" si="962"/>
        <v>6087.474</v>
      </c>
      <c r="AE1191" s="42">
        <v>1000.0</v>
      </c>
      <c r="AF1191" s="27" t="s">
        <v>3296</v>
      </c>
      <c r="AG1191" s="43">
        <f t="shared" ref="AG1191:AG1192" si="966">M1191*28%-((M1191*28%)*5%)</f>
        <v>10795.12056</v>
      </c>
      <c r="AH1191" s="29"/>
      <c r="AI1191" s="29" t="s">
        <v>3049</v>
      </c>
      <c r="AJ1191" s="29"/>
      <c r="AK1191" s="29" t="s">
        <v>3050</v>
      </c>
      <c r="AL1191" s="27"/>
      <c r="AM1191" s="44"/>
      <c r="AN1191" s="47"/>
      <c r="AO1191" s="46"/>
      <c r="AP1191" s="47"/>
      <c r="AQ1191" s="43">
        <f>IF(O1191="Paid",IF(U1191="Motor Plus",(M1191*27%),IF(U1191="Motor One",(M1191*22%),(IF(U1191="Golden",(M1191*25%),(IF(U1191="Classic",(M1191*15%),(IF(U1191="Wethaq",(M1191*28%),IF(U1191="Alwataniya",(M1191*21%))*0)))))))))</f>
        <v>11363.2848</v>
      </c>
      <c r="AR1191" s="43">
        <f t="shared" si="448"/>
        <v>568.16424</v>
      </c>
      <c r="AS1191" s="43">
        <f t="shared" si="449"/>
        <v>1988.57484</v>
      </c>
      <c r="AT1191" s="48">
        <f t="shared" si="753"/>
        <v>8806.54572</v>
      </c>
      <c r="AU1191" s="49">
        <f t="shared" si="921"/>
        <v>8806.54572</v>
      </c>
      <c r="AV1191" s="48"/>
      <c r="AW1191" s="34">
        <f t="shared" si="840"/>
        <v>36312.526</v>
      </c>
      <c r="AX1191" s="50">
        <f t="shared" si="811"/>
        <v>1719.07172</v>
      </c>
      <c r="AY1191" s="43"/>
      <c r="AZ1191" s="47"/>
      <c r="BA1191" s="48">
        <f t="shared" si="922"/>
        <v>8806.54572</v>
      </c>
      <c r="BB1191" s="27"/>
      <c r="BC1191" s="27"/>
      <c r="BD1191" s="51"/>
      <c r="BE1191" s="52"/>
      <c r="BF1191" s="27"/>
      <c r="BG1191" s="58" t="s">
        <v>562</v>
      </c>
      <c r="BH1191" s="53" t="str">
        <f t="shared" si="965"/>
        <v>#REF!</v>
      </c>
      <c r="BI1191" s="27"/>
      <c r="BJ1191" s="27"/>
      <c r="BK1191" s="27" t="s">
        <v>76</v>
      </c>
      <c r="BL1191" s="27"/>
    </row>
    <row r="1192" ht="14.25" customHeight="1">
      <c r="A1192" s="26" t="s">
        <v>68</v>
      </c>
      <c r="B1192" s="26" t="s">
        <v>56</v>
      </c>
      <c r="C1192" s="26" t="s">
        <v>57</v>
      </c>
      <c r="D1192" s="26" t="s">
        <v>71</v>
      </c>
      <c r="E1192" s="27" t="s">
        <v>3891</v>
      </c>
      <c r="F1192" s="28" t="s">
        <v>3892</v>
      </c>
      <c r="G1192" s="29">
        <v>45218.0</v>
      </c>
      <c r="H1192" s="30">
        <v>45218.0</v>
      </c>
      <c r="I1192" s="30">
        <v>45583.0</v>
      </c>
      <c r="J1192" s="31" t="s">
        <v>3893</v>
      </c>
      <c r="K1192" s="26" t="s">
        <v>931</v>
      </c>
      <c r="L1192" s="32" t="s">
        <v>63</v>
      </c>
      <c r="M1192" s="33">
        <v>12548.38</v>
      </c>
      <c r="N1192" s="34">
        <v>13500.0</v>
      </c>
      <c r="O1192" s="27" t="s">
        <v>76</v>
      </c>
      <c r="P1192" s="35" t="s">
        <v>430</v>
      </c>
      <c r="Q1192" s="35">
        <v>0.0</v>
      </c>
      <c r="R1192" s="36">
        <v>45237.0</v>
      </c>
      <c r="S1192" s="35" t="s">
        <v>676</v>
      </c>
      <c r="T1192" s="35">
        <v>0.0</v>
      </c>
      <c r="U1192" s="37" t="s">
        <v>68</v>
      </c>
      <c r="V1192" s="38">
        <v>600000.0</v>
      </c>
      <c r="W1192" s="78">
        <v>4020322.0</v>
      </c>
      <c r="X1192" s="27"/>
      <c r="Y1192" s="79" t="s">
        <v>3894</v>
      </c>
      <c r="Z1192" s="39"/>
      <c r="AA1192" s="39"/>
      <c r="AB1192" s="27"/>
      <c r="AC1192" s="27">
        <f t="shared" si="926"/>
        <v>0</v>
      </c>
      <c r="AD1192" s="41">
        <f t="shared" si="962"/>
        <v>0</v>
      </c>
      <c r="AE1192" s="42"/>
      <c r="AF1192" s="27"/>
      <c r="AG1192" s="43">
        <f t="shared" si="966"/>
        <v>3337.86908</v>
      </c>
      <c r="AH1192" s="29"/>
      <c r="AI1192" s="29">
        <v>45284.0</v>
      </c>
      <c r="AJ1192" s="55">
        <v>0.28</v>
      </c>
      <c r="AK1192" s="182">
        <v>45279.0</v>
      </c>
      <c r="AL1192" s="27"/>
      <c r="AM1192" s="215">
        <f>AU1192*10%</f>
        <v>272.299846</v>
      </c>
      <c r="AN1192" s="71">
        <v>45654.0</v>
      </c>
      <c r="AO1192" s="46"/>
      <c r="AP1192" s="47"/>
      <c r="AQ1192" s="43">
        <f>M1192*AJ1192</f>
        <v>3513.5464</v>
      </c>
      <c r="AR1192" s="43">
        <f t="shared" si="448"/>
        <v>175.67732</v>
      </c>
      <c r="AS1192" s="43">
        <f t="shared" si="449"/>
        <v>614.87062</v>
      </c>
      <c r="AT1192" s="48">
        <f t="shared" si="753"/>
        <v>2722.99846</v>
      </c>
      <c r="AU1192" s="49">
        <f t="shared" si="921"/>
        <v>2722.99846</v>
      </c>
      <c r="AV1192" s="106">
        <f>(AU1192-AM1192)*10%</f>
        <v>245.0698614</v>
      </c>
      <c r="AW1192" s="34">
        <f t="shared" si="840"/>
        <v>13500</v>
      </c>
      <c r="AX1192" s="113">
        <f t="shared" si="811"/>
        <v>2205.628753</v>
      </c>
      <c r="AY1192" s="43"/>
      <c r="AZ1192" s="47"/>
      <c r="BA1192" s="48">
        <f t="shared" si="922"/>
        <v>2450.698614</v>
      </c>
      <c r="BB1192" s="27"/>
      <c r="BC1192" s="27"/>
      <c r="BD1192" s="51"/>
      <c r="BE1192" s="52"/>
      <c r="BF1192" s="27"/>
      <c r="BG1192" s="53">
        <v>0.0</v>
      </c>
      <c r="BH1192" s="53" t="str">
        <f>'[1]2023'!Q1513</f>
        <v>#REF!</v>
      </c>
      <c r="BI1192" s="27"/>
      <c r="BJ1192" s="27"/>
      <c r="BK1192" s="27" t="s">
        <v>76</v>
      </c>
      <c r="BL1192" s="27"/>
    </row>
    <row r="1193" ht="14.25" customHeight="1">
      <c r="A1193" s="26" t="s">
        <v>68</v>
      </c>
      <c r="B1193" s="26" t="s">
        <v>56</v>
      </c>
      <c r="C1193" s="26" t="s">
        <v>57</v>
      </c>
      <c r="D1193" s="26" t="s">
        <v>58</v>
      </c>
      <c r="E1193" s="27" t="s">
        <v>3895</v>
      </c>
      <c r="F1193" s="28" t="s">
        <v>3896</v>
      </c>
      <c r="G1193" s="29">
        <v>45218.0</v>
      </c>
      <c r="H1193" s="30">
        <v>45218.0</v>
      </c>
      <c r="I1193" s="30">
        <v>45583.0</v>
      </c>
      <c r="J1193" s="31">
        <v>0.0</v>
      </c>
      <c r="K1193" s="26" t="s">
        <v>931</v>
      </c>
      <c r="L1193" s="32" t="s">
        <v>63</v>
      </c>
      <c r="M1193" s="33">
        <v>0.0</v>
      </c>
      <c r="N1193" s="34">
        <v>30.0</v>
      </c>
      <c r="O1193" s="27" t="s">
        <v>76</v>
      </c>
      <c r="P1193" s="35">
        <v>0.0</v>
      </c>
      <c r="Q1193" s="35" t="s">
        <v>108</v>
      </c>
      <c r="R1193" s="36">
        <v>45237.0</v>
      </c>
      <c r="S1193" s="35" t="s">
        <v>86</v>
      </c>
      <c r="T1193" s="35">
        <v>0.0</v>
      </c>
      <c r="U1193" s="37" t="s">
        <v>58</v>
      </c>
      <c r="V1193" s="38"/>
      <c r="W1193" s="78"/>
      <c r="X1193" s="27"/>
      <c r="Y1193" s="39"/>
      <c r="Z1193" s="39"/>
      <c r="AA1193" s="39"/>
      <c r="AB1193" s="27"/>
      <c r="AC1193" s="27">
        <f t="shared" si="926"/>
        <v>0</v>
      </c>
      <c r="AD1193" s="41">
        <f t="shared" si="962"/>
        <v>0</v>
      </c>
      <c r="AE1193" s="42"/>
      <c r="AF1193" s="27" t="s">
        <v>63</v>
      </c>
      <c r="AG1193" s="43"/>
      <c r="AH1193" s="29"/>
      <c r="AI1193" s="29"/>
      <c r="AJ1193" s="29"/>
      <c r="AK1193" s="29" t="s">
        <v>63</v>
      </c>
      <c r="AL1193" s="27"/>
      <c r="AM1193" s="44"/>
      <c r="AN1193" s="47"/>
      <c r="AO1193" s="46"/>
      <c r="AP1193" s="47"/>
      <c r="AQ1193" s="43">
        <f>IF(O1193="Paid",IF(U1193="Motor Plus",(M1193*27%),IF(U1193="Motor One",(M1193*22%),(IF(U1193="Golden",(M1193*25%),(IF(U1193="Classic",(M1193*15%),(IF(U1193="Wethaq",(M1193*28%),IF(U1193="Alwataniya",(M1193*21%))*0)))))))))</f>
        <v>0</v>
      </c>
      <c r="AR1193" s="43">
        <f t="shared" si="448"/>
        <v>0</v>
      </c>
      <c r="AS1193" s="43">
        <f t="shared" si="449"/>
        <v>0</v>
      </c>
      <c r="AT1193" s="48">
        <f t="shared" si="753"/>
        <v>0</v>
      </c>
      <c r="AU1193" s="49">
        <f t="shared" si="921"/>
        <v>0</v>
      </c>
      <c r="AV1193" s="48"/>
      <c r="AW1193" s="34">
        <f t="shared" si="840"/>
        <v>30</v>
      </c>
      <c r="AX1193" s="50">
        <f t="shared" si="811"/>
        <v>0</v>
      </c>
      <c r="AY1193" s="43"/>
      <c r="AZ1193" s="47"/>
      <c r="BA1193" s="48">
        <f t="shared" si="922"/>
        <v>0</v>
      </c>
      <c r="BB1193" s="27"/>
      <c r="BC1193" s="27"/>
      <c r="BD1193" s="51"/>
      <c r="BE1193" s="52"/>
      <c r="BF1193" s="27"/>
      <c r="BG1193" s="53">
        <v>0.0</v>
      </c>
      <c r="BH1193" s="53" t="str">
        <f>'[1]2023'!Q1542</f>
        <v>#REF!</v>
      </c>
      <c r="BI1193" s="27"/>
      <c r="BJ1193" s="27"/>
      <c r="BK1193" s="27" t="s">
        <v>76</v>
      </c>
      <c r="BL1193" s="27"/>
    </row>
    <row r="1194" ht="14.25" customHeight="1">
      <c r="A1194" s="123" t="s">
        <v>55</v>
      </c>
      <c r="B1194" s="26" t="s">
        <v>1099</v>
      </c>
      <c r="C1194" s="123" t="s">
        <v>57</v>
      </c>
      <c r="D1194" s="26" t="s">
        <v>71</v>
      </c>
      <c r="E1194" s="27">
        <v>9.0402055928E10</v>
      </c>
      <c r="F1194" s="28" t="s">
        <v>1101</v>
      </c>
      <c r="G1194" s="29">
        <v>45218.0</v>
      </c>
      <c r="H1194" s="30">
        <v>45218.0</v>
      </c>
      <c r="I1194" s="30">
        <v>45583.0</v>
      </c>
      <c r="J1194" s="31" t="s">
        <v>86</v>
      </c>
      <c r="K1194" s="26" t="s">
        <v>3541</v>
      </c>
      <c r="L1194" s="89">
        <v>45224.0</v>
      </c>
      <c r="M1194" s="33">
        <v>19269.93</v>
      </c>
      <c r="N1194" s="34">
        <v>19791.06</v>
      </c>
      <c r="O1194" s="27" t="s">
        <v>76</v>
      </c>
      <c r="P1194" s="35" t="s">
        <v>430</v>
      </c>
      <c r="Q1194" s="35">
        <v>0.0</v>
      </c>
      <c r="R1194" s="36">
        <v>0.0</v>
      </c>
      <c r="S1194" s="35" t="s">
        <v>1103</v>
      </c>
      <c r="T1194" s="35">
        <v>0.0</v>
      </c>
      <c r="U1194" s="37">
        <v>0.0</v>
      </c>
      <c r="V1194" s="38"/>
      <c r="W1194" s="78"/>
      <c r="X1194" s="27"/>
      <c r="Y1194" s="39"/>
      <c r="Z1194" s="39"/>
      <c r="AA1194" s="39"/>
      <c r="AB1194" s="27"/>
      <c r="AC1194" s="27">
        <f t="shared" si="926"/>
        <v>0</v>
      </c>
      <c r="AD1194" s="41">
        <f t="shared" si="962"/>
        <v>0</v>
      </c>
      <c r="AE1194" s="42"/>
      <c r="AF1194" s="27"/>
      <c r="AG1194" s="43">
        <f>IF(O1194="Paid",IF(A1194="Wethaq",(M1194*28%)-((M1194*28%)*5%),IF((A1194="GIG"),(M1194*25%)-((M1194*25%)*5%),IF((A1194="Allianz"),(M1194*27%)-((M1194*27%)*20%),0))),0)</f>
        <v>4162.30488</v>
      </c>
      <c r="AH1194" s="29"/>
      <c r="AI1194" s="29"/>
      <c r="AJ1194" s="29"/>
      <c r="AK1194" s="29"/>
      <c r="AL1194" s="27"/>
      <c r="AM1194" s="215">
        <f>AU1194*10%</f>
        <v>149.3419575</v>
      </c>
      <c r="AN1194" s="71">
        <v>45654.0</v>
      </c>
      <c r="AO1194" s="46"/>
      <c r="AP1194" s="47"/>
      <c r="AQ1194" s="43">
        <f>M1194*10%</f>
        <v>1926.993</v>
      </c>
      <c r="AR1194" s="43">
        <f t="shared" si="448"/>
        <v>96.34965</v>
      </c>
      <c r="AS1194" s="43">
        <f t="shared" si="449"/>
        <v>337.223775</v>
      </c>
      <c r="AT1194" s="48">
        <f t="shared" si="753"/>
        <v>1493.419575</v>
      </c>
      <c r="AU1194" s="49">
        <f t="shared" si="921"/>
        <v>1493.419575</v>
      </c>
      <c r="AV1194" s="106">
        <f>(AU1194-AM1194)*10%</f>
        <v>134.4077618</v>
      </c>
      <c r="AW1194" s="34">
        <f t="shared" si="840"/>
        <v>19791.06</v>
      </c>
      <c r="AX1194" s="50">
        <f t="shared" si="811"/>
        <v>3541.331386</v>
      </c>
      <c r="AY1194" s="43"/>
      <c r="AZ1194" s="47"/>
      <c r="BA1194" s="48">
        <f t="shared" si="922"/>
        <v>1344.077618</v>
      </c>
      <c r="BB1194" s="27"/>
      <c r="BC1194" s="27"/>
      <c r="BD1194" s="51"/>
      <c r="BE1194" s="52"/>
      <c r="BF1194" s="27"/>
      <c r="BG1194" s="53">
        <v>0.0</v>
      </c>
      <c r="BH1194" s="53" t="str">
        <f>'[1]2023'!Q1691</f>
        <v>#REF!</v>
      </c>
      <c r="BI1194" s="27"/>
      <c r="BJ1194" s="27"/>
      <c r="BK1194" s="27" t="s">
        <v>1102</v>
      </c>
      <c r="BL1194" s="27"/>
    </row>
    <row r="1195" ht="14.25" customHeight="1">
      <c r="A1195" s="26" t="s">
        <v>55</v>
      </c>
      <c r="B1195" s="26" t="s">
        <v>56</v>
      </c>
      <c r="C1195" s="26" t="s">
        <v>57</v>
      </c>
      <c r="D1195" s="26" t="s">
        <v>81</v>
      </c>
      <c r="E1195" s="27" t="s">
        <v>3897</v>
      </c>
      <c r="F1195" s="28" t="s">
        <v>3898</v>
      </c>
      <c r="G1195" s="29">
        <v>45219.0</v>
      </c>
      <c r="H1195" s="30">
        <v>45219.0</v>
      </c>
      <c r="I1195" s="30">
        <v>45584.0</v>
      </c>
      <c r="J1195" s="31" t="s">
        <v>3899</v>
      </c>
      <c r="K1195" s="26" t="s">
        <v>931</v>
      </c>
      <c r="L1195" s="69">
        <v>45270.0</v>
      </c>
      <c r="M1195" s="33">
        <v>43881.25</v>
      </c>
      <c r="N1195" s="34">
        <v>46829.65</v>
      </c>
      <c r="O1195" s="27" t="s">
        <v>76</v>
      </c>
      <c r="P1195" s="35" t="s">
        <v>142</v>
      </c>
      <c r="Q1195" s="35" t="s">
        <v>90</v>
      </c>
      <c r="R1195" s="36">
        <v>45219.0</v>
      </c>
      <c r="S1195" s="35" t="s">
        <v>86</v>
      </c>
      <c r="T1195" s="35">
        <v>0.0</v>
      </c>
      <c r="U1195" s="37" t="s">
        <v>67</v>
      </c>
      <c r="V1195" s="38">
        <v>1700000.0</v>
      </c>
      <c r="W1195" s="78">
        <v>500848.0</v>
      </c>
      <c r="X1195" s="27">
        <v>2022.0</v>
      </c>
      <c r="Y1195" s="79" t="s">
        <v>2641</v>
      </c>
      <c r="Z1195" s="79" t="s">
        <v>407</v>
      </c>
      <c r="AA1195" s="39">
        <v>2823106.0</v>
      </c>
      <c r="AB1195" s="27"/>
      <c r="AC1195" s="27">
        <f t="shared" si="926"/>
        <v>0</v>
      </c>
      <c r="AD1195" s="41">
        <f t="shared" si="962"/>
        <v>6582.1875</v>
      </c>
      <c r="AE1195" s="42"/>
      <c r="AF1195" s="29">
        <v>45240.0</v>
      </c>
      <c r="AG1195" s="43">
        <f t="shared" ref="AG1195:AG1198" si="967">IF(O1195="Paid",IF(A1195="Alwataniya",(M1195*21%)-((M1195*21%)*5%),IF((A1195="GIG"),(M1195*25%)-((M1195*25%)*5%),IF((A1195="Allianz"),(M1195*27%)-((M1195*27%)*5%),0))),0)</f>
        <v>11255.54063</v>
      </c>
      <c r="AH1195" s="29"/>
      <c r="AI1195" s="29"/>
      <c r="AJ1195" s="29"/>
      <c r="AK1195" s="29"/>
      <c r="AL1195" s="27"/>
      <c r="AM1195" s="44"/>
      <c r="AN1195" s="47"/>
      <c r="AO1195" s="46"/>
      <c r="AP1195" s="47"/>
      <c r="AQ1195" s="43">
        <f t="shared" ref="AQ1195:AQ1197" si="968">IF(U1195="Motor Plus",(M1195*27%),IF(U1195="Motor One",(M1195*22%),(IF(U1195="Golden",(M1195*25%),(IF(U1195="Classic",(M1195*15%),(IF(U1195="Wethaq",(M1195*28%),IF(U1195="Alwataniya",(M1195*21%))*0))))))))</f>
        <v>11847.9375</v>
      </c>
      <c r="AR1195" s="43">
        <f t="shared" si="448"/>
        <v>592.396875</v>
      </c>
      <c r="AS1195" s="43">
        <f t="shared" si="449"/>
        <v>2073.389063</v>
      </c>
      <c r="AT1195" s="48">
        <f t="shared" si="753"/>
        <v>9182.151563</v>
      </c>
      <c r="AU1195" s="49">
        <f t="shared" si="921"/>
        <v>9182.151563</v>
      </c>
      <c r="AV1195" s="48"/>
      <c r="AW1195" s="34">
        <f t="shared" si="840"/>
        <v>40247.4625</v>
      </c>
      <c r="AX1195" s="50">
        <f t="shared" si="811"/>
        <v>2599.964063</v>
      </c>
      <c r="AY1195" s="43"/>
      <c r="AZ1195" s="47"/>
      <c r="BA1195" s="48">
        <f t="shared" si="922"/>
        <v>9182.151563</v>
      </c>
      <c r="BB1195" s="27"/>
      <c r="BC1195" s="27"/>
      <c r="BD1195" s="51"/>
      <c r="BE1195" s="52"/>
      <c r="BF1195" s="27"/>
      <c r="BG1195" s="53">
        <v>0.0</v>
      </c>
      <c r="BH1195" s="53" t="str">
        <f>'[1]2023'!Q1380</f>
        <v>#REF!</v>
      </c>
      <c r="BI1195" s="27"/>
      <c r="BJ1195" s="27"/>
      <c r="BK1195" s="27" t="s">
        <v>76</v>
      </c>
      <c r="BL1195" s="27"/>
    </row>
    <row r="1196" ht="14.25" customHeight="1">
      <c r="A1196" s="26" t="s">
        <v>55</v>
      </c>
      <c r="B1196" s="26" t="s">
        <v>56</v>
      </c>
      <c r="C1196" s="26" t="s">
        <v>57</v>
      </c>
      <c r="D1196" s="26" t="s">
        <v>81</v>
      </c>
      <c r="E1196" s="27" t="s">
        <v>3900</v>
      </c>
      <c r="F1196" s="28" t="s">
        <v>3901</v>
      </c>
      <c r="G1196" s="29">
        <v>45219.0</v>
      </c>
      <c r="H1196" s="30">
        <v>45219.0</v>
      </c>
      <c r="I1196" s="30">
        <v>45584.0</v>
      </c>
      <c r="J1196" s="31" t="s">
        <v>3902</v>
      </c>
      <c r="K1196" s="26" t="s">
        <v>931</v>
      </c>
      <c r="L1196" s="32" t="s">
        <v>1324</v>
      </c>
      <c r="M1196" s="33">
        <v>25812.5</v>
      </c>
      <c r="N1196" s="34">
        <v>27605.51</v>
      </c>
      <c r="O1196" s="27" t="s">
        <v>76</v>
      </c>
      <c r="P1196" s="35" t="s">
        <v>89</v>
      </c>
      <c r="Q1196" s="35" t="s">
        <v>90</v>
      </c>
      <c r="R1196" s="36">
        <v>45219.0</v>
      </c>
      <c r="S1196" s="35" t="s">
        <v>86</v>
      </c>
      <c r="T1196" s="35">
        <v>0.0</v>
      </c>
      <c r="U1196" s="37" t="s">
        <v>67</v>
      </c>
      <c r="V1196" s="38">
        <v>1250000.0</v>
      </c>
      <c r="W1196" s="78">
        <v>4340.0</v>
      </c>
      <c r="X1196" s="27">
        <v>2020.0</v>
      </c>
      <c r="Y1196" s="79" t="s">
        <v>208</v>
      </c>
      <c r="Z1196" s="79" t="s">
        <v>208</v>
      </c>
      <c r="AA1196" s="39"/>
      <c r="AB1196" s="27"/>
      <c r="AC1196" s="27">
        <f t="shared" si="926"/>
        <v>0</v>
      </c>
      <c r="AD1196" s="41">
        <f t="shared" si="962"/>
        <v>3871.875</v>
      </c>
      <c r="AE1196" s="42"/>
      <c r="AF1196" s="27"/>
      <c r="AG1196" s="43">
        <f t="shared" si="967"/>
        <v>6620.90625</v>
      </c>
      <c r="AH1196" s="29"/>
      <c r="AI1196" s="29"/>
      <c r="AJ1196" s="29"/>
      <c r="AK1196" s="29"/>
      <c r="AL1196" s="27"/>
      <c r="AM1196" s="44"/>
      <c r="AN1196" s="47"/>
      <c r="AO1196" s="46"/>
      <c r="AP1196" s="47"/>
      <c r="AQ1196" s="43">
        <f t="shared" si="968"/>
        <v>6969.375</v>
      </c>
      <c r="AR1196" s="43">
        <f t="shared" si="448"/>
        <v>348.46875</v>
      </c>
      <c r="AS1196" s="43">
        <f t="shared" si="449"/>
        <v>1219.640625</v>
      </c>
      <c r="AT1196" s="48">
        <f t="shared" si="753"/>
        <v>5401.265625</v>
      </c>
      <c r="AU1196" s="49">
        <f t="shared" si="921"/>
        <v>5401.265625</v>
      </c>
      <c r="AV1196" s="48"/>
      <c r="AW1196" s="34">
        <f t="shared" si="840"/>
        <v>23733.635</v>
      </c>
      <c r="AX1196" s="50">
        <f t="shared" si="811"/>
        <v>1529.390625</v>
      </c>
      <c r="AY1196" s="43"/>
      <c r="AZ1196" s="47"/>
      <c r="BA1196" s="48">
        <f t="shared" si="922"/>
        <v>5401.265625</v>
      </c>
      <c r="BB1196" s="27"/>
      <c r="BC1196" s="27"/>
      <c r="BD1196" s="51"/>
      <c r="BE1196" s="52"/>
      <c r="BF1196" s="27"/>
      <c r="BG1196" s="53">
        <v>0.0</v>
      </c>
      <c r="BH1196" s="53" t="str">
        <f>'[1]2023'!Q1488</f>
        <v>#REF!</v>
      </c>
      <c r="BI1196" s="27"/>
      <c r="BJ1196" s="27"/>
      <c r="BK1196" s="27" t="s">
        <v>76</v>
      </c>
      <c r="BL1196" s="27"/>
    </row>
    <row r="1197" ht="14.25" customHeight="1">
      <c r="A1197" s="26" t="s">
        <v>55</v>
      </c>
      <c r="B1197" s="26" t="s">
        <v>56</v>
      </c>
      <c r="C1197" s="26" t="s">
        <v>57</v>
      </c>
      <c r="D1197" s="26" t="s">
        <v>81</v>
      </c>
      <c r="E1197" s="27" t="s">
        <v>3903</v>
      </c>
      <c r="F1197" s="28" t="s">
        <v>3904</v>
      </c>
      <c r="G1197" s="29">
        <v>45219.0</v>
      </c>
      <c r="H1197" s="30">
        <v>45219.0</v>
      </c>
      <c r="I1197" s="30">
        <v>45584.0</v>
      </c>
      <c r="J1197" s="31" t="s">
        <v>3905</v>
      </c>
      <c r="K1197" s="26" t="s">
        <v>931</v>
      </c>
      <c r="L1197" s="32" t="s">
        <v>3486</v>
      </c>
      <c r="M1197" s="33">
        <v>15675.0</v>
      </c>
      <c r="N1197" s="34">
        <v>16819.21</v>
      </c>
      <c r="O1197" s="27" t="s">
        <v>76</v>
      </c>
      <c r="P1197" s="35" t="s">
        <v>430</v>
      </c>
      <c r="Q1197" s="35">
        <v>0.0</v>
      </c>
      <c r="R1197" s="36">
        <v>45219.0</v>
      </c>
      <c r="S1197" s="35" t="s">
        <v>86</v>
      </c>
      <c r="T1197" s="35">
        <v>0.0</v>
      </c>
      <c r="U1197" s="37" t="s">
        <v>67</v>
      </c>
      <c r="V1197" s="38">
        <v>950000.0</v>
      </c>
      <c r="W1197" s="78">
        <v>1006076.0</v>
      </c>
      <c r="X1197" s="27">
        <v>2017.0</v>
      </c>
      <c r="Y1197" s="79" t="s">
        <v>2702</v>
      </c>
      <c r="Z1197" s="39"/>
      <c r="AA1197" s="39"/>
      <c r="AB1197" s="27"/>
      <c r="AC1197" s="27">
        <f t="shared" si="926"/>
        <v>0</v>
      </c>
      <c r="AD1197" s="41">
        <f t="shared" si="962"/>
        <v>2351.25</v>
      </c>
      <c r="AE1197" s="42"/>
      <c r="AF1197" s="27"/>
      <c r="AG1197" s="43">
        <f t="shared" si="967"/>
        <v>4020.6375</v>
      </c>
      <c r="AH1197" s="29"/>
      <c r="AI1197" s="29"/>
      <c r="AJ1197" s="29"/>
      <c r="AK1197" s="29"/>
      <c r="AL1197" s="27"/>
      <c r="AM1197" s="44"/>
      <c r="AN1197" s="47"/>
      <c r="AO1197" s="46"/>
      <c r="AP1197" s="47"/>
      <c r="AQ1197" s="43">
        <f t="shared" si="968"/>
        <v>4232.25</v>
      </c>
      <c r="AR1197" s="43">
        <f t="shared" si="448"/>
        <v>211.6125</v>
      </c>
      <c r="AS1197" s="43">
        <f t="shared" si="449"/>
        <v>740.64375</v>
      </c>
      <c r="AT1197" s="48">
        <f t="shared" si="753"/>
        <v>3279.99375</v>
      </c>
      <c r="AU1197" s="49">
        <f t="shared" si="921"/>
        <v>3279.99375</v>
      </c>
      <c r="AV1197" s="48"/>
      <c r="AW1197" s="34">
        <f t="shared" si="840"/>
        <v>14467.96</v>
      </c>
      <c r="AX1197" s="50">
        <f t="shared" si="811"/>
        <v>928.74375</v>
      </c>
      <c r="AY1197" s="43"/>
      <c r="AZ1197" s="47"/>
      <c r="BA1197" s="48">
        <f t="shared" si="922"/>
        <v>3279.99375</v>
      </c>
      <c r="BB1197" s="27"/>
      <c r="BC1197" s="27"/>
      <c r="BD1197" s="51"/>
      <c r="BE1197" s="52"/>
      <c r="BF1197" s="27"/>
      <c r="BG1197" s="53">
        <v>0.0</v>
      </c>
      <c r="BH1197" s="53" t="str">
        <f>'[1]2023'!Q1494</f>
        <v>#REF!</v>
      </c>
      <c r="BI1197" s="27"/>
      <c r="BJ1197" s="27"/>
      <c r="BK1197" s="27" t="s">
        <v>76</v>
      </c>
      <c r="BL1197" s="27"/>
    </row>
    <row r="1198" ht="14.25" customHeight="1">
      <c r="A1198" s="26" t="s">
        <v>55</v>
      </c>
      <c r="B1198" s="26" t="s">
        <v>56</v>
      </c>
      <c r="C1198" s="26" t="s">
        <v>57</v>
      </c>
      <c r="D1198" s="26" t="s">
        <v>81</v>
      </c>
      <c r="E1198" s="27" t="s">
        <v>3906</v>
      </c>
      <c r="F1198" s="28" t="s">
        <v>3907</v>
      </c>
      <c r="G1198" s="29">
        <v>45219.0</v>
      </c>
      <c r="H1198" s="30">
        <v>45219.0</v>
      </c>
      <c r="I1198" s="30">
        <v>45584.0</v>
      </c>
      <c r="J1198" s="31" t="s">
        <v>3908</v>
      </c>
      <c r="K1198" s="26" t="s">
        <v>931</v>
      </c>
      <c r="L1198" s="69">
        <v>44937.0</v>
      </c>
      <c r="M1198" s="33">
        <v>29426.25</v>
      </c>
      <c r="N1198" s="34">
        <v>31450.53</v>
      </c>
      <c r="O1198" s="27" t="s">
        <v>76</v>
      </c>
      <c r="P1198" s="35" t="s">
        <v>122</v>
      </c>
      <c r="Q1198" s="35" t="s">
        <v>90</v>
      </c>
      <c r="R1198" s="36">
        <v>45219.0</v>
      </c>
      <c r="S1198" s="35" t="s">
        <v>86</v>
      </c>
      <c r="T1198" s="35">
        <v>0.0</v>
      </c>
      <c r="U1198" s="37" t="s">
        <v>67</v>
      </c>
      <c r="V1198" s="38">
        <v>1500000.0</v>
      </c>
      <c r="W1198" s="78">
        <v>500935.0</v>
      </c>
      <c r="X1198" s="27"/>
      <c r="Y1198" s="79" t="s">
        <v>407</v>
      </c>
      <c r="Z1198" s="79" t="s">
        <v>407</v>
      </c>
      <c r="AA1198" s="39"/>
      <c r="AB1198" s="27"/>
      <c r="AC1198" s="27">
        <f t="shared" si="926"/>
        <v>0</v>
      </c>
      <c r="AD1198" s="41">
        <f t="shared" si="962"/>
        <v>4413.9375</v>
      </c>
      <c r="AE1198" s="42"/>
      <c r="AF1198" s="27"/>
      <c r="AG1198" s="43">
        <f t="shared" si="967"/>
        <v>7547.833125</v>
      </c>
      <c r="AH1198" s="29"/>
      <c r="AI1198" s="29"/>
      <c r="AJ1198" s="29"/>
      <c r="AK1198" s="29"/>
      <c r="AL1198" s="27"/>
      <c r="AM1198" s="44"/>
      <c r="AN1198" s="47"/>
      <c r="AO1198" s="46"/>
      <c r="AP1198" s="47"/>
      <c r="AQ1198" s="43">
        <f t="shared" ref="AQ1198:AQ1199" si="969">IF(O1198="Paid",IF(U1198="Motor Plus",(M1198*27%),IF(U1198="Motor One",(M1198*22%),(IF(U1198="Golden",(M1198*25%),(IF(U1198="Classic",(M1198*15%),(IF(U1198="Wethaq",(M1198*28%),IF(U1198="Alwataniya",(M1198*21%))*0)))))))))</f>
        <v>7945.0875</v>
      </c>
      <c r="AR1198" s="43">
        <f t="shared" si="448"/>
        <v>397.254375</v>
      </c>
      <c r="AS1198" s="43">
        <f t="shared" si="449"/>
        <v>1390.390313</v>
      </c>
      <c r="AT1198" s="48">
        <f t="shared" si="753"/>
        <v>6157.442813</v>
      </c>
      <c r="AU1198" s="49">
        <f t="shared" si="921"/>
        <v>6157.442813</v>
      </c>
      <c r="AV1198" s="48"/>
      <c r="AW1198" s="34">
        <f t="shared" si="840"/>
        <v>27036.5925</v>
      </c>
      <c r="AX1198" s="50">
        <f t="shared" si="811"/>
        <v>1743.505313</v>
      </c>
      <c r="AY1198" s="43"/>
      <c r="AZ1198" s="47"/>
      <c r="BA1198" s="48">
        <f t="shared" si="922"/>
        <v>6157.442813</v>
      </c>
      <c r="BB1198" s="27"/>
      <c r="BC1198" s="27"/>
      <c r="BD1198" s="51"/>
      <c r="BE1198" s="52"/>
      <c r="BF1198" s="27"/>
      <c r="BG1198" s="53">
        <v>0.0</v>
      </c>
      <c r="BH1198" s="53" t="str">
        <f>'[1]2023'!Q1548</f>
        <v>#REF!</v>
      </c>
      <c r="BI1198" s="27"/>
      <c r="BJ1198" s="27"/>
      <c r="BK1198" s="27" t="s">
        <v>76</v>
      </c>
      <c r="BL1198" s="27"/>
    </row>
    <row r="1199" ht="14.25" customHeight="1">
      <c r="A1199" s="26" t="s">
        <v>55</v>
      </c>
      <c r="B1199" s="26" t="s">
        <v>56</v>
      </c>
      <c r="C1199" s="26" t="s">
        <v>57</v>
      </c>
      <c r="D1199" s="26" t="s">
        <v>81</v>
      </c>
      <c r="E1199" s="27" t="s">
        <v>3909</v>
      </c>
      <c r="F1199" s="28" t="s">
        <v>3910</v>
      </c>
      <c r="G1199" s="29">
        <v>45219.0</v>
      </c>
      <c r="H1199" s="30">
        <v>45219.0</v>
      </c>
      <c r="I1199" s="30">
        <v>45584.0</v>
      </c>
      <c r="J1199" s="31" t="s">
        <v>3911</v>
      </c>
      <c r="K1199" s="26" t="s">
        <v>931</v>
      </c>
      <c r="L1199" s="89">
        <v>45253.0</v>
      </c>
      <c r="M1199" s="33">
        <v>22420.0</v>
      </c>
      <c r="N1199" s="34">
        <v>23995.88</v>
      </c>
      <c r="O1199" s="27" t="s">
        <v>76</v>
      </c>
      <c r="P1199" s="35" t="s">
        <v>89</v>
      </c>
      <c r="Q1199" s="35" t="s">
        <v>65</v>
      </c>
      <c r="R1199" s="36">
        <v>45219.0</v>
      </c>
      <c r="S1199" s="35" t="s">
        <v>86</v>
      </c>
      <c r="T1199" s="35">
        <v>0.0</v>
      </c>
      <c r="U1199" s="37" t="s">
        <v>67</v>
      </c>
      <c r="V1199" s="38">
        <v>1000000.0</v>
      </c>
      <c r="W1199" s="78">
        <v>106652.0</v>
      </c>
      <c r="X1199" s="27">
        <v>2022.0</v>
      </c>
      <c r="Y1199" s="79" t="s">
        <v>1155</v>
      </c>
      <c r="Z1199" s="39"/>
      <c r="AA1199" s="39"/>
      <c r="AB1199" s="27"/>
      <c r="AC1199" s="27">
        <f t="shared" si="926"/>
        <v>0</v>
      </c>
      <c r="AD1199" s="41">
        <f t="shared" si="962"/>
        <v>3363</v>
      </c>
      <c r="AE1199" s="42"/>
      <c r="AF1199" s="27"/>
      <c r="AG1199" s="43">
        <f>IF(O1199="Paid",IF(A1199="Wethaq",(M1199*28%)-((M1199*28%)*5%),IF((A1199="GIG"),(M1199*25%)-((M1199*25%)*5%),IF((A1199="Allianz"),(M1199*27%)-((M1199*27%)*20%),0))),0)</f>
        <v>4842.72</v>
      </c>
      <c r="AH1199" s="29"/>
      <c r="AI1199" s="29"/>
      <c r="AJ1199" s="29"/>
      <c r="AK1199" s="29"/>
      <c r="AL1199" s="27"/>
      <c r="AM1199" s="44"/>
      <c r="AN1199" s="47"/>
      <c r="AO1199" s="46"/>
      <c r="AP1199" s="47"/>
      <c r="AQ1199" s="43">
        <f t="shared" si="969"/>
        <v>6053.4</v>
      </c>
      <c r="AR1199" s="43">
        <f t="shared" si="448"/>
        <v>302.67</v>
      </c>
      <c r="AS1199" s="43">
        <f t="shared" si="449"/>
        <v>1059.345</v>
      </c>
      <c r="AT1199" s="48">
        <f t="shared" si="753"/>
        <v>4691.385</v>
      </c>
      <c r="AU1199" s="49">
        <f t="shared" si="921"/>
        <v>4691.385</v>
      </c>
      <c r="AV1199" s="48"/>
      <c r="AW1199" s="34">
        <f t="shared" si="840"/>
        <v>20632.88</v>
      </c>
      <c r="AX1199" s="50">
        <f t="shared" si="811"/>
        <v>420.375</v>
      </c>
      <c r="AY1199" s="43"/>
      <c r="AZ1199" s="47"/>
      <c r="BA1199" s="48">
        <f t="shared" si="922"/>
        <v>4691.385</v>
      </c>
      <c r="BB1199" s="27"/>
      <c r="BC1199" s="27"/>
      <c r="BD1199" s="51"/>
      <c r="BE1199" s="52"/>
      <c r="BF1199" s="27"/>
      <c r="BG1199" s="53">
        <v>0.0</v>
      </c>
      <c r="BH1199" s="53" t="str">
        <f>'[1]2023'!Q1611</f>
        <v>#REF!</v>
      </c>
      <c r="BI1199" s="27"/>
      <c r="BJ1199" s="27"/>
      <c r="BK1199" s="27" t="s">
        <v>76</v>
      </c>
      <c r="BL1199" s="27"/>
    </row>
    <row r="1200" ht="14.25" customHeight="1">
      <c r="A1200" s="26" t="s">
        <v>55</v>
      </c>
      <c r="B1200" s="26" t="s">
        <v>56</v>
      </c>
      <c r="C1200" s="26" t="s">
        <v>57</v>
      </c>
      <c r="D1200" s="26" t="s">
        <v>81</v>
      </c>
      <c r="E1200" s="27" t="s">
        <v>3912</v>
      </c>
      <c r="F1200" s="28" t="s">
        <v>3913</v>
      </c>
      <c r="G1200" s="29">
        <v>45220.0</v>
      </c>
      <c r="H1200" s="30">
        <v>45220.0</v>
      </c>
      <c r="I1200" s="30">
        <v>45585.0</v>
      </c>
      <c r="J1200" s="31" t="s">
        <v>3914</v>
      </c>
      <c r="K1200" s="26" t="s">
        <v>931</v>
      </c>
      <c r="L1200" s="32" t="s">
        <v>3408</v>
      </c>
      <c r="M1200" s="33">
        <v>24780.0</v>
      </c>
      <c r="N1200" s="34">
        <v>26506.92</v>
      </c>
      <c r="O1200" s="27" t="s">
        <v>76</v>
      </c>
      <c r="P1200" s="35" t="s">
        <v>89</v>
      </c>
      <c r="Q1200" s="35" t="s">
        <v>90</v>
      </c>
      <c r="R1200" s="36">
        <v>45220.0</v>
      </c>
      <c r="S1200" s="35" t="s">
        <v>86</v>
      </c>
      <c r="T1200" s="35">
        <v>0.0</v>
      </c>
      <c r="U1200" s="37" t="s">
        <v>67</v>
      </c>
      <c r="V1200" s="38">
        <v>1200000.0</v>
      </c>
      <c r="W1200" s="78">
        <v>516936.0</v>
      </c>
      <c r="X1200" s="27">
        <v>2022.0</v>
      </c>
      <c r="Y1200" s="79" t="s">
        <v>2641</v>
      </c>
      <c r="Z1200" s="79" t="s">
        <v>232</v>
      </c>
      <c r="AA1200" s="39">
        <v>1826326.0</v>
      </c>
      <c r="AB1200" s="27"/>
      <c r="AC1200" s="27">
        <f t="shared" si="926"/>
        <v>0</v>
      </c>
      <c r="AD1200" s="41">
        <f t="shared" si="962"/>
        <v>3717</v>
      </c>
      <c r="AE1200" s="42"/>
      <c r="AF1200" s="27"/>
      <c r="AG1200" s="43">
        <f t="shared" ref="AG1200:AG1203" si="970">IF(O1200="Paid",IF(A1200="Alwataniya",(M1200*21%)-((M1200*21%)*5%),IF((A1200="GIG"),(M1200*25%)-((M1200*25%)*5%),IF((A1200="Allianz"),(M1200*27%)-((M1200*27%)*5%),0))),0)</f>
        <v>6356.07</v>
      </c>
      <c r="AH1200" s="29"/>
      <c r="AI1200" s="29"/>
      <c r="AJ1200" s="29"/>
      <c r="AK1200" s="29"/>
      <c r="AL1200" s="27"/>
      <c r="AM1200" s="44"/>
      <c r="AN1200" s="47"/>
      <c r="AO1200" s="46"/>
      <c r="AP1200" s="47"/>
      <c r="AQ1200" s="43">
        <f>IF(U1200="Motor Plus",(M1200*27%),IF(U1200="Motor One",(M1200*22%),(IF(U1200="Golden",(M1200*25%),(IF(U1200="Classic",(M1200*15%),(IF(U1200="Wethaq",(M1200*28%),IF(U1200="Alwataniya",(M1200*21%))*0))))))))</f>
        <v>6690.6</v>
      </c>
      <c r="AR1200" s="43">
        <f t="shared" si="448"/>
        <v>334.53</v>
      </c>
      <c r="AS1200" s="43">
        <f t="shared" si="449"/>
        <v>1170.855</v>
      </c>
      <c r="AT1200" s="48">
        <f t="shared" si="753"/>
        <v>5185.215</v>
      </c>
      <c r="AU1200" s="49">
        <f t="shared" si="921"/>
        <v>5185.215</v>
      </c>
      <c r="AV1200" s="48"/>
      <c r="AW1200" s="34">
        <f t="shared" si="840"/>
        <v>22789.92</v>
      </c>
      <c r="AX1200" s="50">
        <f t="shared" si="811"/>
        <v>1468.215</v>
      </c>
      <c r="AY1200" s="43"/>
      <c r="AZ1200" s="47"/>
      <c r="BA1200" s="48">
        <f t="shared" si="922"/>
        <v>5185.215</v>
      </c>
      <c r="BB1200" s="27"/>
      <c r="BC1200" s="27"/>
      <c r="BD1200" s="51"/>
      <c r="BE1200" s="52"/>
      <c r="BF1200" s="27"/>
      <c r="BG1200" s="53">
        <v>0.0</v>
      </c>
      <c r="BH1200" s="53" t="str">
        <f>'[1]2023'!Q1416</f>
        <v>#REF!</v>
      </c>
      <c r="BI1200" s="27"/>
      <c r="BJ1200" s="27"/>
      <c r="BK1200" s="27" t="s">
        <v>76</v>
      </c>
      <c r="BL1200" s="27"/>
    </row>
    <row r="1201" ht="14.25" customHeight="1">
      <c r="A1201" s="26" t="s">
        <v>55</v>
      </c>
      <c r="B1201" s="26" t="s">
        <v>56</v>
      </c>
      <c r="C1201" s="26" t="s">
        <v>57</v>
      </c>
      <c r="D1201" s="26" t="s">
        <v>81</v>
      </c>
      <c r="E1201" s="27" t="s">
        <v>3915</v>
      </c>
      <c r="F1201" s="28" t="s">
        <v>3916</v>
      </c>
      <c r="G1201" s="182">
        <v>45220.0</v>
      </c>
      <c r="H1201" s="30">
        <v>45220.0</v>
      </c>
      <c r="I1201" s="30">
        <v>45585.0</v>
      </c>
      <c r="J1201" s="31" t="s">
        <v>3917</v>
      </c>
      <c r="K1201" s="26" t="s">
        <v>931</v>
      </c>
      <c r="L1201" s="187">
        <v>45270.0</v>
      </c>
      <c r="M1201" s="33">
        <v>27877.5</v>
      </c>
      <c r="N1201" s="34">
        <v>29802.65</v>
      </c>
      <c r="O1201" s="27" t="s">
        <v>76</v>
      </c>
      <c r="P1201" s="35" t="s">
        <v>142</v>
      </c>
      <c r="Q1201" s="35" t="s">
        <v>90</v>
      </c>
      <c r="R1201" s="36">
        <v>45220.0</v>
      </c>
      <c r="S1201" s="35" t="s">
        <v>86</v>
      </c>
      <c r="T1201" s="35">
        <v>0.0</v>
      </c>
      <c r="U1201" s="37" t="s">
        <v>67</v>
      </c>
      <c r="V1201" s="38">
        <v>1260000.0</v>
      </c>
      <c r="W1201" s="78">
        <v>6126.0</v>
      </c>
      <c r="X1201" s="27">
        <v>2020.0</v>
      </c>
      <c r="Y1201" s="39"/>
      <c r="Z1201" s="79" t="s">
        <v>407</v>
      </c>
      <c r="AA1201" s="39"/>
      <c r="AB1201" s="27"/>
      <c r="AC1201" s="27">
        <f t="shared" si="926"/>
        <v>0</v>
      </c>
      <c r="AD1201" s="41">
        <f t="shared" si="962"/>
        <v>4181.625</v>
      </c>
      <c r="AE1201" s="42"/>
      <c r="AF1201" s="205">
        <v>45266.0</v>
      </c>
      <c r="AG1201" s="43">
        <f t="shared" si="970"/>
        <v>7150.57875</v>
      </c>
      <c r="AH1201" s="29"/>
      <c r="AI1201" s="29"/>
      <c r="AJ1201" s="29"/>
      <c r="AK1201" s="29"/>
      <c r="AL1201" s="27"/>
      <c r="AM1201" s="44"/>
      <c r="AN1201" s="47"/>
      <c r="AO1201" s="46"/>
      <c r="AP1201" s="47"/>
      <c r="AQ1201" s="43">
        <f>IF(O1201="Paid",IF(U1201="Motor Plus",(M1201*27%),IF(U1201="Motor One",(M1201*22%),(IF(U1201="Golden",(M1201*25%),(IF(U1201="Classic",(M1201*15%),(IF(U1201="Wethaq",(M1201*28%),IF(U1201="Alwataniya",(M1201*21%))*0)))))))))</f>
        <v>7526.925</v>
      </c>
      <c r="AR1201" s="43">
        <f t="shared" si="448"/>
        <v>376.34625</v>
      </c>
      <c r="AS1201" s="43">
        <f t="shared" si="449"/>
        <v>1317.211875</v>
      </c>
      <c r="AT1201" s="48">
        <f t="shared" si="753"/>
        <v>5833.366875</v>
      </c>
      <c r="AU1201" s="49">
        <f t="shared" si="921"/>
        <v>5833.366875</v>
      </c>
      <c r="AV1201" s="48"/>
      <c r="AW1201" s="34">
        <f t="shared" si="840"/>
        <v>25621.025</v>
      </c>
      <c r="AX1201" s="50">
        <f t="shared" si="811"/>
        <v>1651.741875</v>
      </c>
      <c r="AY1201" s="43"/>
      <c r="AZ1201" s="47"/>
      <c r="BA1201" s="48">
        <f t="shared" si="922"/>
        <v>5833.366875</v>
      </c>
      <c r="BB1201" s="27"/>
      <c r="BC1201" s="27"/>
      <c r="BD1201" s="51"/>
      <c r="BE1201" s="52"/>
      <c r="BF1201" s="27"/>
      <c r="BG1201" s="53">
        <v>0.0</v>
      </c>
      <c r="BH1201" s="53" t="str">
        <f>'[1]2023'!Q1441</f>
        <v>#REF!</v>
      </c>
      <c r="BI1201" s="27"/>
      <c r="BJ1201" s="27"/>
      <c r="BK1201" s="27" t="s">
        <v>76</v>
      </c>
      <c r="BL1201" s="27"/>
    </row>
    <row r="1202" ht="14.25" customHeight="1">
      <c r="A1202" s="26" t="s">
        <v>55</v>
      </c>
      <c r="B1202" s="26" t="s">
        <v>56</v>
      </c>
      <c r="C1202" s="26" t="s">
        <v>57</v>
      </c>
      <c r="D1202" s="26" t="s">
        <v>81</v>
      </c>
      <c r="E1202" s="27" t="s">
        <v>3918</v>
      </c>
      <c r="F1202" s="28" t="s">
        <v>3919</v>
      </c>
      <c r="G1202" s="182">
        <v>45220.0</v>
      </c>
      <c r="H1202" s="30">
        <v>45220.0</v>
      </c>
      <c r="I1202" s="30">
        <v>45585.0</v>
      </c>
      <c r="J1202" s="31" t="s">
        <v>3920</v>
      </c>
      <c r="K1202" s="26" t="s">
        <v>931</v>
      </c>
      <c r="L1202" s="192">
        <v>45270.0</v>
      </c>
      <c r="M1202" s="33">
        <v>24780.0</v>
      </c>
      <c r="N1202" s="34">
        <v>26506.92</v>
      </c>
      <c r="O1202" s="27" t="s">
        <v>76</v>
      </c>
      <c r="P1202" s="35" t="s">
        <v>142</v>
      </c>
      <c r="Q1202" s="35" t="s">
        <v>90</v>
      </c>
      <c r="R1202" s="36">
        <v>45220.0</v>
      </c>
      <c r="S1202" s="35" t="s">
        <v>86</v>
      </c>
      <c r="T1202" s="35">
        <v>0.0</v>
      </c>
      <c r="U1202" s="37" t="s">
        <v>67</v>
      </c>
      <c r="V1202" s="38">
        <v>1200000.0</v>
      </c>
      <c r="W1202" s="78">
        <v>515903.0</v>
      </c>
      <c r="X1202" s="27">
        <v>2022.0</v>
      </c>
      <c r="Y1202" s="79" t="s">
        <v>232</v>
      </c>
      <c r="Z1202" s="39"/>
      <c r="AA1202" s="39"/>
      <c r="AB1202" s="27"/>
      <c r="AC1202" s="27">
        <f t="shared" si="926"/>
        <v>0</v>
      </c>
      <c r="AD1202" s="41">
        <f t="shared" si="962"/>
        <v>3717</v>
      </c>
      <c r="AE1202" s="42"/>
      <c r="AF1202" s="27" t="s">
        <v>3502</v>
      </c>
      <c r="AG1202" s="43">
        <f t="shared" si="970"/>
        <v>6356.07</v>
      </c>
      <c r="AH1202" s="29"/>
      <c r="AI1202" s="29"/>
      <c r="AJ1202" s="29"/>
      <c r="AK1202" s="29"/>
      <c r="AL1202" s="27"/>
      <c r="AM1202" s="44"/>
      <c r="AN1202" s="47"/>
      <c r="AO1202" s="46"/>
      <c r="AP1202" s="47"/>
      <c r="AQ1202" s="43">
        <f>IF(U1202="Motor Plus",(M1202*27%),IF(U1202="Motor One",(M1202*22%),(IF(U1202="Golden",(M1202*25%),(IF(U1202="Classic",(M1202*15%),(IF(U1202="Wethaq",(M1202*28%),IF(U1202="Alwataniya",(M1202*21%))*0))))))))</f>
        <v>6690.6</v>
      </c>
      <c r="AR1202" s="43">
        <f t="shared" si="448"/>
        <v>334.53</v>
      </c>
      <c r="AS1202" s="43">
        <f t="shared" si="449"/>
        <v>1170.855</v>
      </c>
      <c r="AT1202" s="48">
        <f t="shared" si="753"/>
        <v>5185.215</v>
      </c>
      <c r="AU1202" s="49">
        <f t="shared" si="921"/>
        <v>5185.215</v>
      </c>
      <c r="AV1202" s="48"/>
      <c r="AW1202" s="34">
        <f t="shared" si="840"/>
        <v>22789.92</v>
      </c>
      <c r="AX1202" s="50">
        <f t="shared" si="811"/>
        <v>1468.215</v>
      </c>
      <c r="AY1202" s="43"/>
      <c r="AZ1202" s="47"/>
      <c r="BA1202" s="48">
        <f t="shared" si="922"/>
        <v>5185.215</v>
      </c>
      <c r="BB1202" s="27"/>
      <c r="BC1202" s="27"/>
      <c r="BD1202" s="51"/>
      <c r="BE1202" s="52"/>
      <c r="BF1202" s="27"/>
      <c r="BG1202" s="53">
        <v>0.0</v>
      </c>
      <c r="BH1202" s="53" t="str">
        <f>'[1]2023'!Q1493</f>
        <v>#REF!</v>
      </c>
      <c r="BI1202" s="27"/>
      <c r="BJ1202" s="27"/>
      <c r="BK1202" s="27" t="s">
        <v>76</v>
      </c>
      <c r="BL1202" s="27"/>
    </row>
    <row r="1203" ht="14.25" customHeight="1">
      <c r="A1203" s="26" t="s">
        <v>55</v>
      </c>
      <c r="B1203" s="26" t="s">
        <v>56</v>
      </c>
      <c r="C1203" s="26" t="s">
        <v>57</v>
      </c>
      <c r="D1203" s="26" t="s">
        <v>81</v>
      </c>
      <c r="E1203" s="27" t="s">
        <v>3921</v>
      </c>
      <c r="F1203" s="28" t="s">
        <v>3922</v>
      </c>
      <c r="G1203" s="29">
        <v>45221.0</v>
      </c>
      <c r="H1203" s="30">
        <v>45221.0</v>
      </c>
      <c r="I1203" s="30">
        <v>45586.0</v>
      </c>
      <c r="J1203" s="31" t="s">
        <v>3923</v>
      </c>
      <c r="K1203" s="26" t="s">
        <v>931</v>
      </c>
      <c r="L1203" s="89">
        <v>45258.0</v>
      </c>
      <c r="M1203" s="33">
        <v>18585.0</v>
      </c>
      <c r="N1203" s="34">
        <v>19915.45</v>
      </c>
      <c r="O1203" s="27" t="s">
        <v>76</v>
      </c>
      <c r="P1203" s="35" t="s">
        <v>89</v>
      </c>
      <c r="Q1203" s="35" t="s">
        <v>90</v>
      </c>
      <c r="R1203" s="36">
        <v>45221.0</v>
      </c>
      <c r="S1203" s="35" t="s">
        <v>86</v>
      </c>
      <c r="T1203" s="35">
        <v>0.0</v>
      </c>
      <c r="U1203" s="37" t="s">
        <v>67</v>
      </c>
      <c r="V1203" s="38">
        <v>900000.0</v>
      </c>
      <c r="W1203" s="78" t="s">
        <v>3924</v>
      </c>
      <c r="X1203" s="27">
        <v>2020.0</v>
      </c>
      <c r="Y1203" s="39"/>
      <c r="Z1203" s="79" t="s">
        <v>232</v>
      </c>
      <c r="AA1203" s="39"/>
      <c r="AB1203" s="27"/>
      <c r="AC1203" s="27">
        <f t="shared" si="926"/>
        <v>0</v>
      </c>
      <c r="AD1203" s="41">
        <f t="shared" si="962"/>
        <v>2787.75</v>
      </c>
      <c r="AE1203" s="42"/>
      <c r="AF1203" s="27"/>
      <c r="AG1203" s="43">
        <f t="shared" si="970"/>
        <v>4767.0525</v>
      </c>
      <c r="AH1203" s="29"/>
      <c r="AI1203" s="29"/>
      <c r="AJ1203" s="29"/>
      <c r="AK1203" s="29"/>
      <c r="AL1203" s="27"/>
      <c r="AM1203" s="44"/>
      <c r="AN1203" s="47"/>
      <c r="AO1203" s="46"/>
      <c r="AP1203" s="47"/>
      <c r="AQ1203" s="43">
        <f t="shared" ref="AQ1203:AQ1204" si="971">IF(O1203="Paid",IF(U1203="Motor Plus",(M1203*27%),IF(U1203="Motor One",(M1203*22%),(IF(U1203="Golden",(M1203*25%),(IF(U1203="Classic",(M1203*15%),(IF(U1203="Wethaq",(M1203*28%),IF(U1203="Alwataniya",(M1203*21%))*0)))))))))</f>
        <v>5017.95</v>
      </c>
      <c r="AR1203" s="43">
        <f t="shared" si="448"/>
        <v>250.8975</v>
      </c>
      <c r="AS1203" s="43">
        <f t="shared" si="449"/>
        <v>878.14125</v>
      </c>
      <c r="AT1203" s="48">
        <f t="shared" si="753"/>
        <v>3888.91125</v>
      </c>
      <c r="AU1203" s="49">
        <f t="shared" si="921"/>
        <v>3888.91125</v>
      </c>
      <c r="AV1203" s="48"/>
      <c r="AW1203" s="34">
        <f t="shared" si="840"/>
        <v>17127.7</v>
      </c>
      <c r="AX1203" s="50">
        <f t="shared" si="811"/>
        <v>1101.16125</v>
      </c>
      <c r="AY1203" s="43"/>
      <c r="AZ1203" s="47"/>
      <c r="BA1203" s="48">
        <f t="shared" si="922"/>
        <v>3888.91125</v>
      </c>
      <c r="BB1203" s="27"/>
      <c r="BC1203" s="27"/>
      <c r="BD1203" s="51"/>
      <c r="BE1203" s="52"/>
      <c r="BF1203" s="27"/>
      <c r="BG1203" s="58" t="s">
        <v>3925</v>
      </c>
      <c r="BH1203" s="53" t="str">
        <f>'[1]2023'!Q1442</f>
        <v>#REF!</v>
      </c>
      <c r="BI1203" s="27"/>
      <c r="BJ1203" s="27"/>
      <c r="BK1203" s="27" t="s">
        <v>76</v>
      </c>
      <c r="BL1203" s="27"/>
    </row>
    <row r="1204" ht="14.25" customHeight="1">
      <c r="A1204" s="26" t="s">
        <v>55</v>
      </c>
      <c r="B1204" s="26" t="s">
        <v>56</v>
      </c>
      <c r="C1204" s="26" t="s">
        <v>57</v>
      </c>
      <c r="D1204" s="26" t="s">
        <v>81</v>
      </c>
      <c r="E1204" s="27" t="s">
        <v>3926</v>
      </c>
      <c r="F1204" s="28" t="s">
        <v>3927</v>
      </c>
      <c r="G1204" s="29">
        <v>45221.0</v>
      </c>
      <c r="H1204" s="30">
        <v>45221.0</v>
      </c>
      <c r="I1204" s="30">
        <v>45586.0</v>
      </c>
      <c r="J1204" s="31" t="s">
        <v>3928</v>
      </c>
      <c r="K1204" s="26" t="s">
        <v>931</v>
      </c>
      <c r="L1204" s="89">
        <v>45308.0</v>
      </c>
      <c r="M1204" s="33">
        <v>26950.0</v>
      </c>
      <c r="N1204" s="34">
        <v>28815.8</v>
      </c>
      <c r="O1204" s="27" t="s">
        <v>76</v>
      </c>
      <c r="P1204" s="35" t="s">
        <v>89</v>
      </c>
      <c r="Q1204" s="35" t="s">
        <v>108</v>
      </c>
      <c r="R1204" s="36">
        <v>45221.0</v>
      </c>
      <c r="S1204" s="35" t="s">
        <v>86</v>
      </c>
      <c r="T1204" s="35">
        <v>0.0</v>
      </c>
      <c r="U1204" s="37" t="s">
        <v>67</v>
      </c>
      <c r="V1204" s="38">
        <v>1400000.0</v>
      </c>
      <c r="W1204" s="78" t="s">
        <v>3929</v>
      </c>
      <c r="X1204" s="27">
        <v>2022.0</v>
      </c>
      <c r="Y1204" s="79" t="s">
        <v>1769</v>
      </c>
      <c r="Z1204" s="39"/>
      <c r="AA1204" s="39"/>
      <c r="AB1204" s="27"/>
      <c r="AC1204" s="27">
        <f t="shared" si="926"/>
        <v>0</v>
      </c>
      <c r="AD1204" s="41">
        <f t="shared" si="962"/>
        <v>4042.5</v>
      </c>
      <c r="AE1204" s="42"/>
      <c r="AF1204" s="216">
        <v>45319.0</v>
      </c>
      <c r="AG1204" s="43">
        <f>IF(O1204="Paid",IF(A1204="Alwataniya",(M1204*21%)-((M1204*21%)*5%),IF((A1204="GIG"),(M1204*25%)-((M1204*25%)*5%),IF((A1204="Allianz"),(M1204*27%)-((M1204*27%)*20%),0))),0)</f>
        <v>5821.2</v>
      </c>
      <c r="AH1204" s="29"/>
      <c r="AI1204" s="29"/>
      <c r="AJ1204" s="29"/>
      <c r="AK1204" s="29"/>
      <c r="AL1204" s="27"/>
      <c r="AM1204" s="44"/>
      <c r="AN1204" s="47"/>
      <c r="AO1204" s="46"/>
      <c r="AP1204" s="47"/>
      <c r="AQ1204" s="43">
        <f t="shared" si="971"/>
        <v>7276.5</v>
      </c>
      <c r="AR1204" s="43">
        <f t="shared" si="448"/>
        <v>363.825</v>
      </c>
      <c r="AS1204" s="43">
        <f t="shared" si="449"/>
        <v>1273.3875</v>
      </c>
      <c r="AT1204" s="48">
        <f t="shared" si="753"/>
        <v>5639.2875</v>
      </c>
      <c r="AU1204" s="49">
        <f t="shared" si="921"/>
        <v>5639.2875</v>
      </c>
      <c r="AV1204" s="48"/>
      <c r="AW1204" s="34">
        <f t="shared" si="840"/>
        <v>24773.3</v>
      </c>
      <c r="AX1204" s="50">
        <f t="shared" si="811"/>
        <v>505.3125</v>
      </c>
      <c r="AY1204" s="43"/>
      <c r="AZ1204" s="47"/>
      <c r="BA1204" s="48">
        <f t="shared" si="922"/>
        <v>5639.2875</v>
      </c>
      <c r="BB1204" s="27"/>
      <c r="BC1204" s="27"/>
      <c r="BD1204" s="51"/>
      <c r="BE1204" s="52"/>
      <c r="BF1204" s="27"/>
      <c r="BG1204" s="58" t="s">
        <v>3930</v>
      </c>
      <c r="BH1204" s="53" t="str">
        <f t="shared" ref="BH1204:BH1205" si="972">'[1]2023'!Q1461</f>
        <v>#REF!</v>
      </c>
      <c r="BI1204" s="27"/>
      <c r="BJ1204" s="27"/>
      <c r="BK1204" s="27" t="s">
        <v>1102</v>
      </c>
      <c r="BL1204" s="27"/>
    </row>
    <row r="1205" ht="14.25" customHeight="1">
      <c r="A1205" s="26" t="s">
        <v>55</v>
      </c>
      <c r="B1205" s="26" t="s">
        <v>56</v>
      </c>
      <c r="C1205" s="26" t="s">
        <v>57</v>
      </c>
      <c r="D1205" s="26" t="s">
        <v>81</v>
      </c>
      <c r="E1205" s="27" t="s">
        <v>3931</v>
      </c>
      <c r="F1205" s="28" t="s">
        <v>3932</v>
      </c>
      <c r="G1205" s="29">
        <v>45221.0</v>
      </c>
      <c r="H1205" s="30">
        <v>45221.0</v>
      </c>
      <c r="I1205" s="30">
        <v>45586.0</v>
      </c>
      <c r="J1205" s="31" t="s">
        <v>3933</v>
      </c>
      <c r="K1205" s="26" t="s">
        <v>931</v>
      </c>
      <c r="L1205" s="32" t="s">
        <v>3486</v>
      </c>
      <c r="M1205" s="33">
        <v>22700.25</v>
      </c>
      <c r="N1205" s="34">
        <v>24294.06</v>
      </c>
      <c r="O1205" s="27" t="s">
        <v>76</v>
      </c>
      <c r="P1205" s="35" t="s">
        <v>430</v>
      </c>
      <c r="Q1205" s="35" t="s">
        <v>90</v>
      </c>
      <c r="R1205" s="36">
        <v>45221.0</v>
      </c>
      <c r="S1205" s="35" t="s">
        <v>86</v>
      </c>
      <c r="T1205" s="35">
        <v>0.0</v>
      </c>
      <c r="U1205" s="37" t="s">
        <v>67</v>
      </c>
      <c r="V1205" s="38">
        <v>1350000.0</v>
      </c>
      <c r="W1205" s="78">
        <v>24524.0</v>
      </c>
      <c r="X1205" s="27">
        <v>2019.0</v>
      </c>
      <c r="Y1205" s="79" t="s">
        <v>208</v>
      </c>
      <c r="Z1205" s="79" t="s">
        <v>208</v>
      </c>
      <c r="AA1205" s="39"/>
      <c r="AB1205" s="27"/>
      <c r="AC1205" s="27">
        <f t="shared" si="926"/>
        <v>0</v>
      </c>
      <c r="AD1205" s="41">
        <f t="shared" si="962"/>
        <v>3405.0375</v>
      </c>
      <c r="AE1205" s="42"/>
      <c r="AF1205" s="27"/>
      <c r="AG1205" s="43">
        <f>IF(O1205="Paid",IF(A1205="Alwataniya",(M1205*21%)-((M1205*21%)*5%),IF((A1205="GIG"),(M1205*25%)-((M1205*25%)*5%),IF((A1205="Allianz"),(M1205*27%)-((M1205*27%)*5%),0))),0)</f>
        <v>5822.614125</v>
      </c>
      <c r="AH1205" s="29"/>
      <c r="AI1205" s="29"/>
      <c r="AJ1205" s="29"/>
      <c r="AK1205" s="29"/>
      <c r="AL1205" s="27"/>
      <c r="AM1205" s="44"/>
      <c r="AN1205" s="47"/>
      <c r="AO1205" s="46"/>
      <c r="AP1205" s="47"/>
      <c r="AQ1205" s="43">
        <f>IF(U1205="Motor Plus",(M1205*27%),IF(U1205="Motor One",(M1205*22%),(IF(U1205="Golden",(M1205*25%),(IF(U1205="Classic",(M1205*15%),(IF(U1205="Wethaq",(M1205*28%),IF(U1205="Alwataniya",(M1205*21%))*0))))))))</f>
        <v>6129.0675</v>
      </c>
      <c r="AR1205" s="43">
        <f t="shared" si="448"/>
        <v>306.453375</v>
      </c>
      <c r="AS1205" s="43">
        <f t="shared" si="449"/>
        <v>1072.586813</v>
      </c>
      <c r="AT1205" s="48">
        <f t="shared" si="753"/>
        <v>4750.027313</v>
      </c>
      <c r="AU1205" s="49">
        <f t="shared" si="921"/>
        <v>4750.027313</v>
      </c>
      <c r="AV1205" s="48"/>
      <c r="AW1205" s="34">
        <f t="shared" si="840"/>
        <v>20889.0225</v>
      </c>
      <c r="AX1205" s="50">
        <f t="shared" si="811"/>
        <v>1344.989813</v>
      </c>
      <c r="AY1205" s="43"/>
      <c r="AZ1205" s="47"/>
      <c r="BA1205" s="48">
        <f t="shared" si="922"/>
        <v>4750.027313</v>
      </c>
      <c r="BB1205" s="27"/>
      <c r="BC1205" s="27"/>
      <c r="BD1205" s="51"/>
      <c r="BE1205" s="52"/>
      <c r="BF1205" s="27"/>
      <c r="BG1205" s="53">
        <v>0.0</v>
      </c>
      <c r="BH1205" s="53" t="str">
        <f t="shared" si="972"/>
        <v>#REF!</v>
      </c>
      <c r="BI1205" s="27"/>
      <c r="BJ1205" s="27"/>
      <c r="BK1205" s="27" t="s">
        <v>76</v>
      </c>
      <c r="BL1205" s="27"/>
    </row>
    <row r="1206" ht="14.25" customHeight="1">
      <c r="A1206" s="26" t="s">
        <v>68</v>
      </c>
      <c r="B1206" s="26" t="s">
        <v>56</v>
      </c>
      <c r="C1206" s="26" t="s">
        <v>57</v>
      </c>
      <c r="D1206" s="26" t="s">
        <v>71</v>
      </c>
      <c r="E1206" s="27" t="s">
        <v>3934</v>
      </c>
      <c r="F1206" s="28" t="s">
        <v>3935</v>
      </c>
      <c r="G1206" s="29">
        <v>45221.0</v>
      </c>
      <c r="H1206" s="30">
        <v>45221.0</v>
      </c>
      <c r="I1206" s="30">
        <v>45586.0</v>
      </c>
      <c r="J1206" s="31" t="s">
        <v>3936</v>
      </c>
      <c r="K1206" s="26" t="s">
        <v>931</v>
      </c>
      <c r="L1206" s="89">
        <v>45242.0</v>
      </c>
      <c r="M1206" s="33">
        <v>30764.66</v>
      </c>
      <c r="N1206" s="34">
        <v>32900.0</v>
      </c>
      <c r="O1206" s="27" t="s">
        <v>76</v>
      </c>
      <c r="P1206" s="35" t="s">
        <v>142</v>
      </c>
      <c r="Q1206" s="35" t="s">
        <v>108</v>
      </c>
      <c r="R1206" s="36">
        <v>45242.0</v>
      </c>
      <c r="S1206" s="35" t="s">
        <v>86</v>
      </c>
      <c r="T1206" s="35">
        <v>0.0</v>
      </c>
      <c r="U1206" s="37" t="s">
        <v>68</v>
      </c>
      <c r="V1206" s="38">
        <v>1645000.0</v>
      </c>
      <c r="W1206" s="78"/>
      <c r="X1206" s="27"/>
      <c r="Y1206" s="79" t="s">
        <v>3937</v>
      </c>
      <c r="Z1206" s="39"/>
      <c r="AA1206" s="39"/>
      <c r="AB1206" s="27"/>
      <c r="AC1206" s="27">
        <f t="shared" si="926"/>
        <v>0</v>
      </c>
      <c r="AD1206" s="41">
        <f t="shared" si="962"/>
        <v>4614.699</v>
      </c>
      <c r="AE1206" s="42">
        <v>750.0</v>
      </c>
      <c r="AF1206" s="27" t="s">
        <v>3296</v>
      </c>
      <c r="AG1206" s="43">
        <f>M1206*28%-((M1206*28%)*5%)</f>
        <v>8183.39956</v>
      </c>
      <c r="AH1206" s="29"/>
      <c r="AI1206" s="29" t="s">
        <v>3049</v>
      </c>
      <c r="AJ1206" s="29"/>
      <c r="AK1206" s="29" t="s">
        <v>3050</v>
      </c>
      <c r="AL1206" s="27"/>
      <c r="AM1206" s="44"/>
      <c r="AN1206" s="47"/>
      <c r="AO1206" s="46"/>
      <c r="AP1206" s="47"/>
      <c r="AQ1206" s="43">
        <f>IF(O1206="Paid",IF(U1206="Motor Plus",(M1206*27%),IF(U1206="Motor One",(M1206*22%),(IF(U1206="Golden",(M1206*25%),(IF(U1206="Classic",(M1206*15%),(IF(U1206="Wethaq",(M1206*28%),IF(U1206="Alwataniya",(M1206*21%))*0)))))))))</f>
        <v>8614.1048</v>
      </c>
      <c r="AR1206" s="43">
        <f t="shared" si="448"/>
        <v>430.70524</v>
      </c>
      <c r="AS1206" s="43">
        <f t="shared" si="449"/>
        <v>1507.46834</v>
      </c>
      <c r="AT1206" s="48">
        <f t="shared" si="753"/>
        <v>6675.93122</v>
      </c>
      <c r="AU1206" s="49">
        <f t="shared" si="921"/>
        <v>6675.93122</v>
      </c>
      <c r="AV1206" s="48"/>
      <c r="AW1206" s="34">
        <f t="shared" si="840"/>
        <v>27535.301</v>
      </c>
      <c r="AX1206" s="50">
        <f t="shared" si="811"/>
        <v>1311.23222</v>
      </c>
      <c r="AY1206" s="43"/>
      <c r="AZ1206" s="47"/>
      <c r="BA1206" s="48">
        <f t="shared" si="922"/>
        <v>6675.93122</v>
      </c>
      <c r="BB1206" s="27"/>
      <c r="BC1206" s="27"/>
      <c r="BD1206" s="51"/>
      <c r="BE1206" s="52"/>
      <c r="BF1206" s="27"/>
      <c r="BG1206" s="53">
        <v>0.0</v>
      </c>
      <c r="BH1206" s="53" t="str">
        <f t="shared" ref="BH1206:BH1209" si="973">'[1]2023'!Q1501</f>
        <v>#REF!</v>
      </c>
      <c r="BI1206" s="27"/>
      <c r="BJ1206" s="27"/>
      <c r="BK1206" s="27" t="s">
        <v>76</v>
      </c>
      <c r="BL1206" s="27"/>
    </row>
    <row r="1207" ht="14.25" customHeight="1">
      <c r="A1207" s="26" t="s">
        <v>68</v>
      </c>
      <c r="B1207" s="26" t="s">
        <v>56</v>
      </c>
      <c r="C1207" s="26" t="s">
        <v>57</v>
      </c>
      <c r="D1207" s="26" t="s">
        <v>71</v>
      </c>
      <c r="E1207" s="27" t="s">
        <v>3938</v>
      </c>
      <c r="F1207" s="28" t="s">
        <v>3939</v>
      </c>
      <c r="G1207" s="29">
        <v>45221.0</v>
      </c>
      <c r="H1207" s="30">
        <v>45221.0</v>
      </c>
      <c r="I1207" s="30">
        <v>45586.0</v>
      </c>
      <c r="J1207" s="31" t="s">
        <v>3940</v>
      </c>
      <c r="K1207" s="26" t="s">
        <v>931</v>
      </c>
      <c r="L1207" s="32" t="s">
        <v>2764</v>
      </c>
      <c r="M1207" s="33">
        <v>22442.3</v>
      </c>
      <c r="N1207" s="34">
        <v>24000.0</v>
      </c>
      <c r="O1207" s="27" t="s">
        <v>76</v>
      </c>
      <c r="P1207" s="35" t="s">
        <v>89</v>
      </c>
      <c r="Q1207" s="35">
        <v>0.0</v>
      </c>
      <c r="R1207" s="36">
        <v>45240.0</v>
      </c>
      <c r="S1207" s="35" t="s">
        <v>66</v>
      </c>
      <c r="T1207" s="35">
        <v>0.0</v>
      </c>
      <c r="U1207" s="37" t="s">
        <v>68</v>
      </c>
      <c r="V1207" s="38">
        <v>1200000.0</v>
      </c>
      <c r="W1207" s="78"/>
      <c r="X1207" s="27"/>
      <c r="Y1207" s="79" t="s">
        <v>3941</v>
      </c>
      <c r="Z1207" s="39"/>
      <c r="AA1207" s="39"/>
      <c r="AB1207" s="27"/>
      <c r="AC1207" s="27">
        <f t="shared" si="926"/>
        <v>0</v>
      </c>
      <c r="AD1207" s="41">
        <f t="shared" si="962"/>
        <v>0</v>
      </c>
      <c r="AE1207" s="42"/>
      <c r="AF1207" s="27"/>
      <c r="AG1207" s="43">
        <f>IF(O1207="Paid",IF(A1207="Wethaq",(M1207*28%)-((M1207*28%)*5%),IF((A1207="GIG"),(M1207*25%)-((M1207*25%)*5%),IF((A1207="Allianz"),(M1207*27%)-((M1207*27%)*5%),0))),0)</f>
        <v>5969.6518</v>
      </c>
      <c r="AH1207" s="29"/>
      <c r="AI1207" s="29" t="s">
        <v>2982</v>
      </c>
      <c r="AJ1207" s="55">
        <v>0.28</v>
      </c>
      <c r="AK1207" s="29">
        <v>45180.0</v>
      </c>
      <c r="AL1207" s="27"/>
      <c r="AM1207" s="140">
        <f>AU1207*30%</f>
        <v>1460.99373</v>
      </c>
      <c r="AN1207" s="71">
        <v>45654.0</v>
      </c>
      <c r="AO1207" s="46"/>
      <c r="AP1207" s="47"/>
      <c r="AQ1207" s="43">
        <f t="shared" ref="AQ1207:AQ1212" si="974">IF(U1207="Motor Plus",(M1207*27%),IF(U1207="Motor One",(M1207*22%),(IF(U1207="Golden",(M1207*25%),(IF(U1207="Classic",(M1207*15%),(IF(U1207="Wethaq",(M1207*28%),IF(U1207="Alwataniya",(M1207*21%))*0))))))))</f>
        <v>6283.844</v>
      </c>
      <c r="AR1207" s="43">
        <f t="shared" si="448"/>
        <v>314.1922</v>
      </c>
      <c r="AS1207" s="43">
        <f t="shared" si="449"/>
        <v>1099.6727</v>
      </c>
      <c r="AT1207" s="48">
        <f t="shared" si="753"/>
        <v>4869.9791</v>
      </c>
      <c r="AU1207" s="49">
        <f t="shared" si="921"/>
        <v>4869.9791</v>
      </c>
      <c r="AV1207" s="48"/>
      <c r="AW1207" s="34">
        <f t="shared" si="840"/>
        <v>24000</v>
      </c>
      <c r="AX1207" s="50">
        <f t="shared" si="811"/>
        <v>3408.98537</v>
      </c>
      <c r="AY1207" s="43"/>
      <c r="AZ1207" s="47"/>
      <c r="BA1207" s="48">
        <f t="shared" si="922"/>
        <v>3408.98537</v>
      </c>
      <c r="BB1207" s="27"/>
      <c r="BC1207" s="27"/>
      <c r="BD1207" s="51"/>
      <c r="BE1207" s="52"/>
      <c r="BF1207" s="27"/>
      <c r="BG1207" s="53">
        <v>0.0</v>
      </c>
      <c r="BH1207" s="53" t="str">
        <f t="shared" si="973"/>
        <v>#REF!</v>
      </c>
      <c r="BI1207" s="27"/>
      <c r="BJ1207" s="27"/>
      <c r="BK1207" s="27" t="s">
        <v>76</v>
      </c>
      <c r="BL1207" s="27"/>
    </row>
    <row r="1208" ht="14.25" customHeight="1">
      <c r="A1208" s="26" t="s">
        <v>55</v>
      </c>
      <c r="B1208" s="26" t="s">
        <v>56</v>
      </c>
      <c r="C1208" s="26" t="s">
        <v>57</v>
      </c>
      <c r="D1208" s="26" t="s">
        <v>81</v>
      </c>
      <c r="E1208" s="27" t="s">
        <v>3942</v>
      </c>
      <c r="F1208" s="28" t="s">
        <v>3943</v>
      </c>
      <c r="G1208" s="29">
        <v>45221.0</v>
      </c>
      <c r="H1208" s="30">
        <v>45221.0</v>
      </c>
      <c r="I1208" s="30">
        <v>45586.0</v>
      </c>
      <c r="J1208" s="31" t="s">
        <v>3944</v>
      </c>
      <c r="K1208" s="26" t="s">
        <v>931</v>
      </c>
      <c r="L1208" s="32" t="s">
        <v>1108</v>
      </c>
      <c r="M1208" s="33">
        <v>26550.0</v>
      </c>
      <c r="N1208" s="34">
        <v>28390.2</v>
      </c>
      <c r="O1208" s="27" t="s">
        <v>76</v>
      </c>
      <c r="P1208" s="35" t="s">
        <v>89</v>
      </c>
      <c r="Q1208" s="35" t="s">
        <v>90</v>
      </c>
      <c r="R1208" s="36">
        <v>45221.0</v>
      </c>
      <c r="S1208" s="35" t="s">
        <v>86</v>
      </c>
      <c r="T1208" s="35">
        <v>0.0</v>
      </c>
      <c r="U1208" s="37" t="s">
        <v>67</v>
      </c>
      <c r="V1208" s="38">
        <v>1500000.0</v>
      </c>
      <c r="W1208" s="78" t="s">
        <v>3945</v>
      </c>
      <c r="X1208" s="27">
        <v>2019.0</v>
      </c>
      <c r="Y1208" s="79" t="s">
        <v>476</v>
      </c>
      <c r="Z1208" s="79" t="s">
        <v>476</v>
      </c>
      <c r="AA1208" s="39"/>
      <c r="AB1208" s="27"/>
      <c r="AC1208" s="27">
        <f t="shared" si="926"/>
        <v>0</v>
      </c>
      <c r="AD1208" s="41">
        <f t="shared" si="962"/>
        <v>3982.5</v>
      </c>
      <c r="AE1208" s="42"/>
      <c r="AF1208" s="27"/>
      <c r="AG1208" s="43">
        <f>IF(O1208="Paid",IF(A1208="Alwataniya",(M1208*21%)-((M1208*21%)*5%),IF((A1208="GIG"),(M1208*25%)-((M1208*25%)*5%),IF((A1208="Allianz"),(M1208*27%)-((M1208*27%)*5%),0))),0)</f>
        <v>6810.075</v>
      </c>
      <c r="AH1208" s="29"/>
      <c r="AI1208" s="29"/>
      <c r="AJ1208" s="29"/>
      <c r="AK1208" s="29"/>
      <c r="AL1208" s="27"/>
      <c r="AM1208" s="44"/>
      <c r="AN1208" s="47"/>
      <c r="AO1208" s="46"/>
      <c r="AP1208" s="47"/>
      <c r="AQ1208" s="43">
        <f t="shared" si="974"/>
        <v>7168.5</v>
      </c>
      <c r="AR1208" s="43">
        <f t="shared" si="448"/>
        <v>358.425</v>
      </c>
      <c r="AS1208" s="43">
        <f t="shared" si="449"/>
        <v>1254.4875</v>
      </c>
      <c r="AT1208" s="48">
        <f t="shared" si="753"/>
        <v>5555.5875</v>
      </c>
      <c r="AU1208" s="49">
        <f t="shared" si="921"/>
        <v>5555.5875</v>
      </c>
      <c r="AV1208" s="48"/>
      <c r="AW1208" s="34">
        <f t="shared" si="840"/>
        <v>24407.7</v>
      </c>
      <c r="AX1208" s="50">
        <f t="shared" si="811"/>
        <v>1573.0875</v>
      </c>
      <c r="AY1208" s="43"/>
      <c r="AZ1208" s="47"/>
      <c r="BA1208" s="48">
        <f t="shared" si="922"/>
        <v>5555.5875</v>
      </c>
      <c r="BB1208" s="27"/>
      <c r="BC1208" s="27"/>
      <c r="BD1208" s="51"/>
      <c r="BE1208" s="52"/>
      <c r="BF1208" s="27"/>
      <c r="BG1208" s="53">
        <v>0.0</v>
      </c>
      <c r="BH1208" s="53" t="str">
        <f t="shared" si="973"/>
        <v>#REF!</v>
      </c>
      <c r="BI1208" s="27"/>
      <c r="BJ1208" s="27"/>
      <c r="BK1208" s="27" t="s">
        <v>76</v>
      </c>
      <c r="BL1208" s="27"/>
    </row>
    <row r="1209" ht="14.25" customHeight="1">
      <c r="A1209" s="26" t="s">
        <v>68</v>
      </c>
      <c r="B1209" s="26" t="s">
        <v>56</v>
      </c>
      <c r="C1209" s="26" t="s">
        <v>57</v>
      </c>
      <c r="D1209" s="26" t="s">
        <v>71</v>
      </c>
      <c r="E1209" s="27" t="s">
        <v>3946</v>
      </c>
      <c r="F1209" s="28" t="s">
        <v>3947</v>
      </c>
      <c r="G1209" s="29">
        <v>45221.0</v>
      </c>
      <c r="H1209" s="30">
        <v>45221.0</v>
      </c>
      <c r="I1209" s="30">
        <v>45586.0</v>
      </c>
      <c r="J1209" s="31" t="s">
        <v>2125</v>
      </c>
      <c r="K1209" s="26" t="s">
        <v>931</v>
      </c>
      <c r="L1209" s="32" t="s">
        <v>2764</v>
      </c>
      <c r="M1209" s="33">
        <v>22442.3</v>
      </c>
      <c r="N1209" s="34">
        <v>24000.0</v>
      </c>
      <c r="O1209" s="27" t="s">
        <v>76</v>
      </c>
      <c r="P1209" s="35" t="s">
        <v>89</v>
      </c>
      <c r="Q1209" s="35">
        <v>0.0</v>
      </c>
      <c r="R1209" s="36">
        <v>45240.0</v>
      </c>
      <c r="S1209" s="35" t="s">
        <v>66</v>
      </c>
      <c r="T1209" s="35">
        <v>0.0</v>
      </c>
      <c r="U1209" s="37" t="s">
        <v>68</v>
      </c>
      <c r="V1209" s="38">
        <v>1200000.0</v>
      </c>
      <c r="W1209" s="78">
        <v>1178949.0</v>
      </c>
      <c r="X1209" s="27"/>
      <c r="Y1209" s="79" t="s">
        <v>3941</v>
      </c>
      <c r="Z1209" s="39"/>
      <c r="AA1209" s="39"/>
      <c r="AB1209" s="27"/>
      <c r="AC1209" s="27">
        <f t="shared" si="926"/>
        <v>0</v>
      </c>
      <c r="AD1209" s="41">
        <f t="shared" si="962"/>
        <v>0</v>
      </c>
      <c r="AE1209" s="42"/>
      <c r="AF1209" s="27"/>
      <c r="AG1209" s="43">
        <f>IF(O1209="Paid",IF(A1209="Wethaq",(M1209*28%)-((M1209*28%)*5%),IF((A1209="GIG"),(M1209*25%)-((M1209*25%)*5%),IF((A1209="Allianz"),(M1209*27%)-((M1209*27%)*5%),0))),0)</f>
        <v>5969.6518</v>
      </c>
      <c r="AH1209" s="29"/>
      <c r="AI1209" s="29" t="s">
        <v>2982</v>
      </c>
      <c r="AJ1209" s="55">
        <v>0.28</v>
      </c>
      <c r="AK1209" s="29">
        <v>45180.0</v>
      </c>
      <c r="AL1209" s="27"/>
      <c r="AM1209" s="140">
        <f>AU1209*30%</f>
        <v>1460.99373</v>
      </c>
      <c r="AN1209" s="71">
        <v>45654.0</v>
      </c>
      <c r="AO1209" s="46"/>
      <c r="AP1209" s="47"/>
      <c r="AQ1209" s="43">
        <f t="shared" si="974"/>
        <v>6283.844</v>
      </c>
      <c r="AR1209" s="43">
        <f t="shared" si="448"/>
        <v>314.1922</v>
      </c>
      <c r="AS1209" s="43">
        <f t="shared" si="449"/>
        <v>1099.6727</v>
      </c>
      <c r="AT1209" s="48">
        <f t="shared" si="753"/>
        <v>4869.9791</v>
      </c>
      <c r="AU1209" s="49">
        <f t="shared" si="921"/>
        <v>4869.9791</v>
      </c>
      <c r="AV1209" s="48"/>
      <c r="AW1209" s="34">
        <f t="shared" si="840"/>
        <v>24000</v>
      </c>
      <c r="AX1209" s="50">
        <f t="shared" si="811"/>
        <v>3408.98537</v>
      </c>
      <c r="AY1209" s="43"/>
      <c r="AZ1209" s="47"/>
      <c r="BA1209" s="48">
        <f t="shared" si="922"/>
        <v>3408.98537</v>
      </c>
      <c r="BB1209" s="27"/>
      <c r="BC1209" s="27"/>
      <c r="BD1209" s="51"/>
      <c r="BE1209" s="52"/>
      <c r="BF1209" s="27"/>
      <c r="BG1209" s="53">
        <v>0.0</v>
      </c>
      <c r="BH1209" s="53" t="str">
        <f t="shared" si="973"/>
        <v>#REF!</v>
      </c>
      <c r="BI1209" s="27"/>
      <c r="BJ1209" s="27"/>
      <c r="BK1209" s="27" t="s">
        <v>76</v>
      </c>
      <c r="BL1209" s="27"/>
    </row>
    <row r="1210" ht="14.25" customHeight="1">
      <c r="A1210" s="26" t="s">
        <v>55</v>
      </c>
      <c r="B1210" s="26" t="s">
        <v>56</v>
      </c>
      <c r="C1210" s="26" t="s">
        <v>57</v>
      </c>
      <c r="D1210" s="26" t="s">
        <v>71</v>
      </c>
      <c r="E1210" s="27" t="s">
        <v>3948</v>
      </c>
      <c r="F1210" s="28" t="s">
        <v>3949</v>
      </c>
      <c r="G1210" s="182">
        <v>45221.0</v>
      </c>
      <c r="H1210" s="30">
        <v>45221.0</v>
      </c>
      <c r="I1210" s="30">
        <v>45586.0</v>
      </c>
      <c r="J1210" s="31">
        <v>0.0</v>
      </c>
      <c r="K1210" s="26" t="s">
        <v>931</v>
      </c>
      <c r="L1210" s="183" t="s">
        <v>63</v>
      </c>
      <c r="M1210" s="33">
        <v>60775.0</v>
      </c>
      <c r="N1210" s="34">
        <v>64804.61</v>
      </c>
      <c r="O1210" s="27" t="s">
        <v>76</v>
      </c>
      <c r="P1210" s="35" t="s">
        <v>142</v>
      </c>
      <c r="Q1210" s="35" t="s">
        <v>108</v>
      </c>
      <c r="R1210" s="36">
        <v>45221.0</v>
      </c>
      <c r="S1210" s="35" t="s">
        <v>86</v>
      </c>
      <c r="T1210" s="35">
        <v>0.0</v>
      </c>
      <c r="U1210" s="37" t="s">
        <v>67</v>
      </c>
      <c r="V1210" s="38">
        <v>1870000.0</v>
      </c>
      <c r="W1210" s="78">
        <v>72319.0</v>
      </c>
      <c r="X1210" s="27">
        <v>2022.0</v>
      </c>
      <c r="Y1210" s="79" t="s">
        <v>3354</v>
      </c>
      <c r="Z1210" s="39"/>
      <c r="AA1210" s="39"/>
      <c r="AB1210" s="27"/>
      <c r="AC1210" s="27">
        <f t="shared" si="926"/>
        <v>0</v>
      </c>
      <c r="AD1210" s="41">
        <f t="shared" si="962"/>
        <v>9116.25</v>
      </c>
      <c r="AE1210" s="42">
        <v>850.0</v>
      </c>
      <c r="AF1210" s="27" t="s">
        <v>3296</v>
      </c>
      <c r="AG1210" s="43">
        <f t="shared" ref="AG1210:AG1211" si="975">IF(O1210="Paid",IF(A1210="Alwataniya",(M1210*21%)-((M1210*21%)*5%),IF((A1210="GIG"),(M1210*25%)-((M1210*25%)*5%),IF((A1210="Allianz"),(M1210*27%)-((M1210*27%)*5%),0))),0)</f>
        <v>15588.7875</v>
      </c>
      <c r="AH1210" s="29"/>
      <c r="AI1210" s="29"/>
      <c r="AJ1210" s="29"/>
      <c r="AK1210" s="29"/>
      <c r="AL1210" s="27"/>
      <c r="AM1210" s="44"/>
      <c r="AN1210" s="47"/>
      <c r="AO1210" s="46"/>
      <c r="AP1210" s="47"/>
      <c r="AQ1210" s="43">
        <f t="shared" si="974"/>
        <v>16409.25</v>
      </c>
      <c r="AR1210" s="43">
        <f t="shared" si="448"/>
        <v>820.4625</v>
      </c>
      <c r="AS1210" s="43">
        <f t="shared" si="449"/>
        <v>2871.61875</v>
      </c>
      <c r="AT1210" s="48">
        <f t="shared" si="753"/>
        <v>12717.16875</v>
      </c>
      <c r="AU1210" s="49">
        <f t="shared" si="921"/>
        <v>12717.16875</v>
      </c>
      <c r="AV1210" s="48"/>
      <c r="AW1210" s="34">
        <f t="shared" si="840"/>
        <v>54838.36</v>
      </c>
      <c r="AX1210" s="50">
        <f t="shared" si="811"/>
        <v>2750.91875</v>
      </c>
      <c r="AY1210" s="43"/>
      <c r="AZ1210" s="47"/>
      <c r="BA1210" s="48">
        <f t="shared" si="922"/>
        <v>12717.16875</v>
      </c>
      <c r="BB1210" s="27"/>
      <c r="BC1210" s="27"/>
      <c r="BD1210" s="51"/>
      <c r="BE1210" s="52"/>
      <c r="BF1210" s="27"/>
      <c r="BG1210" s="53">
        <v>1.6476403742E10</v>
      </c>
      <c r="BH1210" s="53" t="str">
        <f>'[1]2023'!Q1506</f>
        <v>#REF!</v>
      </c>
      <c r="BI1210" s="27"/>
      <c r="BJ1210" s="27"/>
      <c r="BK1210" s="27" t="s">
        <v>76</v>
      </c>
      <c r="BL1210" s="27"/>
    </row>
    <row r="1211" ht="14.25" customHeight="1">
      <c r="A1211" s="26" t="s">
        <v>55</v>
      </c>
      <c r="B1211" s="26" t="s">
        <v>56</v>
      </c>
      <c r="C1211" s="26" t="s">
        <v>57</v>
      </c>
      <c r="D1211" s="26" t="s">
        <v>81</v>
      </c>
      <c r="E1211" s="27" t="s">
        <v>3950</v>
      </c>
      <c r="F1211" s="28" t="s">
        <v>3951</v>
      </c>
      <c r="G1211" s="29">
        <v>45222.0</v>
      </c>
      <c r="H1211" s="30">
        <v>45222.0</v>
      </c>
      <c r="I1211" s="30">
        <v>45587.0</v>
      </c>
      <c r="J1211" s="31" t="s">
        <v>3952</v>
      </c>
      <c r="K1211" s="26" t="s">
        <v>931</v>
      </c>
      <c r="L1211" s="32" t="s">
        <v>3486</v>
      </c>
      <c r="M1211" s="33">
        <v>28025.0</v>
      </c>
      <c r="N1211" s="34">
        <v>29959.61</v>
      </c>
      <c r="O1211" s="27" t="s">
        <v>76</v>
      </c>
      <c r="P1211" s="35" t="s">
        <v>89</v>
      </c>
      <c r="Q1211" s="35" t="s">
        <v>90</v>
      </c>
      <c r="R1211" s="36">
        <v>45222.0</v>
      </c>
      <c r="S1211" s="35" t="s">
        <v>86</v>
      </c>
      <c r="T1211" s="35">
        <v>0.0</v>
      </c>
      <c r="U1211" s="37" t="s">
        <v>67</v>
      </c>
      <c r="V1211" s="38">
        <v>950000.0</v>
      </c>
      <c r="W1211" s="78" t="s">
        <v>3953</v>
      </c>
      <c r="X1211" s="27">
        <v>2020.0</v>
      </c>
      <c r="Y1211" s="79" t="s">
        <v>232</v>
      </c>
      <c r="Z1211" s="79" t="s">
        <v>232</v>
      </c>
      <c r="AA1211" s="39"/>
      <c r="AB1211" s="27"/>
      <c r="AC1211" s="27">
        <f t="shared" si="926"/>
        <v>0</v>
      </c>
      <c r="AD1211" s="41">
        <f t="shared" si="962"/>
        <v>4203.75</v>
      </c>
      <c r="AE1211" s="42"/>
      <c r="AF1211" s="27"/>
      <c r="AG1211" s="43">
        <f t="shared" si="975"/>
        <v>7188.4125</v>
      </c>
      <c r="AH1211" s="29"/>
      <c r="AI1211" s="29"/>
      <c r="AJ1211" s="29"/>
      <c r="AK1211" s="29"/>
      <c r="AL1211" s="27"/>
      <c r="AM1211" s="44"/>
      <c r="AN1211" s="47"/>
      <c r="AO1211" s="46"/>
      <c r="AP1211" s="47"/>
      <c r="AQ1211" s="43">
        <f t="shared" si="974"/>
        <v>7566.75</v>
      </c>
      <c r="AR1211" s="43">
        <f t="shared" si="448"/>
        <v>378.3375</v>
      </c>
      <c r="AS1211" s="43">
        <f t="shared" si="449"/>
        <v>1324.18125</v>
      </c>
      <c r="AT1211" s="48">
        <f t="shared" si="753"/>
        <v>5864.23125</v>
      </c>
      <c r="AU1211" s="49">
        <f t="shared" si="921"/>
        <v>5864.23125</v>
      </c>
      <c r="AV1211" s="48"/>
      <c r="AW1211" s="34">
        <f t="shared" si="840"/>
        <v>25755.86</v>
      </c>
      <c r="AX1211" s="50">
        <f t="shared" si="811"/>
        <v>1660.48125</v>
      </c>
      <c r="AY1211" s="43"/>
      <c r="AZ1211" s="47"/>
      <c r="BA1211" s="48">
        <f t="shared" si="922"/>
        <v>5864.23125</v>
      </c>
      <c r="BB1211" s="27"/>
      <c r="BC1211" s="27"/>
      <c r="BD1211" s="51"/>
      <c r="BE1211" s="52"/>
      <c r="BF1211" s="27"/>
      <c r="BG1211" s="53">
        <v>0.0</v>
      </c>
      <c r="BH1211" s="53" t="str">
        <f>'[1]2023'!Q1495</f>
        <v>#REF!</v>
      </c>
      <c r="BI1211" s="27"/>
      <c r="BJ1211" s="27"/>
      <c r="BK1211" s="27" t="s">
        <v>76</v>
      </c>
      <c r="BL1211" s="27"/>
    </row>
    <row r="1212" ht="14.25" customHeight="1">
      <c r="A1212" s="26" t="s">
        <v>111</v>
      </c>
      <c r="B1212" s="26" t="s">
        <v>56</v>
      </c>
      <c r="C1212" s="26" t="s">
        <v>57</v>
      </c>
      <c r="D1212" s="26" t="s">
        <v>71</v>
      </c>
      <c r="E1212" s="27" t="s">
        <v>3954</v>
      </c>
      <c r="F1212" s="28" t="s">
        <v>3955</v>
      </c>
      <c r="G1212" s="29">
        <v>45222.0</v>
      </c>
      <c r="H1212" s="30">
        <v>45222.0</v>
      </c>
      <c r="I1212" s="30">
        <v>45587.0</v>
      </c>
      <c r="J1212" s="31" t="s">
        <v>1424</v>
      </c>
      <c r="K1212" s="26" t="s">
        <v>931</v>
      </c>
      <c r="L1212" s="32" t="s">
        <v>2764</v>
      </c>
      <c r="M1212" s="33">
        <v>38857.33</v>
      </c>
      <c r="N1212" s="34">
        <v>41600.0</v>
      </c>
      <c r="O1212" s="27" t="s">
        <v>76</v>
      </c>
      <c r="P1212" s="35" t="s">
        <v>89</v>
      </c>
      <c r="Q1212" s="35" t="s">
        <v>114</v>
      </c>
      <c r="R1212" s="36">
        <v>45231.0</v>
      </c>
      <c r="S1212" s="35" t="s">
        <v>66</v>
      </c>
      <c r="T1212" s="35">
        <v>0.0</v>
      </c>
      <c r="U1212" s="37" t="s">
        <v>115</v>
      </c>
      <c r="V1212" s="38">
        <v>1600000.0</v>
      </c>
      <c r="W1212" s="78">
        <v>3537.0</v>
      </c>
      <c r="X1212" s="27"/>
      <c r="Y1212" s="79" t="s">
        <v>3272</v>
      </c>
      <c r="Z1212" s="39"/>
      <c r="AA1212" s="39"/>
      <c r="AB1212" s="27"/>
      <c r="AC1212" s="27">
        <f t="shared" si="926"/>
        <v>0</v>
      </c>
      <c r="AD1212" s="41">
        <f t="shared" si="962"/>
        <v>0</v>
      </c>
      <c r="AE1212" s="42"/>
      <c r="AF1212" s="27"/>
      <c r="AG1212" s="43">
        <f>IF(O1212="Paid",IF(A1212="Wethaq",(M1212*28%)-((M1212*28%)*5%),IF((A1212="GIG"),(M1212*25%)-((M1212*25%)*5%),IF((A1212="Allianz"),(M1212*27%)-((M1212*27%)*5%),0))),0)</f>
        <v>9228.615875</v>
      </c>
      <c r="AH1212" s="29" t="s">
        <v>926</v>
      </c>
      <c r="AI1212" s="29">
        <v>45088.0</v>
      </c>
      <c r="AJ1212" s="29"/>
      <c r="AK1212" s="29">
        <v>44968.0</v>
      </c>
      <c r="AL1212" s="27"/>
      <c r="AM1212" s="140">
        <f>AU1212*30%</f>
        <v>2258.582306</v>
      </c>
      <c r="AN1212" s="71">
        <v>45654.0</v>
      </c>
      <c r="AO1212" s="46"/>
      <c r="AP1212" s="47"/>
      <c r="AQ1212" s="43">
        <f t="shared" si="974"/>
        <v>9714.3325</v>
      </c>
      <c r="AR1212" s="43">
        <f t="shared" si="448"/>
        <v>485.716625</v>
      </c>
      <c r="AS1212" s="43">
        <f t="shared" si="449"/>
        <v>1700.008188</v>
      </c>
      <c r="AT1212" s="48">
        <f t="shared" si="753"/>
        <v>7528.607688</v>
      </c>
      <c r="AU1212" s="49">
        <f t="shared" si="921"/>
        <v>7528.607688</v>
      </c>
      <c r="AV1212" s="48"/>
      <c r="AW1212" s="34">
        <f t="shared" si="840"/>
        <v>41600</v>
      </c>
      <c r="AX1212" s="50">
        <f t="shared" si="811"/>
        <v>5270.025381</v>
      </c>
      <c r="AY1212" s="43"/>
      <c r="AZ1212" s="47"/>
      <c r="BA1212" s="48">
        <f t="shared" si="922"/>
        <v>5270.025381</v>
      </c>
      <c r="BB1212" s="27"/>
      <c r="BC1212" s="27"/>
      <c r="BD1212" s="51"/>
      <c r="BE1212" s="52"/>
      <c r="BF1212" s="27"/>
      <c r="BG1212" s="53">
        <v>0.0</v>
      </c>
      <c r="BH1212" s="53" t="str">
        <f>'[1]2023'!Q1505</f>
        <v>#REF!</v>
      </c>
      <c r="BI1212" s="27"/>
      <c r="BJ1212" s="27"/>
      <c r="BK1212" s="27" t="s">
        <v>76</v>
      </c>
      <c r="BL1212" s="27"/>
    </row>
    <row r="1213" ht="14.25" customHeight="1">
      <c r="A1213" s="26" t="s">
        <v>111</v>
      </c>
      <c r="B1213" s="26" t="s">
        <v>56</v>
      </c>
      <c r="C1213" s="26" t="s">
        <v>57</v>
      </c>
      <c r="D1213" s="26" t="s">
        <v>71</v>
      </c>
      <c r="E1213" s="27" t="s">
        <v>3956</v>
      </c>
      <c r="F1213" s="28" t="s">
        <v>3957</v>
      </c>
      <c r="G1213" s="29">
        <v>45222.0</v>
      </c>
      <c r="H1213" s="30">
        <v>45222.0</v>
      </c>
      <c r="I1213" s="30">
        <v>45587.0</v>
      </c>
      <c r="J1213" s="31" t="s">
        <v>3958</v>
      </c>
      <c r="K1213" s="26" t="s">
        <v>931</v>
      </c>
      <c r="L1213" s="32" t="s">
        <v>63</v>
      </c>
      <c r="M1213" s="33">
        <v>16864.85</v>
      </c>
      <c r="N1213" s="34">
        <v>18200.0</v>
      </c>
      <c r="O1213" s="27" t="s">
        <v>64</v>
      </c>
      <c r="P1213" s="35">
        <v>0.0</v>
      </c>
      <c r="Q1213" s="35" t="s">
        <v>114</v>
      </c>
      <c r="R1213" s="36">
        <v>45231.0</v>
      </c>
      <c r="S1213" s="35" t="s">
        <v>848</v>
      </c>
      <c r="T1213" s="35">
        <v>0.0</v>
      </c>
      <c r="U1213" s="37" t="s">
        <v>115</v>
      </c>
      <c r="V1213" s="38">
        <v>700000.0</v>
      </c>
      <c r="W1213" s="78">
        <v>941050.0</v>
      </c>
      <c r="X1213" s="27"/>
      <c r="Y1213" s="79" t="s">
        <v>3959</v>
      </c>
      <c r="Z1213" s="39"/>
      <c r="AA1213" s="39"/>
      <c r="AB1213" s="27"/>
      <c r="AC1213" s="27">
        <f t="shared" si="926"/>
        <v>0</v>
      </c>
      <c r="AD1213" s="41">
        <f t="shared" si="962"/>
        <v>0</v>
      </c>
      <c r="AE1213" s="42"/>
      <c r="AF1213" s="27"/>
      <c r="AG1213" s="43">
        <f>IF(O1213="Paid",IF(A1213="Alwataniya",(M1213*21%)-((M1213*21%)*5%),IF((A1213="GIG"),(M1213*25%)-((M1213*25%)*5%),IF((A1213="Allianz"),(M1213*27%)-((M1213*27%)*20%),0))),0)</f>
        <v>0</v>
      </c>
      <c r="AH1213" s="29"/>
      <c r="AI1213" s="29"/>
      <c r="AJ1213" s="29"/>
      <c r="AK1213" s="29"/>
      <c r="AL1213" s="27"/>
      <c r="AM1213" s="44">
        <f t="shared" ref="AM1213:AM1214" si="976">IF((BD1213&lt;=2),AU1213*10%,(IF((BD1213=3),AU1213*20%,IF((BD1213=4),AU1213*20%,IF((BD1213&gt;=5),AU1213*30%,(IF((BD1213="lead"),AU1213*30%,0)))))))</f>
        <v>0</v>
      </c>
      <c r="AN1213" s="47"/>
      <c r="AO1213" s="46"/>
      <c r="AP1213" s="47"/>
      <c r="AQ1213" s="43" t="b">
        <f>IF(O1213="Paid",IF(U1213="Motor Plus",(M1213*27%),IF(U1213="Motor One",(M1213*22%),(IF(U1213="Golden",(M1213*25%),(IF(U1213="Classic",(M1213*15%),(IF(U1213="Wethaq",(M1213*28%),IF(U1213="Alwataniya",(M1213*21%))*0)))))))))</f>
        <v>0</v>
      </c>
      <c r="AR1213" s="43">
        <f t="shared" si="448"/>
        <v>0</v>
      </c>
      <c r="AS1213" s="43">
        <f t="shared" si="449"/>
        <v>0</v>
      </c>
      <c r="AT1213" s="48">
        <f t="shared" si="753"/>
        <v>0</v>
      </c>
      <c r="AU1213" s="49">
        <f t="shared" si="921"/>
        <v>0</v>
      </c>
      <c r="AV1213" s="48"/>
      <c r="AW1213" s="34">
        <f t="shared" si="840"/>
        <v>18200</v>
      </c>
      <c r="AX1213" s="50">
        <f t="shared" si="811"/>
        <v>0</v>
      </c>
      <c r="AY1213" s="43"/>
      <c r="AZ1213" s="47"/>
      <c r="BA1213" s="48">
        <f t="shared" si="922"/>
        <v>0</v>
      </c>
      <c r="BB1213" s="27"/>
      <c r="BC1213" s="27"/>
      <c r="BD1213" s="51"/>
      <c r="BE1213" s="52"/>
      <c r="BF1213" s="27"/>
      <c r="BG1213" s="53">
        <v>0.0</v>
      </c>
      <c r="BH1213" s="53" t="str">
        <f t="shared" ref="BH1213:BH1214" si="977">'[1]2023'!Q1507</f>
        <v>#REF!</v>
      </c>
      <c r="BI1213" s="27"/>
      <c r="BJ1213" s="27"/>
      <c r="BK1213" s="27" t="s">
        <v>64</v>
      </c>
      <c r="BL1213" s="27"/>
    </row>
    <row r="1214" ht="14.25" customHeight="1">
      <c r="A1214" s="26" t="s">
        <v>181</v>
      </c>
      <c r="B1214" s="26" t="s">
        <v>56</v>
      </c>
      <c r="C1214" s="26" t="s">
        <v>57</v>
      </c>
      <c r="D1214" s="26" t="s">
        <v>71</v>
      </c>
      <c r="E1214" s="27" t="s">
        <v>3960</v>
      </c>
      <c r="F1214" s="28" t="s">
        <v>3961</v>
      </c>
      <c r="G1214" s="29">
        <v>45222.0</v>
      </c>
      <c r="H1214" s="30">
        <v>45222.0</v>
      </c>
      <c r="I1214" s="30">
        <v>45587.0</v>
      </c>
      <c r="J1214" s="31" t="s">
        <v>3962</v>
      </c>
      <c r="K1214" s="26" t="s">
        <v>931</v>
      </c>
      <c r="L1214" s="89">
        <v>45239.0</v>
      </c>
      <c r="M1214" s="33">
        <v>13456.86</v>
      </c>
      <c r="N1214" s="34">
        <v>14500.0</v>
      </c>
      <c r="O1214" s="27" t="s">
        <v>76</v>
      </c>
      <c r="P1214" s="35" t="s">
        <v>89</v>
      </c>
      <c r="Q1214" s="35">
        <v>0.0</v>
      </c>
      <c r="R1214" s="36">
        <v>45222.0</v>
      </c>
      <c r="S1214" s="35">
        <v>0.0</v>
      </c>
      <c r="T1214" s="35">
        <v>0.0</v>
      </c>
      <c r="U1214" s="37" t="s">
        <v>181</v>
      </c>
      <c r="V1214" s="38">
        <v>1000000.0</v>
      </c>
      <c r="W1214" s="78">
        <v>515395.0</v>
      </c>
      <c r="X1214" s="27">
        <v>2022.0</v>
      </c>
      <c r="Y1214" s="79" t="s">
        <v>232</v>
      </c>
      <c r="Z1214" s="39"/>
      <c r="AA1214" s="39"/>
      <c r="AB1214" s="27"/>
      <c r="AC1214" s="27">
        <f t="shared" si="926"/>
        <v>0</v>
      </c>
      <c r="AD1214" s="41">
        <f t="shared" si="962"/>
        <v>0</v>
      </c>
      <c r="AE1214" s="42"/>
      <c r="AF1214" s="27"/>
      <c r="AG1214" s="43">
        <f>IF(O1214="Paid",IF(A1214="Alwataniya",(M1214*19%)-((M1214*19%)*5%),IF((A1214="GIG"),(M1214*25%)-((M1214*25%)*5%),IF((A1214="Allianz"),(M1214*27%)-((M1214*27%)*20%),0))),0)</f>
        <v>2428.96323</v>
      </c>
      <c r="AH1214" s="29"/>
      <c r="AI1214" s="29" t="s">
        <v>2972</v>
      </c>
      <c r="AJ1214" s="97">
        <v>0.19</v>
      </c>
      <c r="AK1214" s="29" t="s">
        <v>3963</v>
      </c>
      <c r="AL1214" s="27"/>
      <c r="AM1214" s="44">
        <f t="shared" si="976"/>
        <v>198.1522635</v>
      </c>
      <c r="AN1214" s="47"/>
      <c r="AO1214" s="46"/>
      <c r="AP1214" s="47"/>
      <c r="AQ1214" s="84">
        <f>IF(O1214="Paid",IF(U1214="Motor Plus",(M1214*27%),IF(U1214="Motor One",(M1214*22%),(IF(U1214="Golden",(M1214*25%),(IF(U1214="Classic",(M1214*15%),(IF(U1214="Wethaq",(M1214*28%),IF(U1214="Alwataniya",(M1214*19%)))))))))))</f>
        <v>2556.8034</v>
      </c>
      <c r="AR1214" s="43">
        <f t="shared" si="448"/>
        <v>127.84017</v>
      </c>
      <c r="AS1214" s="43">
        <f t="shared" si="449"/>
        <v>447.440595</v>
      </c>
      <c r="AT1214" s="48">
        <f t="shared" si="753"/>
        <v>1981.522635</v>
      </c>
      <c r="AU1214" s="49">
        <f t="shared" si="921"/>
        <v>1981.522635</v>
      </c>
      <c r="AV1214" s="48"/>
      <c r="AW1214" s="34">
        <f t="shared" si="840"/>
        <v>14500</v>
      </c>
      <c r="AX1214" s="50">
        <f t="shared" si="811"/>
        <v>1783.370372</v>
      </c>
      <c r="AY1214" s="43"/>
      <c r="AZ1214" s="47"/>
      <c r="BA1214" s="48">
        <f t="shared" si="922"/>
        <v>1981.522635</v>
      </c>
      <c r="BB1214" s="27"/>
      <c r="BC1214" s="27"/>
      <c r="BD1214" s="51"/>
      <c r="BE1214" s="52"/>
      <c r="BF1214" s="27"/>
      <c r="BG1214" s="58" t="s">
        <v>3964</v>
      </c>
      <c r="BH1214" s="53" t="str">
        <f t="shared" si="977"/>
        <v>#REF!</v>
      </c>
      <c r="BI1214" s="27"/>
      <c r="BJ1214" s="27"/>
      <c r="BK1214" s="27" t="s">
        <v>76</v>
      </c>
      <c r="BL1214" s="27"/>
    </row>
    <row r="1215" ht="14.25" customHeight="1">
      <c r="A1215" s="26" t="s">
        <v>111</v>
      </c>
      <c r="B1215" s="26" t="s">
        <v>56</v>
      </c>
      <c r="C1215" s="26" t="s">
        <v>57</v>
      </c>
      <c r="D1215" s="26" t="s">
        <v>58</v>
      </c>
      <c r="E1215" s="27" t="s">
        <v>3965</v>
      </c>
      <c r="F1215" s="28" t="s">
        <v>3966</v>
      </c>
      <c r="G1215" s="29">
        <v>45222.0</v>
      </c>
      <c r="H1215" s="30">
        <v>45222.0</v>
      </c>
      <c r="I1215" s="30">
        <v>45587.0</v>
      </c>
      <c r="J1215" s="31">
        <v>0.0</v>
      </c>
      <c r="K1215" s="26" t="s">
        <v>2374</v>
      </c>
      <c r="L1215" s="89">
        <v>45253.0</v>
      </c>
      <c r="M1215" s="33">
        <v>215.41</v>
      </c>
      <c r="N1215" s="34">
        <v>285.0</v>
      </c>
      <c r="O1215" s="27" t="s">
        <v>76</v>
      </c>
      <c r="P1215" s="35" t="s">
        <v>162</v>
      </c>
      <c r="Q1215" s="35" t="s">
        <v>108</v>
      </c>
      <c r="R1215" s="36">
        <v>45232.0</v>
      </c>
      <c r="S1215" s="35" t="s">
        <v>86</v>
      </c>
      <c r="T1215" s="35">
        <v>0.0</v>
      </c>
      <c r="U1215" s="37" t="s">
        <v>58</v>
      </c>
      <c r="V1215" s="38"/>
      <c r="W1215" s="78"/>
      <c r="X1215" s="27"/>
      <c r="Y1215" s="39"/>
      <c r="Z1215" s="39"/>
      <c r="AA1215" s="39"/>
      <c r="AB1215" s="27"/>
      <c r="AC1215" s="27">
        <f t="shared" si="926"/>
        <v>0</v>
      </c>
      <c r="AD1215" s="41">
        <f t="shared" si="962"/>
        <v>32.3115</v>
      </c>
      <c r="AE1215" s="42"/>
      <c r="AF1215" s="27"/>
      <c r="AG1215" s="156">
        <f t="shared" ref="AG1215:AG1216" si="978">IF(O1215="Paid",IF(A1215="Wethaq",(M1215*28%)-((M1215*28%)*5%),IF((A1215="GIG"),(M1215*25%)-((M1215*25%)*5%),IF((A1215="Allianz"),(M1215*27%)-((M1215*27%)*20%),0))),0)</f>
        <v>51.159875</v>
      </c>
      <c r="AH1215" s="29"/>
      <c r="AI1215" s="29"/>
      <c r="AJ1215" s="29"/>
      <c r="AK1215" s="201" t="s">
        <v>1181</v>
      </c>
      <c r="AL1215" s="27"/>
      <c r="AM1215" s="44"/>
      <c r="AN1215" s="47"/>
      <c r="AO1215" s="46"/>
      <c r="AP1215" s="47"/>
      <c r="AQ1215" s="43">
        <f t="shared" ref="AQ1215:AQ1216" si="979">IF(O1215="Paid",IF(U1215="Motor Plus",(M1215*27%),IF(U1215="Motor One",(M1215*22%),(IF(U1215="Golden",(M1215*25%),(IF(U1215="Classic",(M1215*15%),(IF(U1215="Wethaq",(M1215*28%),IF(U1215="Alwataniya",(M1215*21%))*0)))))))))</f>
        <v>0</v>
      </c>
      <c r="AR1215" s="43">
        <f t="shared" si="448"/>
        <v>0</v>
      </c>
      <c r="AS1215" s="43">
        <f t="shared" si="449"/>
        <v>0</v>
      </c>
      <c r="AT1215" s="48">
        <f t="shared" si="753"/>
        <v>0</v>
      </c>
      <c r="AU1215" s="49">
        <f t="shared" si="921"/>
        <v>0</v>
      </c>
      <c r="AV1215" s="48"/>
      <c r="AW1215" s="34">
        <f t="shared" si="840"/>
        <v>252.6885</v>
      </c>
      <c r="AX1215" s="50">
        <f t="shared" si="811"/>
        <v>18.848375</v>
      </c>
      <c r="AY1215" s="43"/>
      <c r="AZ1215" s="47"/>
      <c r="BA1215" s="48">
        <f t="shared" si="922"/>
        <v>0</v>
      </c>
      <c r="BB1215" s="27"/>
      <c r="BC1215" s="27"/>
      <c r="BD1215" s="51"/>
      <c r="BE1215" s="52"/>
      <c r="BF1215" s="27"/>
      <c r="BG1215" s="53">
        <v>0.0</v>
      </c>
      <c r="BH1215" s="53" t="str">
        <f>'[1]2023'!Q1571</f>
        <v>#REF!</v>
      </c>
      <c r="BI1215" s="27"/>
      <c r="BJ1215" s="27"/>
      <c r="BK1215" s="27" t="s">
        <v>76</v>
      </c>
      <c r="BL1215" s="27"/>
    </row>
    <row r="1216" ht="14.25" customHeight="1">
      <c r="A1216" s="26" t="s">
        <v>1634</v>
      </c>
      <c r="B1216" s="26" t="s">
        <v>69</v>
      </c>
      <c r="C1216" s="26" t="s">
        <v>70</v>
      </c>
      <c r="D1216" s="26" t="s">
        <v>58</v>
      </c>
      <c r="E1216" s="27" t="s">
        <v>3967</v>
      </c>
      <c r="F1216" s="28" t="s">
        <v>1656</v>
      </c>
      <c r="G1216" s="29">
        <v>45222.0</v>
      </c>
      <c r="H1216" s="30">
        <v>45222.0</v>
      </c>
      <c r="I1216" s="30">
        <v>45587.0</v>
      </c>
      <c r="J1216" s="31">
        <v>0.0</v>
      </c>
      <c r="K1216" s="26" t="s">
        <v>931</v>
      </c>
      <c r="L1216" s="32" t="s">
        <v>63</v>
      </c>
      <c r="M1216" s="33">
        <v>255.5</v>
      </c>
      <c r="N1216" s="34">
        <v>317.0</v>
      </c>
      <c r="O1216" s="27" t="s">
        <v>76</v>
      </c>
      <c r="P1216" s="35" t="s">
        <v>162</v>
      </c>
      <c r="Q1216" s="35">
        <v>0.0</v>
      </c>
      <c r="R1216" s="36">
        <v>45222.0</v>
      </c>
      <c r="S1216" s="35" t="s">
        <v>78</v>
      </c>
      <c r="T1216" s="54" t="s">
        <v>79</v>
      </c>
      <c r="U1216" s="37" t="s">
        <v>69</v>
      </c>
      <c r="V1216" s="38"/>
      <c r="W1216" s="78"/>
      <c r="X1216" s="27"/>
      <c r="Y1216" s="39"/>
      <c r="Z1216" s="39"/>
      <c r="AA1216" s="39"/>
      <c r="AB1216" s="27"/>
      <c r="AC1216" s="27">
        <f t="shared" si="926"/>
        <v>0</v>
      </c>
      <c r="AD1216" s="41">
        <f t="shared" si="962"/>
        <v>0</v>
      </c>
      <c r="AE1216" s="42"/>
      <c r="AF1216" s="27"/>
      <c r="AG1216" s="43">
        <f t="shared" si="978"/>
        <v>0</v>
      </c>
      <c r="AH1216" s="29"/>
      <c r="AI1216" s="29"/>
      <c r="AJ1216" s="29"/>
      <c r="AK1216" s="29"/>
      <c r="AL1216" s="27"/>
      <c r="AM1216" s="44"/>
      <c r="AN1216" s="47"/>
      <c r="AO1216" s="149">
        <f>((AF1216*AJ1216)-((AF1216*AJ1216)*22.5%))*80%</f>
        <v>0</v>
      </c>
      <c r="AP1216" s="47"/>
      <c r="AQ1216" s="43">
        <f t="shared" si="979"/>
        <v>0</v>
      </c>
      <c r="AR1216" s="43">
        <f t="shared" si="448"/>
        <v>0</v>
      </c>
      <c r="AS1216" s="43">
        <f t="shared" si="449"/>
        <v>0</v>
      </c>
      <c r="AT1216" s="48">
        <f t="shared" si="753"/>
        <v>0</v>
      </c>
      <c r="AU1216" s="49">
        <f t="shared" si="921"/>
        <v>0</v>
      </c>
      <c r="AV1216" s="48"/>
      <c r="AW1216" s="34">
        <f t="shared" si="840"/>
        <v>317</v>
      </c>
      <c r="AX1216" s="50">
        <f t="shared" si="811"/>
        <v>0</v>
      </c>
      <c r="AY1216" s="43"/>
      <c r="AZ1216" s="47"/>
      <c r="BA1216" s="48">
        <f t="shared" si="922"/>
        <v>0</v>
      </c>
      <c r="BB1216" s="27"/>
      <c r="BC1216" s="27"/>
      <c r="BD1216" s="51"/>
      <c r="BE1216" s="52"/>
      <c r="BF1216" s="27"/>
      <c r="BG1216" s="53">
        <v>0.0</v>
      </c>
      <c r="BH1216" s="53" t="str">
        <f>'[1]2023'!Q1592</f>
        <v>#REF!</v>
      </c>
      <c r="BI1216" s="27"/>
      <c r="BJ1216" s="27"/>
      <c r="BK1216" s="27" t="s">
        <v>76</v>
      </c>
      <c r="BL1216" s="27"/>
    </row>
    <row r="1217" ht="14.25" customHeight="1">
      <c r="A1217" s="26" t="s">
        <v>55</v>
      </c>
      <c r="B1217" s="26" t="s">
        <v>56</v>
      </c>
      <c r="C1217" s="26" t="s">
        <v>70</v>
      </c>
      <c r="D1217" s="26" t="s">
        <v>71</v>
      </c>
      <c r="E1217" s="27" t="s">
        <v>3968</v>
      </c>
      <c r="F1217" s="28" t="s">
        <v>3538</v>
      </c>
      <c r="G1217" s="29">
        <v>45223.0</v>
      </c>
      <c r="H1217" s="30">
        <v>45223.0</v>
      </c>
      <c r="I1217" s="30">
        <v>45588.0</v>
      </c>
      <c r="J1217" s="88" t="s">
        <v>461</v>
      </c>
      <c r="K1217" s="26" t="s">
        <v>931</v>
      </c>
      <c r="L1217" s="69">
        <v>45148.0</v>
      </c>
      <c r="M1217" s="33">
        <v>0.0</v>
      </c>
      <c r="N1217" s="34">
        <v>0.0</v>
      </c>
      <c r="O1217" s="27" t="s">
        <v>76</v>
      </c>
      <c r="P1217" s="35" t="s">
        <v>89</v>
      </c>
      <c r="Q1217" s="35">
        <v>0.0</v>
      </c>
      <c r="R1217" s="36">
        <v>45223.0</v>
      </c>
      <c r="S1217" s="35" t="s">
        <v>78</v>
      </c>
      <c r="T1217" s="35">
        <v>0.0</v>
      </c>
      <c r="U1217" s="37">
        <v>0.0</v>
      </c>
      <c r="V1217" s="38"/>
      <c r="W1217" s="78"/>
      <c r="X1217" s="27"/>
      <c r="Y1217" s="39"/>
      <c r="Z1217" s="39"/>
      <c r="AA1217" s="39"/>
      <c r="AB1217" s="27"/>
      <c r="AC1217" s="27">
        <f t="shared" si="926"/>
        <v>0</v>
      </c>
      <c r="AD1217" s="41">
        <f t="shared" si="962"/>
        <v>0</v>
      </c>
      <c r="AE1217" s="42"/>
      <c r="AF1217" s="27"/>
      <c r="AG1217" s="43">
        <f t="shared" ref="AG1217:AG1229" si="980">IF(O1217="Paid",IF(A1217="Alwataniya",(M1217*21%)-((M1217*21%)*5%),IF((A1217="GIG"),(M1217*25%)-((M1217*25%)*5%),IF((A1217="Allianz"),(M1217*27%)-((M1217*27%)*5%),0))),0)</f>
        <v>0</v>
      </c>
      <c r="AH1217" s="29"/>
      <c r="AI1217" s="29"/>
      <c r="AJ1217" s="29"/>
      <c r="AK1217" s="29"/>
      <c r="AL1217" s="27"/>
      <c r="AM1217" s="44"/>
      <c r="AN1217" s="47"/>
      <c r="AO1217" s="46"/>
      <c r="AP1217" s="47"/>
      <c r="AQ1217" s="43">
        <f t="shared" ref="AQ1217:AQ1225" si="981">IF(U1217="Motor Plus",(M1217*27%),IF(U1217="Motor One",(M1217*22%),(IF(U1217="Golden",(M1217*25%),(IF(U1217="Classic",(M1217*15%),(IF(U1217="Wethaq",(M1217*28%),IF(U1217="Alwataniya",(M1217*21%))*0))))))))</f>
        <v>0</v>
      </c>
      <c r="AR1217" s="43">
        <f t="shared" si="448"/>
        <v>0</v>
      </c>
      <c r="AS1217" s="43">
        <f t="shared" si="449"/>
        <v>0</v>
      </c>
      <c r="AT1217" s="48">
        <f t="shared" si="753"/>
        <v>0</v>
      </c>
      <c r="AU1217" s="49">
        <f t="shared" si="921"/>
        <v>0</v>
      </c>
      <c r="AV1217" s="48"/>
      <c r="AW1217" s="34">
        <f t="shared" si="840"/>
        <v>0</v>
      </c>
      <c r="AX1217" s="50">
        <f t="shared" si="811"/>
        <v>0</v>
      </c>
      <c r="AY1217" s="43"/>
      <c r="AZ1217" s="47"/>
      <c r="BA1217" s="48">
        <f t="shared" si="922"/>
        <v>0</v>
      </c>
      <c r="BB1217" s="27"/>
      <c r="BC1217" s="27"/>
      <c r="BD1217" s="51"/>
      <c r="BE1217" s="52"/>
      <c r="BF1217" s="27"/>
      <c r="BG1217" s="53">
        <v>3.3901987312E10</v>
      </c>
      <c r="BH1217" s="53" t="str">
        <f t="shared" ref="BH1217:BH1221" si="982">'[1]2023'!Q1387</f>
        <v>#REF!</v>
      </c>
      <c r="BI1217" s="27"/>
      <c r="BJ1217" s="27"/>
      <c r="BK1217" s="27" t="s">
        <v>76</v>
      </c>
      <c r="BL1217" s="27"/>
    </row>
    <row r="1218" ht="14.25" customHeight="1">
      <c r="A1218" s="26" t="s">
        <v>55</v>
      </c>
      <c r="B1218" s="26" t="s">
        <v>56</v>
      </c>
      <c r="C1218" s="26" t="s">
        <v>70</v>
      </c>
      <c r="D1218" s="26" t="s">
        <v>71</v>
      </c>
      <c r="E1218" s="27" t="s">
        <v>3969</v>
      </c>
      <c r="F1218" s="28" t="s">
        <v>3538</v>
      </c>
      <c r="G1218" s="29">
        <v>45223.0</v>
      </c>
      <c r="H1218" s="30">
        <v>45223.0</v>
      </c>
      <c r="I1218" s="30">
        <v>45588.0</v>
      </c>
      <c r="J1218" s="88" t="s">
        <v>461</v>
      </c>
      <c r="K1218" s="26" t="s">
        <v>931</v>
      </c>
      <c r="L1218" s="69">
        <v>45148.0</v>
      </c>
      <c r="M1218" s="33">
        <v>0.0</v>
      </c>
      <c r="N1218" s="34">
        <v>0.0</v>
      </c>
      <c r="O1218" s="27" t="s">
        <v>76</v>
      </c>
      <c r="P1218" s="35" t="s">
        <v>89</v>
      </c>
      <c r="Q1218" s="35">
        <v>0.0</v>
      </c>
      <c r="R1218" s="36">
        <v>45223.0</v>
      </c>
      <c r="S1218" s="35" t="s">
        <v>78</v>
      </c>
      <c r="T1218" s="35">
        <v>0.0</v>
      </c>
      <c r="U1218" s="37">
        <v>0.0</v>
      </c>
      <c r="V1218" s="38"/>
      <c r="W1218" s="78"/>
      <c r="X1218" s="27"/>
      <c r="Y1218" s="39"/>
      <c r="Z1218" s="39"/>
      <c r="AA1218" s="39"/>
      <c r="AB1218" s="27"/>
      <c r="AC1218" s="27">
        <f t="shared" si="926"/>
        <v>0</v>
      </c>
      <c r="AD1218" s="41">
        <f t="shared" si="962"/>
        <v>0</v>
      </c>
      <c r="AE1218" s="42"/>
      <c r="AF1218" s="27"/>
      <c r="AG1218" s="43">
        <f t="shared" si="980"/>
        <v>0</v>
      </c>
      <c r="AH1218" s="29"/>
      <c r="AI1218" s="29"/>
      <c r="AJ1218" s="29"/>
      <c r="AK1218" s="29"/>
      <c r="AL1218" s="27"/>
      <c r="AM1218" s="44"/>
      <c r="AN1218" s="47"/>
      <c r="AO1218" s="46"/>
      <c r="AP1218" s="47"/>
      <c r="AQ1218" s="43">
        <f t="shared" si="981"/>
        <v>0</v>
      </c>
      <c r="AR1218" s="43">
        <f t="shared" si="448"/>
        <v>0</v>
      </c>
      <c r="AS1218" s="43">
        <f t="shared" si="449"/>
        <v>0</v>
      </c>
      <c r="AT1218" s="48">
        <f t="shared" si="753"/>
        <v>0</v>
      </c>
      <c r="AU1218" s="49">
        <f t="shared" si="921"/>
        <v>0</v>
      </c>
      <c r="AV1218" s="48"/>
      <c r="AW1218" s="34">
        <f t="shared" si="840"/>
        <v>0</v>
      </c>
      <c r="AX1218" s="50">
        <f t="shared" si="811"/>
        <v>0</v>
      </c>
      <c r="AY1218" s="43"/>
      <c r="AZ1218" s="47"/>
      <c r="BA1218" s="48">
        <f t="shared" si="922"/>
        <v>0</v>
      </c>
      <c r="BB1218" s="27"/>
      <c r="BC1218" s="27"/>
      <c r="BD1218" s="51"/>
      <c r="BE1218" s="52"/>
      <c r="BF1218" s="27"/>
      <c r="BG1218" s="53">
        <v>0.0</v>
      </c>
      <c r="BH1218" s="53" t="str">
        <f t="shared" si="982"/>
        <v>#REF!</v>
      </c>
      <c r="BI1218" s="27"/>
      <c r="BJ1218" s="27"/>
      <c r="BK1218" s="27" t="s">
        <v>76</v>
      </c>
      <c r="BL1218" s="27"/>
    </row>
    <row r="1219" ht="14.25" customHeight="1">
      <c r="A1219" s="26" t="s">
        <v>55</v>
      </c>
      <c r="B1219" s="26" t="s">
        <v>56</v>
      </c>
      <c r="C1219" s="26" t="s">
        <v>70</v>
      </c>
      <c r="D1219" s="26" t="s">
        <v>71</v>
      </c>
      <c r="E1219" s="27" t="s">
        <v>3970</v>
      </c>
      <c r="F1219" s="28" t="s">
        <v>3538</v>
      </c>
      <c r="G1219" s="29">
        <v>45223.0</v>
      </c>
      <c r="H1219" s="30">
        <v>45223.0</v>
      </c>
      <c r="I1219" s="30">
        <v>45588.0</v>
      </c>
      <c r="J1219" s="88" t="s">
        <v>461</v>
      </c>
      <c r="K1219" s="26" t="s">
        <v>931</v>
      </c>
      <c r="L1219" s="69">
        <v>45148.0</v>
      </c>
      <c r="M1219" s="33">
        <v>0.0</v>
      </c>
      <c r="N1219" s="34">
        <v>0.0</v>
      </c>
      <c r="O1219" s="27" t="s">
        <v>76</v>
      </c>
      <c r="P1219" s="35" t="s">
        <v>89</v>
      </c>
      <c r="Q1219" s="35">
        <v>0.0</v>
      </c>
      <c r="R1219" s="36">
        <v>45223.0</v>
      </c>
      <c r="S1219" s="35" t="s">
        <v>78</v>
      </c>
      <c r="T1219" s="35">
        <v>0.0</v>
      </c>
      <c r="U1219" s="37">
        <v>0.0</v>
      </c>
      <c r="V1219" s="38"/>
      <c r="W1219" s="78"/>
      <c r="X1219" s="27"/>
      <c r="Y1219" s="39"/>
      <c r="Z1219" s="39"/>
      <c r="AA1219" s="39"/>
      <c r="AB1219" s="27"/>
      <c r="AC1219" s="27">
        <f t="shared" si="926"/>
        <v>0</v>
      </c>
      <c r="AD1219" s="41">
        <f t="shared" si="962"/>
        <v>0</v>
      </c>
      <c r="AE1219" s="42"/>
      <c r="AF1219" s="27"/>
      <c r="AG1219" s="43">
        <f t="shared" si="980"/>
        <v>0</v>
      </c>
      <c r="AH1219" s="29"/>
      <c r="AI1219" s="29"/>
      <c r="AJ1219" s="29"/>
      <c r="AK1219" s="29"/>
      <c r="AL1219" s="27"/>
      <c r="AM1219" s="44"/>
      <c r="AN1219" s="47"/>
      <c r="AO1219" s="46"/>
      <c r="AP1219" s="47"/>
      <c r="AQ1219" s="43">
        <f t="shared" si="981"/>
        <v>0</v>
      </c>
      <c r="AR1219" s="43">
        <f t="shared" si="448"/>
        <v>0</v>
      </c>
      <c r="AS1219" s="43">
        <f t="shared" si="449"/>
        <v>0</v>
      </c>
      <c r="AT1219" s="48">
        <f t="shared" si="753"/>
        <v>0</v>
      </c>
      <c r="AU1219" s="49">
        <f t="shared" si="921"/>
        <v>0</v>
      </c>
      <c r="AV1219" s="48"/>
      <c r="AW1219" s="34">
        <f t="shared" si="840"/>
        <v>0</v>
      </c>
      <c r="AX1219" s="50">
        <f t="shared" si="811"/>
        <v>0</v>
      </c>
      <c r="AY1219" s="43"/>
      <c r="AZ1219" s="47"/>
      <c r="BA1219" s="48">
        <f t="shared" si="922"/>
        <v>0</v>
      </c>
      <c r="BB1219" s="27"/>
      <c r="BC1219" s="27"/>
      <c r="BD1219" s="51"/>
      <c r="BE1219" s="52"/>
      <c r="BF1219" s="27"/>
      <c r="BG1219" s="53">
        <v>0.0</v>
      </c>
      <c r="BH1219" s="53" t="str">
        <f t="shared" si="982"/>
        <v>#REF!</v>
      </c>
      <c r="BI1219" s="27"/>
      <c r="BJ1219" s="27"/>
      <c r="BK1219" s="27" t="s">
        <v>76</v>
      </c>
      <c r="BL1219" s="27"/>
    </row>
    <row r="1220" ht="14.25" customHeight="1">
      <c r="A1220" s="26" t="s">
        <v>55</v>
      </c>
      <c r="B1220" s="26" t="s">
        <v>56</v>
      </c>
      <c r="C1220" s="26" t="s">
        <v>70</v>
      </c>
      <c r="D1220" s="26" t="s">
        <v>71</v>
      </c>
      <c r="E1220" s="27" t="s">
        <v>3971</v>
      </c>
      <c r="F1220" s="28" t="s">
        <v>3538</v>
      </c>
      <c r="G1220" s="29">
        <v>45223.0</v>
      </c>
      <c r="H1220" s="30">
        <v>45223.0</v>
      </c>
      <c r="I1220" s="30">
        <v>45588.0</v>
      </c>
      <c r="J1220" s="88" t="s">
        <v>461</v>
      </c>
      <c r="K1220" s="26" t="s">
        <v>931</v>
      </c>
      <c r="L1220" s="69">
        <v>45148.0</v>
      </c>
      <c r="M1220" s="33">
        <v>0.0</v>
      </c>
      <c r="N1220" s="34">
        <v>0.0</v>
      </c>
      <c r="O1220" s="27" t="s">
        <v>76</v>
      </c>
      <c r="P1220" s="35" t="s">
        <v>89</v>
      </c>
      <c r="Q1220" s="35">
        <v>0.0</v>
      </c>
      <c r="R1220" s="36">
        <v>45223.0</v>
      </c>
      <c r="S1220" s="35" t="s">
        <v>78</v>
      </c>
      <c r="T1220" s="35">
        <v>0.0</v>
      </c>
      <c r="U1220" s="37">
        <v>0.0</v>
      </c>
      <c r="V1220" s="38"/>
      <c r="W1220" s="78"/>
      <c r="X1220" s="27"/>
      <c r="Y1220" s="39"/>
      <c r="Z1220" s="39"/>
      <c r="AA1220" s="39"/>
      <c r="AB1220" s="27"/>
      <c r="AC1220" s="27">
        <f t="shared" si="926"/>
        <v>0</v>
      </c>
      <c r="AD1220" s="41">
        <f t="shared" si="962"/>
        <v>0</v>
      </c>
      <c r="AE1220" s="42"/>
      <c r="AF1220" s="27"/>
      <c r="AG1220" s="43">
        <f t="shared" si="980"/>
        <v>0</v>
      </c>
      <c r="AH1220" s="29"/>
      <c r="AI1220" s="29"/>
      <c r="AJ1220" s="29"/>
      <c r="AK1220" s="29"/>
      <c r="AL1220" s="27"/>
      <c r="AM1220" s="44"/>
      <c r="AN1220" s="47"/>
      <c r="AO1220" s="46"/>
      <c r="AP1220" s="47"/>
      <c r="AQ1220" s="43">
        <f t="shared" si="981"/>
        <v>0</v>
      </c>
      <c r="AR1220" s="43">
        <f t="shared" si="448"/>
        <v>0</v>
      </c>
      <c r="AS1220" s="43">
        <f t="shared" si="449"/>
        <v>0</v>
      </c>
      <c r="AT1220" s="48">
        <f t="shared" si="753"/>
        <v>0</v>
      </c>
      <c r="AU1220" s="49">
        <f t="shared" si="921"/>
        <v>0</v>
      </c>
      <c r="AV1220" s="48"/>
      <c r="AW1220" s="34">
        <f t="shared" si="840"/>
        <v>0</v>
      </c>
      <c r="AX1220" s="50">
        <f t="shared" si="811"/>
        <v>0</v>
      </c>
      <c r="AY1220" s="43"/>
      <c r="AZ1220" s="47"/>
      <c r="BA1220" s="48">
        <f t="shared" si="922"/>
        <v>0</v>
      </c>
      <c r="BB1220" s="27"/>
      <c r="BC1220" s="27"/>
      <c r="BD1220" s="51"/>
      <c r="BE1220" s="52"/>
      <c r="BF1220" s="27"/>
      <c r="BG1220" s="53">
        <v>0.0</v>
      </c>
      <c r="BH1220" s="53" t="str">
        <f t="shared" si="982"/>
        <v>#REF!</v>
      </c>
      <c r="BI1220" s="27"/>
      <c r="BJ1220" s="27"/>
      <c r="BK1220" s="27" t="s">
        <v>76</v>
      </c>
      <c r="BL1220" s="27"/>
    </row>
    <row r="1221" ht="14.25" customHeight="1">
      <c r="A1221" s="26" t="s">
        <v>55</v>
      </c>
      <c r="B1221" s="26" t="s">
        <v>56</v>
      </c>
      <c r="C1221" s="26" t="s">
        <v>70</v>
      </c>
      <c r="D1221" s="26" t="s">
        <v>71</v>
      </c>
      <c r="E1221" s="27" t="s">
        <v>3972</v>
      </c>
      <c r="F1221" s="28" t="s">
        <v>3538</v>
      </c>
      <c r="G1221" s="29">
        <v>45223.0</v>
      </c>
      <c r="H1221" s="30">
        <v>45223.0</v>
      </c>
      <c r="I1221" s="30">
        <v>45588.0</v>
      </c>
      <c r="J1221" s="88" t="s">
        <v>461</v>
      </c>
      <c r="K1221" s="26" t="s">
        <v>931</v>
      </c>
      <c r="L1221" s="69">
        <v>45148.0</v>
      </c>
      <c r="M1221" s="33">
        <v>0.0</v>
      </c>
      <c r="N1221" s="34">
        <v>0.0</v>
      </c>
      <c r="O1221" s="27" t="s">
        <v>76</v>
      </c>
      <c r="P1221" s="35" t="s">
        <v>89</v>
      </c>
      <c r="Q1221" s="35">
        <v>0.0</v>
      </c>
      <c r="R1221" s="36">
        <v>45223.0</v>
      </c>
      <c r="S1221" s="35" t="s">
        <v>78</v>
      </c>
      <c r="T1221" s="35">
        <v>0.0</v>
      </c>
      <c r="U1221" s="37">
        <v>0.0</v>
      </c>
      <c r="V1221" s="38"/>
      <c r="W1221" s="78"/>
      <c r="X1221" s="27"/>
      <c r="Y1221" s="39"/>
      <c r="Z1221" s="39"/>
      <c r="AA1221" s="39"/>
      <c r="AB1221" s="27"/>
      <c r="AC1221" s="27">
        <f t="shared" si="926"/>
        <v>0</v>
      </c>
      <c r="AD1221" s="41">
        <f t="shared" si="962"/>
        <v>0</v>
      </c>
      <c r="AE1221" s="42"/>
      <c r="AF1221" s="27"/>
      <c r="AG1221" s="43">
        <f t="shared" si="980"/>
        <v>0</v>
      </c>
      <c r="AH1221" s="29"/>
      <c r="AI1221" s="29"/>
      <c r="AJ1221" s="29"/>
      <c r="AK1221" s="29"/>
      <c r="AL1221" s="27"/>
      <c r="AM1221" s="44"/>
      <c r="AN1221" s="47"/>
      <c r="AO1221" s="46"/>
      <c r="AP1221" s="47"/>
      <c r="AQ1221" s="43">
        <f t="shared" si="981"/>
        <v>0</v>
      </c>
      <c r="AR1221" s="43">
        <f t="shared" si="448"/>
        <v>0</v>
      </c>
      <c r="AS1221" s="43">
        <f t="shared" si="449"/>
        <v>0</v>
      </c>
      <c r="AT1221" s="48">
        <f t="shared" si="753"/>
        <v>0</v>
      </c>
      <c r="AU1221" s="49">
        <f t="shared" si="921"/>
        <v>0</v>
      </c>
      <c r="AV1221" s="48"/>
      <c r="AW1221" s="34">
        <f t="shared" si="840"/>
        <v>0</v>
      </c>
      <c r="AX1221" s="50">
        <f t="shared" si="811"/>
        <v>0</v>
      </c>
      <c r="AY1221" s="43"/>
      <c r="AZ1221" s="47"/>
      <c r="BA1221" s="48">
        <f t="shared" si="922"/>
        <v>0</v>
      </c>
      <c r="BB1221" s="27"/>
      <c r="BC1221" s="27"/>
      <c r="BD1221" s="51"/>
      <c r="BE1221" s="52"/>
      <c r="BF1221" s="27"/>
      <c r="BG1221" s="53">
        <v>0.0</v>
      </c>
      <c r="BH1221" s="53" t="str">
        <f t="shared" si="982"/>
        <v>#REF!</v>
      </c>
      <c r="BI1221" s="27"/>
      <c r="BJ1221" s="27"/>
      <c r="BK1221" s="27" t="s">
        <v>76</v>
      </c>
      <c r="BL1221" s="27"/>
    </row>
    <row r="1222" ht="14.25" customHeight="1">
      <c r="A1222" s="26" t="s">
        <v>55</v>
      </c>
      <c r="B1222" s="26" t="s">
        <v>56</v>
      </c>
      <c r="C1222" s="26" t="s">
        <v>57</v>
      </c>
      <c r="D1222" s="26" t="s">
        <v>81</v>
      </c>
      <c r="E1222" s="27" t="s">
        <v>3973</v>
      </c>
      <c r="F1222" s="28" t="s">
        <v>3974</v>
      </c>
      <c r="G1222" s="29">
        <v>45223.0</v>
      </c>
      <c r="H1222" s="30">
        <v>45223.0</v>
      </c>
      <c r="I1222" s="30">
        <v>45588.0</v>
      </c>
      <c r="J1222" s="31" t="s">
        <v>3975</v>
      </c>
      <c r="K1222" s="26" t="s">
        <v>931</v>
      </c>
      <c r="L1222" s="69">
        <v>45179.0</v>
      </c>
      <c r="M1222" s="33">
        <v>35105.0</v>
      </c>
      <c r="N1222" s="34">
        <v>37494.73</v>
      </c>
      <c r="O1222" s="27" t="s">
        <v>76</v>
      </c>
      <c r="P1222" s="35" t="s">
        <v>89</v>
      </c>
      <c r="Q1222" s="35" t="s">
        <v>90</v>
      </c>
      <c r="R1222" s="36">
        <v>45223.0</v>
      </c>
      <c r="S1222" s="35" t="s">
        <v>86</v>
      </c>
      <c r="T1222" s="35">
        <v>0.0</v>
      </c>
      <c r="U1222" s="37" t="s">
        <v>67</v>
      </c>
      <c r="V1222" s="38">
        <v>1700000.0</v>
      </c>
      <c r="W1222" s="78">
        <v>501000.0</v>
      </c>
      <c r="X1222" s="27">
        <v>2022.0</v>
      </c>
      <c r="Y1222" s="79" t="s">
        <v>2641</v>
      </c>
      <c r="Z1222" s="79" t="s">
        <v>407</v>
      </c>
      <c r="AA1222" s="39"/>
      <c r="AB1222" s="27"/>
      <c r="AC1222" s="27">
        <f t="shared" si="926"/>
        <v>0</v>
      </c>
      <c r="AD1222" s="41">
        <f t="shared" si="962"/>
        <v>5265.75</v>
      </c>
      <c r="AE1222" s="42"/>
      <c r="AF1222" s="27"/>
      <c r="AG1222" s="43">
        <f t="shared" si="980"/>
        <v>9004.4325</v>
      </c>
      <c r="AH1222" s="29"/>
      <c r="AI1222" s="29"/>
      <c r="AJ1222" s="29"/>
      <c r="AK1222" s="29"/>
      <c r="AL1222" s="27"/>
      <c r="AM1222" s="44"/>
      <c r="AN1222" s="47"/>
      <c r="AO1222" s="46"/>
      <c r="AP1222" s="47"/>
      <c r="AQ1222" s="43">
        <f t="shared" si="981"/>
        <v>9478.35</v>
      </c>
      <c r="AR1222" s="43">
        <f t="shared" si="448"/>
        <v>473.9175</v>
      </c>
      <c r="AS1222" s="43">
        <f t="shared" si="449"/>
        <v>1658.71125</v>
      </c>
      <c r="AT1222" s="48">
        <f t="shared" si="753"/>
        <v>7345.72125</v>
      </c>
      <c r="AU1222" s="49">
        <f t="shared" si="921"/>
        <v>7345.72125</v>
      </c>
      <c r="AV1222" s="48"/>
      <c r="AW1222" s="34">
        <f t="shared" si="840"/>
        <v>32228.98</v>
      </c>
      <c r="AX1222" s="50">
        <f t="shared" si="811"/>
        <v>2079.97125</v>
      </c>
      <c r="AY1222" s="43"/>
      <c r="AZ1222" s="47"/>
      <c r="BA1222" s="48">
        <f t="shared" si="922"/>
        <v>7345.72125</v>
      </c>
      <c r="BB1222" s="27"/>
      <c r="BC1222" s="27"/>
      <c r="BD1222" s="51"/>
      <c r="BE1222" s="52"/>
      <c r="BF1222" s="27"/>
      <c r="BG1222" s="53">
        <v>0.0</v>
      </c>
      <c r="BH1222" s="53" t="str">
        <f>'[1]2023'!Q1401</f>
        <v>#REF!</v>
      </c>
      <c r="BI1222" s="27"/>
      <c r="BJ1222" s="27"/>
      <c r="BK1222" s="27" t="s">
        <v>76</v>
      </c>
      <c r="BL1222" s="27"/>
    </row>
    <row r="1223" ht="14.25" customHeight="1">
      <c r="A1223" s="26" t="s">
        <v>55</v>
      </c>
      <c r="B1223" s="26" t="s">
        <v>56</v>
      </c>
      <c r="C1223" s="26" t="s">
        <v>57</v>
      </c>
      <c r="D1223" s="26" t="s">
        <v>81</v>
      </c>
      <c r="E1223" s="27" t="s">
        <v>3976</v>
      </c>
      <c r="F1223" s="28" t="s">
        <v>3977</v>
      </c>
      <c r="G1223" s="29">
        <v>45223.0</v>
      </c>
      <c r="H1223" s="30">
        <v>45223.0</v>
      </c>
      <c r="I1223" s="30">
        <v>45588.0</v>
      </c>
      <c r="J1223" s="31" t="s">
        <v>3978</v>
      </c>
      <c r="K1223" s="26" t="s">
        <v>931</v>
      </c>
      <c r="L1223" s="32" t="s">
        <v>63</v>
      </c>
      <c r="M1223" s="33">
        <v>17700.0</v>
      </c>
      <c r="N1223" s="34">
        <v>18973.8</v>
      </c>
      <c r="O1223" s="27" t="s">
        <v>76</v>
      </c>
      <c r="P1223" s="35" t="s">
        <v>430</v>
      </c>
      <c r="Q1223" s="35" t="s">
        <v>85</v>
      </c>
      <c r="R1223" s="36">
        <v>45223.0</v>
      </c>
      <c r="S1223" s="35" t="s">
        <v>86</v>
      </c>
      <c r="T1223" s="35">
        <v>0.0</v>
      </c>
      <c r="U1223" s="37" t="s">
        <v>67</v>
      </c>
      <c r="V1223" s="38">
        <v>1000000.0</v>
      </c>
      <c r="W1223" s="78" t="s">
        <v>3979</v>
      </c>
      <c r="X1223" s="27">
        <v>2020.0</v>
      </c>
      <c r="Y1223" s="79" t="s">
        <v>2641</v>
      </c>
      <c r="Z1223" s="79" t="s">
        <v>232</v>
      </c>
      <c r="AA1223" s="39">
        <v>2854.0</v>
      </c>
      <c r="AB1223" s="40">
        <v>0.0565</v>
      </c>
      <c r="AC1223" s="27">
        <f t="shared" si="926"/>
        <v>1000.05</v>
      </c>
      <c r="AD1223" s="41">
        <f t="shared" si="962"/>
        <v>1654.95</v>
      </c>
      <c r="AE1223" s="42"/>
      <c r="AF1223" s="29">
        <v>45149.0</v>
      </c>
      <c r="AG1223" s="43">
        <f t="shared" si="980"/>
        <v>4540.05</v>
      </c>
      <c r="AH1223" s="29"/>
      <c r="AI1223" s="29"/>
      <c r="AJ1223" s="29"/>
      <c r="AK1223" s="29"/>
      <c r="AL1223" s="27"/>
      <c r="AM1223" s="44"/>
      <c r="AN1223" s="47"/>
      <c r="AO1223" s="46"/>
      <c r="AP1223" s="47"/>
      <c r="AQ1223" s="43">
        <f t="shared" si="981"/>
        <v>4779</v>
      </c>
      <c r="AR1223" s="43">
        <f t="shared" si="448"/>
        <v>238.95</v>
      </c>
      <c r="AS1223" s="43">
        <f t="shared" si="449"/>
        <v>836.325</v>
      </c>
      <c r="AT1223" s="48">
        <f t="shared" si="753"/>
        <v>3703.725</v>
      </c>
      <c r="AU1223" s="49">
        <f t="shared" si="921"/>
        <v>2703.675</v>
      </c>
      <c r="AV1223" s="48"/>
      <c r="AW1223" s="34">
        <f t="shared" si="840"/>
        <v>16318.8</v>
      </c>
      <c r="AX1223" s="50">
        <f t="shared" si="811"/>
        <v>2048.775</v>
      </c>
      <c r="AY1223" s="43"/>
      <c r="AZ1223" s="47"/>
      <c r="BA1223" s="48">
        <f t="shared" si="922"/>
        <v>2703.675</v>
      </c>
      <c r="BB1223" s="27"/>
      <c r="BC1223" s="27"/>
      <c r="BD1223" s="51"/>
      <c r="BE1223" s="52"/>
      <c r="BF1223" s="27"/>
      <c r="BG1223" s="53">
        <v>0.0</v>
      </c>
      <c r="BH1223" s="53" t="str">
        <f>'[1]2023'!Q1414</f>
        <v>#REF!</v>
      </c>
      <c r="BI1223" s="27"/>
      <c r="BJ1223" s="27"/>
      <c r="BK1223" s="27" t="s">
        <v>76</v>
      </c>
      <c r="BL1223" s="27"/>
    </row>
    <row r="1224" ht="14.25" customHeight="1">
      <c r="A1224" s="26" t="s">
        <v>55</v>
      </c>
      <c r="B1224" s="26" t="s">
        <v>56</v>
      </c>
      <c r="C1224" s="26" t="s">
        <v>57</v>
      </c>
      <c r="D1224" s="26" t="s">
        <v>81</v>
      </c>
      <c r="E1224" s="27" t="s">
        <v>3980</v>
      </c>
      <c r="F1224" s="28" t="s">
        <v>3981</v>
      </c>
      <c r="G1224" s="29">
        <v>45223.0</v>
      </c>
      <c r="H1224" s="30">
        <v>45223.0</v>
      </c>
      <c r="I1224" s="30">
        <v>45588.0</v>
      </c>
      <c r="J1224" s="31" t="s">
        <v>1455</v>
      </c>
      <c r="K1224" s="26" t="s">
        <v>931</v>
      </c>
      <c r="L1224" s="32" t="s">
        <v>3439</v>
      </c>
      <c r="M1224" s="33">
        <v>14875.0</v>
      </c>
      <c r="N1224" s="34">
        <v>15968.0</v>
      </c>
      <c r="O1224" s="27" t="s">
        <v>76</v>
      </c>
      <c r="P1224" s="35" t="s">
        <v>95</v>
      </c>
      <c r="Q1224" s="35">
        <v>0.0</v>
      </c>
      <c r="R1224" s="36">
        <v>45223.0</v>
      </c>
      <c r="S1224" s="35" t="s">
        <v>86</v>
      </c>
      <c r="T1224" s="35">
        <v>0.0</v>
      </c>
      <c r="U1224" s="37" t="s">
        <v>67</v>
      </c>
      <c r="V1224" s="38">
        <v>900000.0</v>
      </c>
      <c r="W1224" s="78">
        <v>567841.0</v>
      </c>
      <c r="X1224" s="27">
        <v>2015.0</v>
      </c>
      <c r="Y1224" s="79" t="s">
        <v>1769</v>
      </c>
      <c r="Z1224" s="39"/>
      <c r="AA1224" s="39"/>
      <c r="AB1224" s="27"/>
      <c r="AC1224" s="27">
        <f t="shared" si="926"/>
        <v>0</v>
      </c>
      <c r="AD1224" s="41">
        <f t="shared" si="962"/>
        <v>2231.25</v>
      </c>
      <c r="AE1224" s="42"/>
      <c r="AF1224" s="27"/>
      <c r="AG1224" s="43">
        <f t="shared" si="980"/>
        <v>3815.4375</v>
      </c>
      <c r="AH1224" s="29"/>
      <c r="AI1224" s="29"/>
      <c r="AJ1224" s="29"/>
      <c r="AK1224" s="29"/>
      <c r="AL1224" s="27"/>
      <c r="AM1224" s="44"/>
      <c r="AN1224" s="47"/>
      <c r="AO1224" s="46"/>
      <c r="AP1224" s="47"/>
      <c r="AQ1224" s="43">
        <f t="shared" si="981"/>
        <v>4016.25</v>
      </c>
      <c r="AR1224" s="43">
        <f t="shared" si="448"/>
        <v>200.8125</v>
      </c>
      <c r="AS1224" s="43">
        <f t="shared" si="449"/>
        <v>702.84375</v>
      </c>
      <c r="AT1224" s="48">
        <f t="shared" si="753"/>
        <v>3112.59375</v>
      </c>
      <c r="AU1224" s="49">
        <f t="shared" si="921"/>
        <v>3112.59375</v>
      </c>
      <c r="AV1224" s="48"/>
      <c r="AW1224" s="34">
        <f t="shared" si="840"/>
        <v>13736.75</v>
      </c>
      <c r="AX1224" s="50">
        <f t="shared" si="811"/>
        <v>881.34375</v>
      </c>
      <c r="AY1224" s="43"/>
      <c r="AZ1224" s="47"/>
      <c r="BA1224" s="48">
        <f t="shared" si="922"/>
        <v>3112.59375</v>
      </c>
      <c r="BB1224" s="27"/>
      <c r="BC1224" s="27"/>
      <c r="BD1224" s="51"/>
      <c r="BE1224" s="52"/>
      <c r="BF1224" s="27"/>
      <c r="BG1224" s="58" t="s">
        <v>1917</v>
      </c>
      <c r="BH1224" s="53" t="str">
        <f t="shared" ref="BH1224:BH1225" si="983">'[1]2023'!Q1446</f>
        <v>#REF!</v>
      </c>
      <c r="BI1224" s="27"/>
      <c r="BJ1224" s="27"/>
      <c r="BK1224" s="27" t="s">
        <v>76</v>
      </c>
      <c r="BL1224" s="27"/>
    </row>
    <row r="1225" ht="14.25" customHeight="1">
      <c r="A1225" s="26" t="s">
        <v>55</v>
      </c>
      <c r="B1225" s="26" t="s">
        <v>56</v>
      </c>
      <c r="C1225" s="26" t="s">
        <v>57</v>
      </c>
      <c r="D1225" s="26" t="s">
        <v>81</v>
      </c>
      <c r="E1225" s="27" t="s">
        <v>3982</v>
      </c>
      <c r="F1225" s="28" t="s">
        <v>3983</v>
      </c>
      <c r="G1225" s="29">
        <v>45223.0</v>
      </c>
      <c r="H1225" s="30">
        <v>45223.0</v>
      </c>
      <c r="I1225" s="30">
        <v>45588.0</v>
      </c>
      <c r="J1225" s="31" t="s">
        <v>3984</v>
      </c>
      <c r="K1225" s="26" t="s">
        <v>931</v>
      </c>
      <c r="L1225" s="32" t="s">
        <v>3486</v>
      </c>
      <c r="M1225" s="33">
        <v>27877.5</v>
      </c>
      <c r="N1225" s="34">
        <v>29802.67</v>
      </c>
      <c r="O1225" s="27" t="s">
        <v>76</v>
      </c>
      <c r="P1225" s="35" t="s">
        <v>430</v>
      </c>
      <c r="Q1225" s="35" t="s">
        <v>90</v>
      </c>
      <c r="R1225" s="36">
        <v>45223.0</v>
      </c>
      <c r="S1225" s="35" t="s">
        <v>86</v>
      </c>
      <c r="T1225" s="35">
        <v>0.0</v>
      </c>
      <c r="U1225" s="37" t="s">
        <v>67</v>
      </c>
      <c r="V1225" s="38">
        <v>1350000.0</v>
      </c>
      <c r="W1225" s="78">
        <v>519108.0</v>
      </c>
      <c r="X1225" s="27">
        <v>2022.0</v>
      </c>
      <c r="Y1225" s="79" t="s">
        <v>232</v>
      </c>
      <c r="Z1225" s="79" t="s">
        <v>232</v>
      </c>
      <c r="AA1225" s="39"/>
      <c r="AB1225" s="27"/>
      <c r="AC1225" s="27">
        <f t="shared" si="926"/>
        <v>0</v>
      </c>
      <c r="AD1225" s="41">
        <f t="shared" si="962"/>
        <v>4181.625</v>
      </c>
      <c r="AE1225" s="42"/>
      <c r="AF1225" s="27"/>
      <c r="AG1225" s="43">
        <f t="shared" si="980"/>
        <v>7150.57875</v>
      </c>
      <c r="AH1225" s="29"/>
      <c r="AI1225" s="29"/>
      <c r="AJ1225" s="29"/>
      <c r="AK1225" s="29"/>
      <c r="AL1225" s="27"/>
      <c r="AM1225" s="44"/>
      <c r="AN1225" s="47"/>
      <c r="AO1225" s="46"/>
      <c r="AP1225" s="47"/>
      <c r="AQ1225" s="43">
        <f t="shared" si="981"/>
        <v>7526.925</v>
      </c>
      <c r="AR1225" s="43">
        <f t="shared" si="448"/>
        <v>376.34625</v>
      </c>
      <c r="AS1225" s="43">
        <f t="shared" si="449"/>
        <v>1317.211875</v>
      </c>
      <c r="AT1225" s="48">
        <f t="shared" si="753"/>
        <v>5833.366875</v>
      </c>
      <c r="AU1225" s="49">
        <f t="shared" si="921"/>
        <v>5833.366875</v>
      </c>
      <c r="AV1225" s="48"/>
      <c r="AW1225" s="34">
        <f t="shared" si="840"/>
        <v>25621.045</v>
      </c>
      <c r="AX1225" s="50">
        <f t="shared" si="811"/>
        <v>1651.741875</v>
      </c>
      <c r="AY1225" s="43"/>
      <c r="AZ1225" s="47"/>
      <c r="BA1225" s="48">
        <f t="shared" si="922"/>
        <v>5833.366875</v>
      </c>
      <c r="BB1225" s="27"/>
      <c r="BC1225" s="27"/>
      <c r="BD1225" s="51"/>
      <c r="BE1225" s="52"/>
      <c r="BF1225" s="27"/>
      <c r="BG1225" s="53">
        <v>0.0</v>
      </c>
      <c r="BH1225" s="53" t="str">
        <f t="shared" si="983"/>
        <v>#REF!</v>
      </c>
      <c r="BI1225" s="27"/>
      <c r="BJ1225" s="27"/>
      <c r="BK1225" s="27" t="s">
        <v>76</v>
      </c>
      <c r="BL1225" s="27"/>
    </row>
    <row r="1226" ht="14.25" customHeight="1">
      <c r="A1226" s="26" t="s">
        <v>55</v>
      </c>
      <c r="B1226" s="26" t="s">
        <v>56</v>
      </c>
      <c r="C1226" s="26" t="s">
        <v>57</v>
      </c>
      <c r="D1226" s="26" t="s">
        <v>81</v>
      </c>
      <c r="E1226" s="27" t="s">
        <v>3985</v>
      </c>
      <c r="F1226" s="28" t="s">
        <v>3986</v>
      </c>
      <c r="G1226" s="29">
        <v>45223.0</v>
      </c>
      <c r="H1226" s="30">
        <v>45223.0</v>
      </c>
      <c r="I1226" s="30">
        <v>45588.0</v>
      </c>
      <c r="J1226" s="31" t="s">
        <v>3987</v>
      </c>
      <c r="K1226" s="26" t="s">
        <v>931</v>
      </c>
      <c r="L1226" s="32" t="s">
        <v>63</v>
      </c>
      <c r="M1226" s="33">
        <v>0.0</v>
      </c>
      <c r="N1226" s="34">
        <v>0.0</v>
      </c>
      <c r="O1226" s="27" t="s">
        <v>64</v>
      </c>
      <c r="P1226" s="35">
        <v>0.0</v>
      </c>
      <c r="Q1226" s="35" t="s">
        <v>85</v>
      </c>
      <c r="R1226" s="36">
        <v>45223.0</v>
      </c>
      <c r="S1226" s="35" t="s">
        <v>86</v>
      </c>
      <c r="T1226" s="35">
        <v>0.0</v>
      </c>
      <c r="U1226" s="37" t="s">
        <v>67</v>
      </c>
      <c r="V1226" s="38"/>
      <c r="W1226" s="78"/>
      <c r="X1226" s="27"/>
      <c r="Y1226" s="39"/>
      <c r="Z1226" s="39"/>
      <c r="AA1226" s="39"/>
      <c r="AB1226" s="27"/>
      <c r="AC1226" s="27">
        <f t="shared" si="926"/>
        <v>0</v>
      </c>
      <c r="AD1226" s="41">
        <f t="shared" si="962"/>
        <v>0</v>
      </c>
      <c r="AE1226" s="42"/>
      <c r="AF1226" s="27"/>
      <c r="AG1226" s="43">
        <f t="shared" si="980"/>
        <v>0</v>
      </c>
      <c r="AH1226" s="29"/>
      <c r="AI1226" s="29"/>
      <c r="AJ1226" s="29"/>
      <c r="AK1226" s="29"/>
      <c r="AL1226" s="27"/>
      <c r="AM1226" s="44"/>
      <c r="AN1226" s="47"/>
      <c r="AO1226" s="46"/>
      <c r="AP1226" s="47"/>
      <c r="AQ1226" s="43" t="b">
        <f>IF(O1226="Paid",IF(U1226="Motor Plus",(M1226*27%),IF(U1226="Motor One",(M1226*22%),(IF(U1226="Golden",(M1226*25%),(IF(U1226="Classic",(M1226*15%),(IF(U1226="Wethaq",(M1226*28%),IF(U1226="Alwataniya",(M1226*21%))*0)))))))))</f>
        <v>0</v>
      </c>
      <c r="AR1226" s="43">
        <f t="shared" si="448"/>
        <v>0</v>
      </c>
      <c r="AS1226" s="43">
        <f t="shared" si="449"/>
        <v>0</v>
      </c>
      <c r="AT1226" s="48">
        <f t="shared" si="753"/>
        <v>0</v>
      </c>
      <c r="AU1226" s="49">
        <f t="shared" si="921"/>
        <v>0</v>
      </c>
      <c r="AV1226" s="48"/>
      <c r="AW1226" s="34">
        <f t="shared" si="840"/>
        <v>0</v>
      </c>
      <c r="AX1226" s="50">
        <f t="shared" si="811"/>
        <v>0</v>
      </c>
      <c r="AY1226" s="43"/>
      <c r="AZ1226" s="47"/>
      <c r="BA1226" s="48">
        <f t="shared" si="922"/>
        <v>0</v>
      </c>
      <c r="BB1226" s="27"/>
      <c r="BC1226" s="27"/>
      <c r="BD1226" s="51"/>
      <c r="BE1226" s="52"/>
      <c r="BF1226" s="27"/>
      <c r="BG1226" s="58" t="s">
        <v>3988</v>
      </c>
      <c r="BH1226" s="53" t="str">
        <f>'[1]2023'!Q1464</f>
        <v>#REF!</v>
      </c>
      <c r="BI1226" s="27"/>
      <c r="BJ1226" s="27"/>
      <c r="BK1226" s="27" t="s">
        <v>1102</v>
      </c>
      <c r="BL1226" s="27"/>
    </row>
    <row r="1227" ht="14.25" customHeight="1">
      <c r="A1227" s="26" t="s">
        <v>55</v>
      </c>
      <c r="B1227" s="26" t="s">
        <v>1099</v>
      </c>
      <c r="C1227" s="26" t="s">
        <v>57</v>
      </c>
      <c r="D1227" s="26" t="s">
        <v>81</v>
      </c>
      <c r="E1227" s="27" t="s">
        <v>3989</v>
      </c>
      <c r="F1227" s="28" t="s">
        <v>3990</v>
      </c>
      <c r="G1227" s="29">
        <v>45223.0</v>
      </c>
      <c r="H1227" s="30">
        <v>45223.0</v>
      </c>
      <c r="I1227" s="30">
        <v>45588.0</v>
      </c>
      <c r="J1227" s="31" t="s">
        <v>3991</v>
      </c>
      <c r="K1227" s="26" t="s">
        <v>931</v>
      </c>
      <c r="L1227" s="32" t="s">
        <v>3486</v>
      </c>
      <c r="M1227" s="33">
        <v>6758.99</v>
      </c>
      <c r="N1227" s="34">
        <v>7042.41</v>
      </c>
      <c r="O1227" s="27" t="s">
        <v>76</v>
      </c>
      <c r="P1227" s="35" t="s">
        <v>89</v>
      </c>
      <c r="Q1227" s="35">
        <v>0.0</v>
      </c>
      <c r="R1227" s="36">
        <v>45223.0</v>
      </c>
      <c r="S1227" s="35" t="s">
        <v>86</v>
      </c>
      <c r="T1227" s="35">
        <v>0.0</v>
      </c>
      <c r="U1227" s="37" t="s">
        <v>1099</v>
      </c>
      <c r="V1227" s="38"/>
      <c r="W1227" s="78"/>
      <c r="X1227" s="27"/>
      <c r="Y1227" s="39"/>
      <c r="Z1227" s="39"/>
      <c r="AA1227" s="39"/>
      <c r="AB1227" s="27"/>
      <c r="AC1227" s="27">
        <f t="shared" si="926"/>
        <v>0</v>
      </c>
      <c r="AD1227" s="41">
        <f t="shared" si="962"/>
        <v>1013.8485</v>
      </c>
      <c r="AE1227" s="42"/>
      <c r="AF1227" s="27"/>
      <c r="AG1227" s="43">
        <f t="shared" si="980"/>
        <v>1733.680935</v>
      </c>
      <c r="AH1227" s="29"/>
      <c r="AI1227" s="29"/>
      <c r="AJ1227" s="29"/>
      <c r="AK1227" s="29"/>
      <c r="AL1227" s="27"/>
      <c r="AM1227" s="44"/>
      <c r="AN1227" s="47"/>
      <c r="AO1227" s="46"/>
      <c r="AP1227" s="47"/>
      <c r="AQ1227" s="43">
        <f>IF(U1227="Motor Plus",(M1227*27%),IF(U1227="Motor One",(M1227*22%),(IF(U1227="Golden",(M1227*25%),(IF(U1227="Classic",(M1227*15%),(IF(U1227="Wethaq",(M1227*28%),IF(U1227="Alwataniya",(M1227*21%))*0))))))))</f>
        <v>0</v>
      </c>
      <c r="AR1227" s="43">
        <f t="shared" si="448"/>
        <v>0</v>
      </c>
      <c r="AS1227" s="43">
        <f t="shared" si="449"/>
        <v>0</v>
      </c>
      <c r="AT1227" s="48">
        <f t="shared" si="753"/>
        <v>0</v>
      </c>
      <c r="AU1227" s="49">
        <f t="shared" si="921"/>
        <v>0</v>
      </c>
      <c r="AV1227" s="48"/>
      <c r="AW1227" s="34">
        <f t="shared" si="840"/>
        <v>6028.5615</v>
      </c>
      <c r="AX1227" s="50">
        <f t="shared" si="811"/>
        <v>719.832435</v>
      </c>
      <c r="AY1227" s="43"/>
      <c r="AZ1227" s="47"/>
      <c r="BA1227" s="48">
        <f t="shared" si="922"/>
        <v>0</v>
      </c>
      <c r="BB1227" s="27"/>
      <c r="BC1227" s="27"/>
      <c r="BD1227" s="51"/>
      <c r="BE1227" s="52"/>
      <c r="BF1227" s="27"/>
      <c r="BG1227" s="53">
        <v>466022.0</v>
      </c>
      <c r="BH1227" s="53" t="str">
        <f>'[1]2023'!Q1492</f>
        <v>#REF!</v>
      </c>
      <c r="BI1227" s="27"/>
      <c r="BJ1227" s="27"/>
      <c r="BK1227" s="27" t="s">
        <v>76</v>
      </c>
      <c r="BL1227" s="27"/>
    </row>
    <row r="1228" ht="14.25" customHeight="1">
      <c r="A1228" s="26" t="s">
        <v>111</v>
      </c>
      <c r="B1228" s="26" t="s">
        <v>56</v>
      </c>
      <c r="C1228" s="26" t="s">
        <v>57</v>
      </c>
      <c r="D1228" s="26" t="s">
        <v>71</v>
      </c>
      <c r="E1228" s="27" t="s">
        <v>3992</v>
      </c>
      <c r="F1228" s="28" t="s">
        <v>3993</v>
      </c>
      <c r="G1228" s="29">
        <v>45223.0</v>
      </c>
      <c r="H1228" s="30">
        <v>45223.0</v>
      </c>
      <c r="I1228" s="30">
        <v>45588.0</v>
      </c>
      <c r="J1228" s="31" t="s">
        <v>3958</v>
      </c>
      <c r="K1228" s="26" t="s">
        <v>931</v>
      </c>
      <c r="L1228" s="32" t="s">
        <v>3296</v>
      </c>
      <c r="M1228" s="33">
        <v>16864.85</v>
      </c>
      <c r="N1228" s="34">
        <v>18200.0</v>
      </c>
      <c r="O1228" s="27" t="s">
        <v>76</v>
      </c>
      <c r="P1228" s="35" t="s">
        <v>89</v>
      </c>
      <c r="Q1228" s="35" t="s">
        <v>114</v>
      </c>
      <c r="R1228" s="36">
        <v>45232.0</v>
      </c>
      <c r="S1228" s="35" t="s">
        <v>848</v>
      </c>
      <c r="T1228" s="35">
        <v>0.0</v>
      </c>
      <c r="U1228" s="37" t="s">
        <v>115</v>
      </c>
      <c r="V1228" s="38">
        <v>700000.0</v>
      </c>
      <c r="W1228" s="78">
        <v>941050.0</v>
      </c>
      <c r="X1228" s="27"/>
      <c r="Y1228" s="79" t="s">
        <v>3959</v>
      </c>
      <c r="Z1228" s="39"/>
      <c r="AA1228" s="39"/>
      <c r="AB1228" s="27"/>
      <c r="AC1228" s="27">
        <f t="shared" si="926"/>
        <v>0</v>
      </c>
      <c r="AD1228" s="41">
        <f t="shared" si="962"/>
        <v>0</v>
      </c>
      <c r="AE1228" s="42"/>
      <c r="AF1228" s="27"/>
      <c r="AG1228" s="156">
        <f t="shared" si="980"/>
        <v>4005.401875</v>
      </c>
      <c r="AH1228" s="29"/>
      <c r="AI1228" s="200" t="s">
        <v>3994</v>
      </c>
      <c r="AJ1228" s="29"/>
      <c r="AK1228" s="201" t="s">
        <v>1181</v>
      </c>
      <c r="AL1228" s="43"/>
      <c r="AM1228" s="44"/>
      <c r="AN1228" s="47"/>
      <c r="AO1228" s="46"/>
      <c r="AP1228" s="47"/>
      <c r="AQ1228" s="43">
        <f t="shared" ref="AQ1228:AQ1230" si="984">IF(O1228="Paid",IF(U1228="Motor Plus",(M1228*27%),IF(U1228="Motor One",(M1228*22%),(IF(U1228="Golden",(M1228*25%),(IF(U1228="Classic",(M1228*15%),(IF(U1228="Wethaq",(M1228*28%),IF(U1228="Alwataniya",(M1228*21%))*0)))))))))</f>
        <v>4216.2125</v>
      </c>
      <c r="AR1228" s="43">
        <f t="shared" si="448"/>
        <v>210.810625</v>
      </c>
      <c r="AS1228" s="43">
        <f t="shared" si="449"/>
        <v>737.8371875</v>
      </c>
      <c r="AT1228" s="48">
        <f t="shared" si="753"/>
        <v>3267.564688</v>
      </c>
      <c r="AU1228" s="49">
        <f t="shared" si="921"/>
        <v>3267.564688</v>
      </c>
      <c r="AV1228" s="48"/>
      <c r="AW1228" s="34">
        <f t="shared" si="840"/>
        <v>18200</v>
      </c>
      <c r="AX1228" s="50">
        <f t="shared" si="811"/>
        <v>3267.564688</v>
      </c>
      <c r="AY1228" s="43"/>
      <c r="AZ1228" s="47"/>
      <c r="BA1228" s="48">
        <f t="shared" si="922"/>
        <v>3267.564688</v>
      </c>
      <c r="BB1228" s="27"/>
      <c r="BC1228" s="27"/>
      <c r="BD1228" s="51"/>
      <c r="BE1228" s="52"/>
      <c r="BF1228" s="27"/>
      <c r="BG1228" s="53">
        <v>0.0</v>
      </c>
      <c r="BH1228" s="53" t="str">
        <f>'[1]2023'!Q1530</f>
        <v>#REF!</v>
      </c>
      <c r="BI1228" s="27"/>
      <c r="BJ1228" s="27"/>
      <c r="BK1228" s="27" t="s">
        <v>76</v>
      </c>
      <c r="BL1228" s="27"/>
    </row>
    <row r="1229" ht="14.25" customHeight="1">
      <c r="A1229" s="26" t="s">
        <v>55</v>
      </c>
      <c r="B1229" s="26" t="s">
        <v>56</v>
      </c>
      <c r="C1229" s="26" t="s">
        <v>57</v>
      </c>
      <c r="D1229" s="26" t="s">
        <v>71</v>
      </c>
      <c r="E1229" s="27" t="s">
        <v>3995</v>
      </c>
      <c r="F1229" s="28" t="s">
        <v>3996</v>
      </c>
      <c r="G1229" s="29">
        <v>45223.0</v>
      </c>
      <c r="H1229" s="30">
        <v>45223.0</v>
      </c>
      <c r="I1229" s="30">
        <v>45588.0</v>
      </c>
      <c r="J1229" s="31" t="s">
        <v>3997</v>
      </c>
      <c r="K1229" s="26" t="s">
        <v>931</v>
      </c>
      <c r="L1229" s="69">
        <v>44937.0</v>
      </c>
      <c r="M1229" s="33">
        <v>30875.0</v>
      </c>
      <c r="N1229" s="34">
        <v>32992.01</v>
      </c>
      <c r="O1229" s="27" t="s">
        <v>76</v>
      </c>
      <c r="P1229" s="35" t="s">
        <v>122</v>
      </c>
      <c r="Q1229" s="35" t="s">
        <v>65</v>
      </c>
      <c r="R1229" s="36">
        <v>45223.0</v>
      </c>
      <c r="S1229" s="35" t="s">
        <v>1103</v>
      </c>
      <c r="T1229" s="35">
        <v>0.0</v>
      </c>
      <c r="U1229" s="37" t="s">
        <v>67</v>
      </c>
      <c r="V1229" s="38">
        <v>1000000.0</v>
      </c>
      <c r="W1229" s="78">
        <v>1139834.0</v>
      </c>
      <c r="X1229" s="27">
        <v>2022.0</v>
      </c>
      <c r="Y1229" s="79" t="s">
        <v>3998</v>
      </c>
      <c r="Z1229" s="39"/>
      <c r="AA1229" s="39"/>
      <c r="AB1229" s="27"/>
      <c r="AC1229" s="27">
        <f t="shared" si="926"/>
        <v>0</v>
      </c>
      <c r="AD1229" s="41">
        <f t="shared" si="962"/>
        <v>0</v>
      </c>
      <c r="AE1229" s="42"/>
      <c r="AF1229" s="27"/>
      <c r="AG1229" s="43">
        <f t="shared" si="980"/>
        <v>7919.4375</v>
      </c>
      <c r="AH1229" s="29"/>
      <c r="AI1229" s="29"/>
      <c r="AJ1229" s="29"/>
      <c r="AK1229" s="29"/>
      <c r="AL1229" s="27"/>
      <c r="AM1229" s="215">
        <f>AU1229*10%</f>
        <v>646.059375</v>
      </c>
      <c r="AN1229" s="71">
        <v>45654.0</v>
      </c>
      <c r="AO1229" s="46"/>
      <c r="AP1229" s="47"/>
      <c r="AQ1229" s="43">
        <f t="shared" si="984"/>
        <v>8336.25</v>
      </c>
      <c r="AR1229" s="43">
        <f t="shared" si="448"/>
        <v>416.8125</v>
      </c>
      <c r="AS1229" s="43">
        <f t="shared" si="449"/>
        <v>1458.84375</v>
      </c>
      <c r="AT1229" s="48">
        <f t="shared" si="753"/>
        <v>6460.59375</v>
      </c>
      <c r="AU1229" s="49">
        <f t="shared" si="921"/>
        <v>6460.59375</v>
      </c>
      <c r="AV1229" s="106">
        <f>(AU1229-AM1229)*10%</f>
        <v>581.4534375</v>
      </c>
      <c r="AW1229" s="34">
        <f t="shared" si="840"/>
        <v>32992.01</v>
      </c>
      <c r="AX1229" s="50">
        <f t="shared" si="811"/>
        <v>5233.080938</v>
      </c>
      <c r="AY1229" s="43"/>
      <c r="AZ1229" s="47"/>
      <c r="BA1229" s="48">
        <f t="shared" si="922"/>
        <v>5814.534375</v>
      </c>
      <c r="BB1229" s="27"/>
      <c r="BC1229" s="27"/>
      <c r="BD1229" s="51"/>
      <c r="BE1229" s="52"/>
      <c r="BF1229" s="27"/>
      <c r="BG1229" s="53">
        <v>0.0</v>
      </c>
      <c r="BH1229" s="53" t="str">
        <f>'[1]2023'!Q1535</f>
        <v>#REF!</v>
      </c>
      <c r="BI1229" s="27"/>
      <c r="BJ1229" s="27"/>
      <c r="BK1229" s="27" t="s">
        <v>76</v>
      </c>
      <c r="BL1229" s="27"/>
    </row>
    <row r="1230" ht="14.25" customHeight="1">
      <c r="A1230" s="26" t="s">
        <v>111</v>
      </c>
      <c r="B1230" s="26" t="s">
        <v>56</v>
      </c>
      <c r="C1230" s="26" t="s">
        <v>57</v>
      </c>
      <c r="D1230" s="26" t="s">
        <v>71</v>
      </c>
      <c r="E1230" s="27" t="s">
        <v>3999</v>
      </c>
      <c r="F1230" s="28" t="s">
        <v>4000</v>
      </c>
      <c r="G1230" s="29">
        <v>45223.0</v>
      </c>
      <c r="H1230" s="30">
        <v>45223.0</v>
      </c>
      <c r="I1230" s="30">
        <v>45588.0</v>
      </c>
      <c r="J1230" s="31" t="s">
        <v>3958</v>
      </c>
      <c r="K1230" s="26" t="s">
        <v>931</v>
      </c>
      <c r="L1230" s="89">
        <v>45258.0</v>
      </c>
      <c r="M1230" s="33">
        <v>16864.85</v>
      </c>
      <c r="N1230" s="34">
        <v>18200.0</v>
      </c>
      <c r="O1230" s="27" t="s">
        <v>76</v>
      </c>
      <c r="P1230" s="35" t="s">
        <v>430</v>
      </c>
      <c r="Q1230" s="35" t="s">
        <v>114</v>
      </c>
      <c r="R1230" s="36">
        <v>0.0</v>
      </c>
      <c r="S1230" s="35" t="s">
        <v>86</v>
      </c>
      <c r="T1230" s="35">
        <v>0.0</v>
      </c>
      <c r="U1230" s="37" t="s">
        <v>115</v>
      </c>
      <c r="V1230" s="38">
        <v>1400000.0</v>
      </c>
      <c r="W1230" s="78">
        <v>102158.0</v>
      </c>
      <c r="X1230" s="27">
        <v>2021.0</v>
      </c>
      <c r="Y1230" s="79" t="s">
        <v>1155</v>
      </c>
      <c r="Z1230" s="39"/>
      <c r="AA1230" s="39"/>
      <c r="AB1230" s="27"/>
      <c r="AC1230" s="27">
        <f t="shared" si="926"/>
        <v>0</v>
      </c>
      <c r="AD1230" s="41">
        <f t="shared" si="962"/>
        <v>2529.7275</v>
      </c>
      <c r="AE1230" s="42"/>
      <c r="AF1230" s="27">
        <v>1068.16</v>
      </c>
      <c r="AG1230" s="103">
        <f>IF(O1230="Paid",IF(A1230="Wethaq",(M1230*28%)-((M1230*28%)*5%),IF((A1230="GIG"),(M1230*25%)-((M1230*25%)*5%),IF((A1230="Allianz"),(M1230*27%)-((M1230*27%)*20%),0))),0)</f>
        <v>4005.401875</v>
      </c>
      <c r="AH1230" s="29"/>
      <c r="AI1230" s="29"/>
      <c r="AJ1230" s="29"/>
      <c r="AK1230" s="217" t="s">
        <v>1181</v>
      </c>
      <c r="AL1230" s="156">
        <f>AG1230-2243.14</f>
        <v>1762.261875</v>
      </c>
      <c r="AM1230" s="44"/>
      <c r="AN1230" s="47"/>
      <c r="AO1230" s="46"/>
      <c r="AP1230" s="47"/>
      <c r="AQ1230" s="43">
        <f t="shared" si="984"/>
        <v>4216.2125</v>
      </c>
      <c r="AR1230" s="43">
        <f t="shared" si="448"/>
        <v>210.810625</v>
      </c>
      <c r="AS1230" s="43">
        <f t="shared" si="449"/>
        <v>737.8371875</v>
      </c>
      <c r="AT1230" s="48">
        <f t="shared" si="753"/>
        <v>3267.564688</v>
      </c>
      <c r="AU1230" s="49">
        <f t="shared" si="921"/>
        <v>3267.564688</v>
      </c>
      <c r="AV1230" s="48"/>
      <c r="AW1230" s="34">
        <f t="shared" si="840"/>
        <v>15670.2725</v>
      </c>
      <c r="AX1230" s="50">
        <f t="shared" si="811"/>
        <v>-1024.424688</v>
      </c>
      <c r="AY1230" s="43"/>
      <c r="AZ1230" s="47"/>
      <c r="BA1230" s="48">
        <f t="shared" si="922"/>
        <v>3267.564688</v>
      </c>
      <c r="BB1230" s="27"/>
      <c r="BC1230" s="27"/>
      <c r="BD1230" s="51"/>
      <c r="BE1230" s="52"/>
      <c r="BF1230" s="27"/>
      <c r="BG1230" s="53">
        <v>0.0</v>
      </c>
      <c r="BH1230" s="53" t="str">
        <f>'[1]2023'!Q1676</f>
        <v>#REF!</v>
      </c>
      <c r="BI1230" s="27"/>
      <c r="BJ1230" s="27"/>
      <c r="BK1230" s="27" t="s">
        <v>76</v>
      </c>
      <c r="BL1230" s="27"/>
    </row>
    <row r="1231" ht="14.25" customHeight="1">
      <c r="A1231" s="26" t="s">
        <v>55</v>
      </c>
      <c r="B1231" s="26" t="s">
        <v>56</v>
      </c>
      <c r="C1231" s="26" t="s">
        <v>57</v>
      </c>
      <c r="D1231" s="26" t="s">
        <v>81</v>
      </c>
      <c r="E1231" s="27" t="s">
        <v>4001</v>
      </c>
      <c r="F1231" s="28" t="s">
        <v>4002</v>
      </c>
      <c r="G1231" s="29">
        <v>45224.0</v>
      </c>
      <c r="H1231" s="30">
        <v>45224.0</v>
      </c>
      <c r="I1231" s="30">
        <v>45589.0</v>
      </c>
      <c r="J1231" s="31" t="s">
        <v>4003</v>
      </c>
      <c r="K1231" s="26" t="s">
        <v>931</v>
      </c>
      <c r="L1231" s="32" t="s">
        <v>1325</v>
      </c>
      <c r="M1231" s="33">
        <v>34650.0</v>
      </c>
      <c r="N1231" s="34">
        <v>37009.6</v>
      </c>
      <c r="O1231" s="27" t="s">
        <v>76</v>
      </c>
      <c r="P1231" s="35" t="s">
        <v>89</v>
      </c>
      <c r="Q1231" s="35" t="s">
        <v>65</v>
      </c>
      <c r="R1231" s="36">
        <v>45224.0</v>
      </c>
      <c r="S1231" s="35" t="s">
        <v>86</v>
      </c>
      <c r="T1231" s="35">
        <v>0.0</v>
      </c>
      <c r="U1231" s="37" t="s">
        <v>67</v>
      </c>
      <c r="V1231" s="38">
        <v>1800000.0</v>
      </c>
      <c r="W1231" s="78">
        <v>112907.0</v>
      </c>
      <c r="X1231" s="27">
        <v>2022.0</v>
      </c>
      <c r="Y1231" s="39"/>
      <c r="Z1231" s="79" t="s">
        <v>1164</v>
      </c>
      <c r="AA1231" s="39"/>
      <c r="AB1231" s="27"/>
      <c r="AC1231" s="27">
        <f t="shared" si="926"/>
        <v>0</v>
      </c>
      <c r="AD1231" s="41"/>
      <c r="AE1231" s="42"/>
      <c r="AF1231" s="27"/>
      <c r="AG1231" s="43">
        <f t="shared" ref="AG1231:AG1236" si="985">IF(O1231="Paid",IF(A1231="Alwataniya",(M1231*21%)-((M1231*21%)*5%),IF((A1231="GIG"),(M1231*25%)-((M1231*25%)*5%),IF((A1231="Allianz"),(M1231*27%)-((M1231*27%)*5%),0))),0)</f>
        <v>8887.725</v>
      </c>
      <c r="AH1231" s="29"/>
      <c r="AI1231" s="29"/>
      <c r="AJ1231" s="29"/>
      <c r="AK1231" s="29"/>
      <c r="AL1231" s="27"/>
      <c r="AM1231" s="44"/>
      <c r="AN1231" s="47"/>
      <c r="AO1231" s="46"/>
      <c r="AP1231" s="47"/>
      <c r="AQ1231" s="43">
        <f t="shared" ref="AQ1231:AQ1232" si="986">IF(U1231="Motor Plus",(M1231*27%),IF(U1231="Motor One",(M1231*22%),(IF(U1231="Golden",(M1231*25%),(IF(U1231="Classic",(M1231*15%),(IF(U1231="Wethaq",(M1231*28%),IF(U1231="Alwataniya",(M1231*21%))*0))))))))</f>
        <v>9355.5</v>
      </c>
      <c r="AR1231" s="43">
        <f t="shared" si="448"/>
        <v>467.775</v>
      </c>
      <c r="AS1231" s="43">
        <f t="shared" si="449"/>
        <v>1637.2125</v>
      </c>
      <c r="AT1231" s="48">
        <f t="shared" si="753"/>
        <v>7250.5125</v>
      </c>
      <c r="AU1231" s="49">
        <f t="shared" si="921"/>
        <v>7250.5125</v>
      </c>
      <c r="AV1231" s="48"/>
      <c r="AW1231" s="34">
        <f t="shared" si="840"/>
        <v>37009.6</v>
      </c>
      <c r="AX1231" s="50">
        <f t="shared" si="811"/>
        <v>7250.5125</v>
      </c>
      <c r="AY1231" s="43"/>
      <c r="AZ1231" s="47"/>
      <c r="BA1231" s="48">
        <f t="shared" si="922"/>
        <v>7250.5125</v>
      </c>
      <c r="BB1231" s="27"/>
      <c r="BC1231" s="27"/>
      <c r="BD1231" s="51"/>
      <c r="BE1231" s="52"/>
      <c r="BF1231" s="27"/>
      <c r="BG1231" s="53">
        <v>0.0</v>
      </c>
      <c r="BH1231" s="53" t="str">
        <f>'[1]2023'!Q1449</f>
        <v>#REF!</v>
      </c>
      <c r="BI1231" s="27"/>
      <c r="BJ1231" s="27"/>
      <c r="BK1231" s="27" t="s">
        <v>76</v>
      </c>
      <c r="BL1231" s="27"/>
    </row>
    <row r="1232" ht="14.25" customHeight="1">
      <c r="A1232" s="26" t="s">
        <v>55</v>
      </c>
      <c r="B1232" s="26" t="s">
        <v>56</v>
      </c>
      <c r="C1232" s="26" t="s">
        <v>57</v>
      </c>
      <c r="D1232" s="26" t="s">
        <v>81</v>
      </c>
      <c r="E1232" s="27" t="s">
        <v>4004</v>
      </c>
      <c r="F1232" s="28" t="s">
        <v>4005</v>
      </c>
      <c r="G1232" s="29">
        <v>45224.0</v>
      </c>
      <c r="H1232" s="30">
        <v>45224.0</v>
      </c>
      <c r="I1232" s="30">
        <v>45589.0</v>
      </c>
      <c r="J1232" s="31" t="s">
        <v>4006</v>
      </c>
      <c r="K1232" s="26" t="s">
        <v>931</v>
      </c>
      <c r="L1232" s="32" t="s">
        <v>2764</v>
      </c>
      <c r="M1232" s="33">
        <v>41300.0</v>
      </c>
      <c r="N1232" s="34">
        <v>44084.2</v>
      </c>
      <c r="O1232" s="27" t="s">
        <v>76</v>
      </c>
      <c r="P1232" s="35" t="s">
        <v>89</v>
      </c>
      <c r="Q1232" s="35" t="s">
        <v>65</v>
      </c>
      <c r="R1232" s="36">
        <v>45224.0</v>
      </c>
      <c r="S1232" s="35" t="s">
        <v>86</v>
      </c>
      <c r="T1232" s="35">
        <v>0.0</v>
      </c>
      <c r="U1232" s="37" t="s">
        <v>67</v>
      </c>
      <c r="V1232" s="38">
        <v>1400000.0</v>
      </c>
      <c r="W1232" s="78" t="s">
        <v>4007</v>
      </c>
      <c r="X1232" s="27">
        <v>2021.0</v>
      </c>
      <c r="Y1232" s="79" t="s">
        <v>208</v>
      </c>
      <c r="Z1232" s="39"/>
      <c r="AA1232" s="39"/>
      <c r="AB1232" s="27"/>
      <c r="AC1232" s="27">
        <f t="shared" si="926"/>
        <v>0</v>
      </c>
      <c r="AD1232" s="41"/>
      <c r="AE1232" s="42"/>
      <c r="AF1232" s="27"/>
      <c r="AG1232" s="43">
        <f t="shared" si="985"/>
        <v>10593.45</v>
      </c>
      <c r="AH1232" s="29"/>
      <c r="AI1232" s="29"/>
      <c r="AJ1232" s="29"/>
      <c r="AK1232" s="29"/>
      <c r="AL1232" s="27"/>
      <c r="AM1232" s="44"/>
      <c r="AN1232" s="47"/>
      <c r="AO1232" s="46"/>
      <c r="AP1232" s="47"/>
      <c r="AQ1232" s="43">
        <f t="shared" si="986"/>
        <v>11151</v>
      </c>
      <c r="AR1232" s="43">
        <f t="shared" si="448"/>
        <v>557.55</v>
      </c>
      <c r="AS1232" s="43">
        <f t="shared" si="449"/>
        <v>1951.425</v>
      </c>
      <c r="AT1232" s="48">
        <f t="shared" si="753"/>
        <v>8642.025</v>
      </c>
      <c r="AU1232" s="49">
        <f t="shared" si="921"/>
        <v>8642.025</v>
      </c>
      <c r="AV1232" s="48"/>
      <c r="AW1232" s="34">
        <f t="shared" si="840"/>
        <v>44084.2</v>
      </c>
      <c r="AX1232" s="50">
        <f t="shared" si="811"/>
        <v>8642.025</v>
      </c>
      <c r="AY1232" s="43"/>
      <c r="AZ1232" s="47"/>
      <c r="BA1232" s="48">
        <f t="shared" si="922"/>
        <v>8642.025</v>
      </c>
      <c r="BB1232" s="27"/>
      <c r="BC1232" s="27"/>
      <c r="BD1232" s="51"/>
      <c r="BE1232" s="52"/>
      <c r="BF1232" s="27"/>
      <c r="BG1232" s="53">
        <v>0.0</v>
      </c>
      <c r="BH1232" s="53" t="str">
        <f>'[1]2023'!Q1454</f>
        <v>#REF!</v>
      </c>
      <c r="BI1232" s="27"/>
      <c r="BJ1232" s="27"/>
      <c r="BK1232" s="27" t="s">
        <v>76</v>
      </c>
      <c r="BL1232" s="27"/>
    </row>
    <row r="1233" ht="14.25" customHeight="1">
      <c r="A1233" s="26" t="s">
        <v>111</v>
      </c>
      <c r="B1233" s="26" t="s">
        <v>56</v>
      </c>
      <c r="C1233" s="26" t="s">
        <v>57</v>
      </c>
      <c r="D1233" s="26" t="s">
        <v>71</v>
      </c>
      <c r="E1233" s="27" t="s">
        <v>4008</v>
      </c>
      <c r="F1233" s="28" t="s">
        <v>4009</v>
      </c>
      <c r="G1233" s="29">
        <v>45224.0</v>
      </c>
      <c r="H1233" s="30">
        <v>45224.0</v>
      </c>
      <c r="I1233" s="30">
        <v>45589.0</v>
      </c>
      <c r="J1233" s="31" t="s">
        <v>3695</v>
      </c>
      <c r="K1233" s="26" t="s">
        <v>475</v>
      </c>
      <c r="L1233" s="69">
        <v>44968.0</v>
      </c>
      <c r="M1233" s="33">
        <v>43744.55</v>
      </c>
      <c r="N1233" s="85">
        <v>46800.0</v>
      </c>
      <c r="O1233" s="27" t="s">
        <v>76</v>
      </c>
      <c r="P1233" s="35" t="s">
        <v>142</v>
      </c>
      <c r="Q1233" s="35" t="s">
        <v>108</v>
      </c>
      <c r="R1233" s="36">
        <v>45233.0</v>
      </c>
      <c r="S1233" s="35" t="s">
        <v>86</v>
      </c>
      <c r="T1233" s="35">
        <v>0.0</v>
      </c>
      <c r="U1233" s="37" t="s">
        <v>115</v>
      </c>
      <c r="V1233" s="38">
        <v>1800000.0</v>
      </c>
      <c r="W1233" s="78">
        <v>170341.0</v>
      </c>
      <c r="X1233" s="27">
        <v>2023.0</v>
      </c>
      <c r="Y1233" s="79" t="s">
        <v>3696</v>
      </c>
      <c r="Z1233" s="79" t="s">
        <v>277</v>
      </c>
      <c r="AA1233" s="39"/>
      <c r="AB1233" s="27"/>
      <c r="AC1233" s="27">
        <f t="shared" si="926"/>
        <v>0</v>
      </c>
      <c r="AD1233" s="41">
        <f t="shared" ref="AD1233:AD1237" si="987">IF(AND(S1233="0",O1233="Paid"),(M1233*15%)-AC1233,0)</f>
        <v>6561.6825</v>
      </c>
      <c r="AE1233" s="42">
        <v>850.0</v>
      </c>
      <c r="AF1233" s="27" t="s">
        <v>3296</v>
      </c>
      <c r="AG1233" s="43">
        <f t="shared" si="985"/>
        <v>10389.33063</v>
      </c>
      <c r="AH1233" s="29">
        <v>45088.0</v>
      </c>
      <c r="AI1233" s="29">
        <v>45271.0</v>
      </c>
      <c r="AJ1233" s="29"/>
      <c r="AK1233" s="29">
        <v>45180.0</v>
      </c>
      <c r="AL1233" s="27"/>
      <c r="AM1233" s="44"/>
      <c r="AN1233" s="47"/>
      <c r="AO1233" s="46"/>
      <c r="AP1233" s="47"/>
      <c r="AQ1233" s="43">
        <f t="shared" ref="AQ1233:AQ1234" si="988">IF(O1233="Paid",IF(U1233="Motor Plus",(M1233*27%),IF(U1233="Motor One",(M1233*22%),(IF(U1233="Golden",(M1233*25%),(IF(U1233="Classic",(M1233*15%),(IF(U1233="Wethaq",(M1233*28%),IF(U1233="Alwataniya",(M1233*21%))*0)))))))))</f>
        <v>10936.1375</v>
      </c>
      <c r="AR1233" s="43">
        <f t="shared" si="448"/>
        <v>546.806875</v>
      </c>
      <c r="AS1233" s="43">
        <f t="shared" si="449"/>
        <v>1913.824063</v>
      </c>
      <c r="AT1233" s="48">
        <f t="shared" si="753"/>
        <v>8475.506563</v>
      </c>
      <c r="AU1233" s="49">
        <f t="shared" si="921"/>
        <v>8475.506563</v>
      </c>
      <c r="AV1233" s="48"/>
      <c r="AW1233" s="34">
        <f t="shared" si="840"/>
        <v>39388.3175</v>
      </c>
      <c r="AX1233" s="50">
        <f t="shared" si="811"/>
        <v>1063.824063</v>
      </c>
      <c r="AY1233" s="43"/>
      <c r="AZ1233" s="47"/>
      <c r="BA1233" s="48">
        <f t="shared" si="922"/>
        <v>8475.506563</v>
      </c>
      <c r="BB1233" s="27"/>
      <c r="BC1233" s="27"/>
      <c r="BD1233" s="51"/>
      <c r="BE1233" s="52"/>
      <c r="BF1233" s="27"/>
      <c r="BG1233" s="53">
        <v>0.0</v>
      </c>
      <c r="BH1233" s="53" t="str">
        <f>'[1]2023'!Q1511</f>
        <v>#REF!</v>
      </c>
      <c r="BI1233" s="27"/>
      <c r="BJ1233" s="27"/>
      <c r="BK1233" s="27" t="s">
        <v>76</v>
      </c>
      <c r="BL1233" s="27"/>
    </row>
    <row r="1234" ht="14.25" customHeight="1">
      <c r="A1234" s="26" t="s">
        <v>55</v>
      </c>
      <c r="B1234" s="26" t="s">
        <v>56</v>
      </c>
      <c r="C1234" s="26" t="s">
        <v>57</v>
      </c>
      <c r="D1234" s="26" t="s">
        <v>58</v>
      </c>
      <c r="E1234" s="27" t="s">
        <v>4010</v>
      </c>
      <c r="F1234" s="28" t="s">
        <v>4011</v>
      </c>
      <c r="G1234" s="29">
        <v>45224.0</v>
      </c>
      <c r="H1234" s="30">
        <v>45224.0</v>
      </c>
      <c r="I1234" s="30">
        <v>45589.0</v>
      </c>
      <c r="J1234" s="31" t="s">
        <v>4012</v>
      </c>
      <c r="K1234" s="26" t="s">
        <v>931</v>
      </c>
      <c r="L1234" s="89">
        <v>45260.0</v>
      </c>
      <c r="M1234" s="33">
        <v>12933.87</v>
      </c>
      <c r="N1234" s="34">
        <v>13696.96</v>
      </c>
      <c r="O1234" s="27" t="s">
        <v>76</v>
      </c>
      <c r="P1234" s="35" t="s">
        <v>89</v>
      </c>
      <c r="Q1234" s="35" t="s">
        <v>108</v>
      </c>
      <c r="R1234" s="36">
        <v>45224.0</v>
      </c>
      <c r="S1234" s="35" t="s">
        <v>78</v>
      </c>
      <c r="T1234" s="35">
        <v>0.0</v>
      </c>
      <c r="U1234" s="37" t="s">
        <v>58</v>
      </c>
      <c r="V1234" s="38">
        <v>5200000.0</v>
      </c>
      <c r="W1234" s="78">
        <v>51291.0</v>
      </c>
      <c r="X1234" s="27">
        <v>2021.0</v>
      </c>
      <c r="Y1234" s="39" t="s">
        <v>4013</v>
      </c>
      <c r="Z1234" s="39"/>
      <c r="AA1234" s="39"/>
      <c r="AB1234" s="27"/>
      <c r="AC1234" s="27">
        <f t="shared" si="926"/>
        <v>0</v>
      </c>
      <c r="AD1234" s="41">
        <f t="shared" si="987"/>
        <v>0</v>
      </c>
      <c r="AE1234" s="42">
        <v>2500.0</v>
      </c>
      <c r="AF1234" s="27"/>
      <c r="AG1234" s="43">
        <f t="shared" si="985"/>
        <v>3317.537655</v>
      </c>
      <c r="AH1234" s="29"/>
      <c r="AI1234" s="29"/>
      <c r="AJ1234" s="29"/>
      <c r="AK1234" s="29"/>
      <c r="AL1234" s="27"/>
      <c r="AM1234" s="44"/>
      <c r="AN1234" s="47"/>
      <c r="AO1234" s="46"/>
      <c r="AP1234" s="47"/>
      <c r="AQ1234" s="43">
        <f t="shared" si="988"/>
        <v>0</v>
      </c>
      <c r="AR1234" s="43">
        <f t="shared" si="448"/>
        <v>0</v>
      </c>
      <c r="AS1234" s="43">
        <f t="shared" si="449"/>
        <v>0</v>
      </c>
      <c r="AT1234" s="48">
        <f t="shared" si="753"/>
        <v>0</v>
      </c>
      <c r="AU1234" s="49">
        <f t="shared" si="921"/>
        <v>0</v>
      </c>
      <c r="AV1234" s="48"/>
      <c r="AW1234" s="34">
        <f t="shared" si="840"/>
        <v>11196.96</v>
      </c>
      <c r="AX1234" s="50">
        <f t="shared" si="811"/>
        <v>817.537655</v>
      </c>
      <c r="AY1234" s="43"/>
      <c r="AZ1234" s="47"/>
      <c r="BA1234" s="48">
        <f t="shared" si="922"/>
        <v>0</v>
      </c>
      <c r="BB1234" s="27"/>
      <c r="BC1234" s="27"/>
      <c r="BD1234" s="51"/>
      <c r="BE1234" s="52"/>
      <c r="BF1234" s="27"/>
      <c r="BG1234" s="58" t="s">
        <v>4014</v>
      </c>
      <c r="BH1234" s="53" t="str">
        <f>'[1]2023'!Q1514</f>
        <v>#REF!</v>
      </c>
      <c r="BI1234" s="27"/>
      <c r="BJ1234" s="27"/>
      <c r="BK1234" s="27" t="s">
        <v>76</v>
      </c>
      <c r="BL1234" s="27"/>
    </row>
    <row r="1235" ht="14.25" customHeight="1">
      <c r="A1235" s="26" t="s">
        <v>55</v>
      </c>
      <c r="B1235" s="26" t="s">
        <v>56</v>
      </c>
      <c r="C1235" s="26" t="s">
        <v>57</v>
      </c>
      <c r="D1235" s="26" t="s">
        <v>58</v>
      </c>
      <c r="E1235" s="27" t="s">
        <v>4015</v>
      </c>
      <c r="F1235" s="28" t="s">
        <v>4016</v>
      </c>
      <c r="G1235" s="29">
        <v>45224.0</v>
      </c>
      <c r="H1235" s="30">
        <v>45224.0</v>
      </c>
      <c r="I1235" s="30">
        <v>45589.0</v>
      </c>
      <c r="J1235" s="31">
        <v>0.0</v>
      </c>
      <c r="K1235" s="26" t="s">
        <v>931</v>
      </c>
      <c r="L1235" s="32" t="s">
        <v>4017</v>
      </c>
      <c r="M1235" s="33">
        <v>4313.21</v>
      </c>
      <c r="N1235" s="34">
        <v>4567.69</v>
      </c>
      <c r="O1235" s="27" t="s">
        <v>76</v>
      </c>
      <c r="P1235" s="35" t="s">
        <v>122</v>
      </c>
      <c r="Q1235" s="35" t="s">
        <v>65</v>
      </c>
      <c r="R1235" s="36">
        <v>45224.0</v>
      </c>
      <c r="S1235" s="35" t="s">
        <v>1103</v>
      </c>
      <c r="T1235" s="35">
        <v>0.0</v>
      </c>
      <c r="U1235" s="37" t="s">
        <v>58</v>
      </c>
      <c r="V1235" s="38">
        <v>900000.0</v>
      </c>
      <c r="W1235" s="78">
        <v>51434.0</v>
      </c>
      <c r="X1235" s="27">
        <v>2017.0</v>
      </c>
      <c r="Y1235" s="79" t="s">
        <v>4018</v>
      </c>
      <c r="Z1235" s="39"/>
      <c r="AA1235" s="39"/>
      <c r="AB1235" s="27"/>
      <c r="AC1235" s="27">
        <f t="shared" si="926"/>
        <v>0</v>
      </c>
      <c r="AD1235" s="41">
        <f t="shared" si="987"/>
        <v>0</v>
      </c>
      <c r="AE1235" s="42"/>
      <c r="AF1235" s="27"/>
      <c r="AG1235" s="43">
        <f t="shared" si="985"/>
        <v>1106.338365</v>
      </c>
      <c r="AH1235" s="29"/>
      <c r="AI1235" s="29"/>
      <c r="AJ1235" s="29"/>
      <c r="AK1235" s="29"/>
      <c r="AL1235" s="27"/>
      <c r="AM1235" s="215">
        <f>AU1235*10%</f>
        <v>90.25391925</v>
      </c>
      <c r="AN1235" s="71">
        <v>45654.0</v>
      </c>
      <c r="AO1235" s="46"/>
      <c r="AP1235" s="47"/>
      <c r="AQ1235" s="43">
        <f>(M1235*27%)</f>
        <v>1164.5667</v>
      </c>
      <c r="AR1235" s="43">
        <f t="shared" si="448"/>
        <v>58.228335</v>
      </c>
      <c r="AS1235" s="43">
        <f t="shared" si="449"/>
        <v>203.7991725</v>
      </c>
      <c r="AT1235" s="48">
        <f t="shared" si="753"/>
        <v>902.5391925</v>
      </c>
      <c r="AU1235" s="49">
        <f t="shared" si="921"/>
        <v>902.5391925</v>
      </c>
      <c r="AV1235" s="106">
        <f>(AU1235-AM1235)*10%</f>
        <v>81.22852733</v>
      </c>
      <c r="AW1235" s="34">
        <f t="shared" si="840"/>
        <v>4567.69</v>
      </c>
      <c r="AX1235" s="50">
        <f t="shared" si="811"/>
        <v>731.0567459</v>
      </c>
      <c r="AY1235" s="43"/>
      <c r="AZ1235" s="47"/>
      <c r="BA1235" s="48">
        <f t="shared" si="922"/>
        <v>812.2852733</v>
      </c>
      <c r="BB1235" s="27"/>
      <c r="BC1235" s="27"/>
      <c r="BD1235" s="51"/>
      <c r="BE1235" s="52"/>
      <c r="BF1235" s="27"/>
      <c r="BG1235" s="53">
        <v>0.0</v>
      </c>
      <c r="BH1235" s="53" t="str">
        <f>'[1]2023'!Q1517</f>
        <v>#REF!</v>
      </c>
      <c r="BI1235" s="27"/>
      <c r="BJ1235" s="27"/>
      <c r="BK1235" s="27" t="s">
        <v>76</v>
      </c>
      <c r="BL1235" s="27"/>
    </row>
    <row r="1236" ht="14.25" customHeight="1">
      <c r="A1236" s="26" t="s">
        <v>55</v>
      </c>
      <c r="B1236" s="26" t="s">
        <v>56</v>
      </c>
      <c r="C1236" s="26" t="s">
        <v>57</v>
      </c>
      <c r="D1236" s="26" t="s">
        <v>58</v>
      </c>
      <c r="E1236" s="27" t="s">
        <v>4019</v>
      </c>
      <c r="F1236" s="28" t="s">
        <v>4020</v>
      </c>
      <c r="G1236" s="29">
        <v>45224.0</v>
      </c>
      <c r="H1236" s="30">
        <v>45224.0</v>
      </c>
      <c r="I1236" s="30">
        <v>45589.0</v>
      </c>
      <c r="J1236" s="31" t="s">
        <v>4021</v>
      </c>
      <c r="K1236" s="26" t="s">
        <v>931</v>
      </c>
      <c r="L1236" s="89">
        <v>45595.0</v>
      </c>
      <c r="M1236" s="33">
        <v>1255.1</v>
      </c>
      <c r="N1236" s="34">
        <v>1330.0</v>
      </c>
      <c r="O1236" s="27" t="s">
        <v>76</v>
      </c>
      <c r="P1236" s="35" t="s">
        <v>122</v>
      </c>
      <c r="Q1236" s="35" t="s">
        <v>85</v>
      </c>
      <c r="R1236" s="36">
        <v>45224.0</v>
      </c>
      <c r="S1236" s="35" t="s">
        <v>78</v>
      </c>
      <c r="T1236" s="35">
        <v>0.0</v>
      </c>
      <c r="U1236" s="37" t="s">
        <v>58</v>
      </c>
      <c r="V1236" s="38">
        <v>1570000.0</v>
      </c>
      <c r="W1236" s="78" t="s">
        <v>4022</v>
      </c>
      <c r="X1236" s="27">
        <v>2021.0</v>
      </c>
      <c r="Y1236" s="79" t="s">
        <v>208</v>
      </c>
      <c r="Z1236" s="39"/>
      <c r="AA1236" s="39"/>
      <c r="AB1236" s="27"/>
      <c r="AC1236" s="27">
        <f t="shared" si="926"/>
        <v>0</v>
      </c>
      <c r="AD1236" s="41">
        <f t="shared" si="987"/>
        <v>0</v>
      </c>
      <c r="AE1236" s="42"/>
      <c r="AF1236" s="27"/>
      <c r="AG1236" s="43">
        <f t="shared" si="985"/>
        <v>321.93315</v>
      </c>
      <c r="AH1236" s="29"/>
      <c r="AI1236" s="29"/>
      <c r="AJ1236" s="29"/>
      <c r="AK1236" s="29"/>
      <c r="AL1236" s="27"/>
      <c r="AM1236" s="44"/>
      <c r="AN1236" s="47"/>
      <c r="AO1236" s="46"/>
      <c r="AP1236" s="47"/>
      <c r="AQ1236" s="43">
        <f>IF(O1236="Paid",IF(U1236="Motor Plus",(M1236*27%),IF(U1236="Motor One",(M1236*22%),(IF(U1236="Golden",(M1236*25%),(IF(U1236="Classic",(M1236*15%),(IF(U1236="Wethaq",(M1236*28%),IF(U1236="Alwataniya",(M1236*21%))*0)))))))))</f>
        <v>0</v>
      </c>
      <c r="AR1236" s="43">
        <f t="shared" si="448"/>
        <v>0</v>
      </c>
      <c r="AS1236" s="43">
        <f t="shared" si="449"/>
        <v>0</v>
      </c>
      <c r="AT1236" s="48">
        <f t="shared" si="753"/>
        <v>0</v>
      </c>
      <c r="AU1236" s="49">
        <f t="shared" si="921"/>
        <v>0</v>
      </c>
      <c r="AV1236" s="48"/>
      <c r="AW1236" s="34">
        <f t="shared" si="840"/>
        <v>1330</v>
      </c>
      <c r="AX1236" s="50">
        <f t="shared" si="811"/>
        <v>321.93315</v>
      </c>
      <c r="AY1236" s="43"/>
      <c r="AZ1236" s="47"/>
      <c r="BA1236" s="48">
        <f t="shared" si="922"/>
        <v>0</v>
      </c>
      <c r="BB1236" s="27"/>
      <c r="BC1236" s="27"/>
      <c r="BD1236" s="51"/>
      <c r="BE1236" s="52"/>
      <c r="BF1236" s="27"/>
      <c r="BG1236" s="58" t="s">
        <v>4023</v>
      </c>
      <c r="BH1236" s="53" t="str">
        <f>'[1]2023'!Q1525</f>
        <v>#REF!</v>
      </c>
      <c r="BI1236" s="27"/>
      <c r="BJ1236" s="27"/>
      <c r="BK1236" s="27" t="s">
        <v>76</v>
      </c>
      <c r="BL1236" s="27"/>
    </row>
    <row r="1237" ht="14.25" customHeight="1">
      <c r="A1237" s="26" t="s">
        <v>68</v>
      </c>
      <c r="B1237" s="26" t="s">
        <v>56</v>
      </c>
      <c r="C1237" s="26" t="s">
        <v>57</v>
      </c>
      <c r="D1237" s="26" t="s">
        <v>71</v>
      </c>
      <c r="E1237" s="27" t="s">
        <v>4024</v>
      </c>
      <c r="F1237" s="28" t="s">
        <v>4025</v>
      </c>
      <c r="G1237" s="29">
        <v>45224.0</v>
      </c>
      <c r="H1237" s="30">
        <v>45224.0</v>
      </c>
      <c r="I1237" s="30">
        <v>45589.0</v>
      </c>
      <c r="J1237" s="31">
        <v>0.0</v>
      </c>
      <c r="K1237" s="26" t="s">
        <v>931</v>
      </c>
      <c r="L1237" s="89">
        <v>45244.0</v>
      </c>
      <c r="M1237" s="33">
        <v>131089.38</v>
      </c>
      <c r="N1237" s="34">
        <v>140000.0</v>
      </c>
      <c r="O1237" s="27" t="s">
        <v>76</v>
      </c>
      <c r="P1237" s="35" t="s">
        <v>142</v>
      </c>
      <c r="Q1237" s="35" t="s">
        <v>108</v>
      </c>
      <c r="R1237" s="36">
        <v>45245.0</v>
      </c>
      <c r="S1237" s="35" t="s">
        <v>86</v>
      </c>
      <c r="T1237" s="35">
        <v>0.0</v>
      </c>
      <c r="U1237" s="37" t="s">
        <v>68</v>
      </c>
      <c r="V1237" s="38">
        <v>8750000.0</v>
      </c>
      <c r="W1237" s="78">
        <v>12052.0</v>
      </c>
      <c r="X1237" s="27"/>
      <c r="Y1237" s="79" t="s">
        <v>4026</v>
      </c>
      <c r="Z1237" s="39"/>
      <c r="AA1237" s="39"/>
      <c r="AB1237" s="27"/>
      <c r="AC1237" s="27">
        <f t="shared" si="926"/>
        <v>0</v>
      </c>
      <c r="AD1237" s="41">
        <f t="shared" si="987"/>
        <v>19663.407</v>
      </c>
      <c r="AE1237" s="42">
        <v>4400.0</v>
      </c>
      <c r="AF1237" s="27" t="s">
        <v>3963</v>
      </c>
      <c r="AG1237" s="43">
        <f>IF(O1237="Paid",IF(A1237="Wethaq",(M1237*28%)-((M1237*28%)*5%),IF((A1237="GIG"),(M1237*25%)-((M1237*25%)*5%),IF((A1237="Allianz"),(M1237*27%)-((M1237*27%)*20%),0))),0)</f>
        <v>34869.77508</v>
      </c>
      <c r="AH1237" s="29"/>
      <c r="AI1237" s="29">
        <v>45284.0</v>
      </c>
      <c r="AJ1237" s="55">
        <v>0.28</v>
      </c>
      <c r="AK1237" s="182">
        <v>45279.0</v>
      </c>
      <c r="AL1237" s="27"/>
      <c r="AM1237" s="27"/>
      <c r="AN1237" s="47"/>
      <c r="AO1237" s="46"/>
      <c r="AP1237" s="47"/>
      <c r="AQ1237" s="43">
        <f>M1237*AJ1237</f>
        <v>36705.0264</v>
      </c>
      <c r="AR1237" s="43">
        <f t="shared" si="448"/>
        <v>1835.25132</v>
      </c>
      <c r="AS1237" s="43">
        <f t="shared" si="449"/>
        <v>6423.37962</v>
      </c>
      <c r="AT1237" s="48">
        <f t="shared" si="753"/>
        <v>28446.39546</v>
      </c>
      <c r="AU1237" s="49">
        <f t="shared" si="921"/>
        <v>28446.39546</v>
      </c>
      <c r="AV1237" s="48"/>
      <c r="AW1237" s="34">
        <f t="shared" si="840"/>
        <v>115936.593</v>
      </c>
      <c r="AX1237" s="50">
        <f t="shared" si="811"/>
        <v>4382.98846</v>
      </c>
      <c r="AY1237" s="43"/>
      <c r="AZ1237" s="47"/>
      <c r="BA1237" s="48">
        <f t="shared" si="922"/>
        <v>28446.39546</v>
      </c>
      <c r="BB1237" s="27"/>
      <c r="BC1237" s="27"/>
      <c r="BD1237" s="51"/>
      <c r="BE1237" s="52"/>
      <c r="BF1237" s="27"/>
      <c r="BG1237" s="58" t="s">
        <v>4027</v>
      </c>
      <c r="BH1237" s="53" t="str">
        <f>'[1]2023'!Q1537</f>
        <v>#REF!</v>
      </c>
      <c r="BI1237" s="27"/>
      <c r="BJ1237" s="27"/>
      <c r="BK1237" s="27" t="s">
        <v>76</v>
      </c>
      <c r="BL1237" s="27"/>
    </row>
    <row r="1238" ht="14.25" customHeight="1">
      <c r="A1238" s="26" t="s">
        <v>55</v>
      </c>
      <c r="B1238" s="26" t="s">
        <v>56</v>
      </c>
      <c r="C1238" s="26" t="s">
        <v>57</v>
      </c>
      <c r="D1238" s="26" t="s">
        <v>81</v>
      </c>
      <c r="E1238" s="27" t="s">
        <v>4028</v>
      </c>
      <c r="F1238" s="28" t="s">
        <v>4029</v>
      </c>
      <c r="G1238" s="29">
        <v>45224.0</v>
      </c>
      <c r="H1238" s="30">
        <v>45224.0</v>
      </c>
      <c r="I1238" s="30">
        <v>45589.0</v>
      </c>
      <c r="J1238" s="31" t="s">
        <v>4030</v>
      </c>
      <c r="K1238" s="26" t="s">
        <v>931</v>
      </c>
      <c r="L1238" s="32" t="s">
        <v>3296</v>
      </c>
      <c r="M1238" s="33">
        <v>33040.0</v>
      </c>
      <c r="N1238" s="34">
        <v>35295.56</v>
      </c>
      <c r="O1238" s="27" t="s">
        <v>76</v>
      </c>
      <c r="P1238" s="35" t="s">
        <v>89</v>
      </c>
      <c r="Q1238" s="35" t="s">
        <v>65</v>
      </c>
      <c r="R1238" s="36">
        <v>45224.0</v>
      </c>
      <c r="S1238" s="35" t="s">
        <v>86</v>
      </c>
      <c r="T1238" s="35">
        <v>0.0</v>
      </c>
      <c r="U1238" s="37" t="s">
        <v>67</v>
      </c>
      <c r="V1238" s="38">
        <v>1400000.0</v>
      </c>
      <c r="W1238" s="78" t="s">
        <v>4031</v>
      </c>
      <c r="X1238" s="27">
        <v>2020.0</v>
      </c>
      <c r="Y1238" s="79" t="s">
        <v>208</v>
      </c>
      <c r="Z1238" s="39"/>
      <c r="AA1238" s="39"/>
      <c r="AB1238" s="27"/>
      <c r="AC1238" s="27">
        <f t="shared" si="926"/>
        <v>0</v>
      </c>
      <c r="AD1238" s="41"/>
      <c r="AE1238" s="42"/>
      <c r="AF1238" s="27"/>
      <c r="AG1238" s="43">
        <f t="shared" ref="AG1238:AG1240" si="989">IF(O1238="Paid",IF(A1238="Alwataniya",(M1238*21%)-((M1238*21%)*5%),IF((A1238="GIG"),(M1238*25%)-((M1238*25%)*5%),IF((A1238="Allianz"),(M1238*27%)-((M1238*27%)*5%),0))),0)</f>
        <v>8474.76</v>
      </c>
      <c r="AH1238" s="29"/>
      <c r="AI1238" s="29"/>
      <c r="AJ1238" s="29"/>
      <c r="AK1238" s="29"/>
      <c r="AL1238" s="27"/>
      <c r="AM1238" s="44"/>
      <c r="AN1238" s="68"/>
      <c r="AO1238" s="46"/>
      <c r="AP1238" s="47"/>
      <c r="AQ1238" s="43">
        <f t="shared" ref="AQ1238:AQ1239" si="990">IF(O1238="Paid",IF(U1238="Motor Plus",(M1238*27%),IF(U1238="Motor One",(M1238*22%),(IF(U1238="Golden",(M1238*25%),(IF(U1238="Classic",(M1238*15%),(IF(U1238="Wethaq",(M1238*28%),IF(U1238="Alwataniya",(M1238*21%))*0)))))))))</f>
        <v>8920.8</v>
      </c>
      <c r="AR1238" s="43">
        <f t="shared" si="448"/>
        <v>446.04</v>
      </c>
      <c r="AS1238" s="43">
        <f t="shared" si="449"/>
        <v>1561.14</v>
      </c>
      <c r="AT1238" s="48">
        <f t="shared" si="753"/>
        <v>6913.62</v>
      </c>
      <c r="AU1238" s="49">
        <f t="shared" si="921"/>
        <v>6913.62</v>
      </c>
      <c r="AV1238" s="48"/>
      <c r="AW1238" s="34">
        <f t="shared" si="840"/>
        <v>35295.56</v>
      </c>
      <c r="AX1238" s="50">
        <f t="shared" si="811"/>
        <v>6913.62</v>
      </c>
      <c r="AY1238" s="43"/>
      <c r="AZ1238" s="47"/>
      <c r="BA1238" s="48">
        <f t="shared" si="922"/>
        <v>6913.62</v>
      </c>
      <c r="BB1238" s="27"/>
      <c r="BC1238" s="27"/>
      <c r="BD1238" s="51"/>
      <c r="BE1238" s="52"/>
      <c r="BF1238" s="27"/>
      <c r="BG1238" s="53">
        <v>0.0</v>
      </c>
      <c r="BH1238" s="53" t="str">
        <f>'[1]2023'!Q1540</f>
        <v>#REF!</v>
      </c>
      <c r="BI1238" s="27"/>
      <c r="BJ1238" s="27"/>
      <c r="BK1238" s="27" t="s">
        <v>76</v>
      </c>
      <c r="BL1238" s="27"/>
    </row>
    <row r="1239" ht="14.25" customHeight="1">
      <c r="A1239" s="26" t="s">
        <v>111</v>
      </c>
      <c r="B1239" s="26" t="s">
        <v>56</v>
      </c>
      <c r="C1239" s="26" t="s">
        <v>57</v>
      </c>
      <c r="D1239" s="26" t="s">
        <v>71</v>
      </c>
      <c r="E1239" s="27" t="s">
        <v>4032</v>
      </c>
      <c r="F1239" s="28" t="s">
        <v>4033</v>
      </c>
      <c r="G1239" s="29">
        <v>45225.0</v>
      </c>
      <c r="H1239" s="30">
        <v>45225.0</v>
      </c>
      <c r="I1239" s="30">
        <v>45590.0</v>
      </c>
      <c r="J1239" s="31" t="s">
        <v>4034</v>
      </c>
      <c r="K1239" s="26" t="s">
        <v>931</v>
      </c>
      <c r="L1239" s="32" t="s">
        <v>63</v>
      </c>
      <c r="M1239" s="33">
        <v>18697.56</v>
      </c>
      <c r="N1239" s="34">
        <v>20150.0</v>
      </c>
      <c r="O1239" s="27" t="s">
        <v>64</v>
      </c>
      <c r="P1239" s="35">
        <v>0.0</v>
      </c>
      <c r="Q1239" s="35" t="s">
        <v>114</v>
      </c>
      <c r="R1239" s="36">
        <v>45235.0</v>
      </c>
      <c r="S1239" s="35" t="s">
        <v>78</v>
      </c>
      <c r="T1239" s="54" t="s">
        <v>510</v>
      </c>
      <c r="U1239" s="37" t="s">
        <v>115</v>
      </c>
      <c r="V1239" s="38">
        <v>775000.0</v>
      </c>
      <c r="W1239" s="78">
        <v>5786.0</v>
      </c>
      <c r="X1239" s="27"/>
      <c r="Y1239" s="79" t="s">
        <v>4035</v>
      </c>
      <c r="Z1239" s="39"/>
      <c r="AA1239" s="39"/>
      <c r="AB1239" s="27"/>
      <c r="AC1239" s="27">
        <f t="shared" si="926"/>
        <v>0</v>
      </c>
      <c r="AD1239" s="41">
        <f t="shared" ref="AD1239:AD1243" si="991">IF(AND(S1239="0",O1239="Paid"),(M1239*15%)-AC1239,0)</f>
        <v>0</v>
      </c>
      <c r="AE1239" s="42"/>
      <c r="AF1239" s="27"/>
      <c r="AG1239" s="43">
        <f t="shared" si="989"/>
        <v>0</v>
      </c>
      <c r="AH1239" s="29"/>
      <c r="AI1239" s="29"/>
      <c r="AJ1239" s="29"/>
      <c r="AK1239" s="29"/>
      <c r="AL1239" s="27"/>
      <c r="AM1239" s="27"/>
      <c r="AN1239" s="47"/>
      <c r="AO1239" s="95">
        <f>M1239*AJ1239-((M1239*AJ1239)*22.5%)</f>
        <v>0</v>
      </c>
      <c r="AP1239" s="47"/>
      <c r="AQ1239" s="43" t="b">
        <f t="shared" si="990"/>
        <v>0</v>
      </c>
      <c r="AR1239" s="43">
        <f t="shared" si="448"/>
        <v>0</v>
      </c>
      <c r="AS1239" s="43">
        <f t="shared" si="449"/>
        <v>0</v>
      </c>
      <c r="AT1239" s="48">
        <f t="shared" si="753"/>
        <v>0</v>
      </c>
      <c r="AU1239" s="49">
        <f t="shared" si="921"/>
        <v>0</v>
      </c>
      <c r="AV1239" s="48"/>
      <c r="AW1239" s="34">
        <f t="shared" si="840"/>
        <v>20150</v>
      </c>
      <c r="AX1239" s="50">
        <f t="shared" si="811"/>
        <v>0</v>
      </c>
      <c r="AY1239" s="43"/>
      <c r="AZ1239" s="47"/>
      <c r="BA1239" s="48">
        <f t="shared" si="922"/>
        <v>0</v>
      </c>
      <c r="BB1239" s="27"/>
      <c r="BC1239" s="27"/>
      <c r="BD1239" s="51"/>
      <c r="BE1239" s="52"/>
      <c r="BF1239" s="27"/>
      <c r="BG1239" s="53">
        <v>0.0</v>
      </c>
      <c r="BH1239" s="53" t="str">
        <f>'[1]2023'!Q1526</f>
        <v>#REF!</v>
      </c>
      <c r="BI1239" s="27"/>
      <c r="BJ1239" s="27"/>
      <c r="BK1239" s="27" t="s">
        <v>64</v>
      </c>
      <c r="BL1239" s="27"/>
    </row>
    <row r="1240" ht="14.25" customHeight="1">
      <c r="A1240" s="26" t="s">
        <v>55</v>
      </c>
      <c r="B1240" s="26" t="s">
        <v>56</v>
      </c>
      <c r="C1240" s="26" t="s">
        <v>57</v>
      </c>
      <c r="D1240" s="26" t="s">
        <v>81</v>
      </c>
      <c r="E1240" s="27" t="s">
        <v>4036</v>
      </c>
      <c r="F1240" s="28" t="s">
        <v>4037</v>
      </c>
      <c r="G1240" s="29">
        <v>45226.0</v>
      </c>
      <c r="H1240" s="30">
        <v>45226.0</v>
      </c>
      <c r="I1240" s="30">
        <v>45591.0</v>
      </c>
      <c r="J1240" s="31" t="s">
        <v>4038</v>
      </c>
      <c r="K1240" s="26" t="s">
        <v>931</v>
      </c>
      <c r="L1240" s="69">
        <v>45179.0</v>
      </c>
      <c r="M1240" s="33">
        <v>29736.0</v>
      </c>
      <c r="N1240" s="34">
        <v>31780.11</v>
      </c>
      <c r="O1240" s="27" t="s">
        <v>76</v>
      </c>
      <c r="P1240" s="35" t="s">
        <v>122</v>
      </c>
      <c r="Q1240" s="35" t="s">
        <v>90</v>
      </c>
      <c r="R1240" s="36">
        <v>45226.0</v>
      </c>
      <c r="S1240" s="35" t="s">
        <v>86</v>
      </c>
      <c r="T1240" s="35">
        <v>0.0</v>
      </c>
      <c r="U1240" s="37" t="s">
        <v>67</v>
      </c>
      <c r="V1240" s="38">
        <v>1440000.0</v>
      </c>
      <c r="W1240" s="78">
        <v>6085.0</v>
      </c>
      <c r="X1240" s="27">
        <v>2022.0</v>
      </c>
      <c r="Y1240" s="79" t="s">
        <v>2641</v>
      </c>
      <c r="Z1240" s="79" t="s">
        <v>208</v>
      </c>
      <c r="AA1240" s="39"/>
      <c r="AB1240" s="27"/>
      <c r="AC1240" s="27">
        <f t="shared" si="926"/>
        <v>0</v>
      </c>
      <c r="AD1240" s="41">
        <f t="shared" si="991"/>
        <v>4460.4</v>
      </c>
      <c r="AE1240" s="42"/>
      <c r="AF1240" s="27"/>
      <c r="AG1240" s="43">
        <f t="shared" si="989"/>
        <v>7627.284</v>
      </c>
      <c r="AH1240" s="29"/>
      <c r="AI1240" s="29"/>
      <c r="AJ1240" s="29"/>
      <c r="AK1240" s="29"/>
      <c r="AL1240" s="27"/>
      <c r="AM1240" s="44"/>
      <c r="AN1240" s="68"/>
      <c r="AO1240" s="46"/>
      <c r="AP1240" s="47"/>
      <c r="AQ1240" s="43">
        <f>IF(U1240="Motor Plus",(M1240*27%),IF(U1240="Motor One",(M1240*22%),(IF(U1240="Golden",(M1240*25%),(IF(U1240="Classic",(M1240*15%),(IF(U1240="Wethaq",(M1240*28%),IF(U1240="Alwataniya",(M1240*21%))*0))))))))</f>
        <v>8028.72</v>
      </c>
      <c r="AR1240" s="43">
        <f t="shared" si="448"/>
        <v>401.436</v>
      </c>
      <c r="AS1240" s="43">
        <f t="shared" si="449"/>
        <v>1405.026</v>
      </c>
      <c r="AT1240" s="48">
        <f t="shared" si="753"/>
        <v>6222.258</v>
      </c>
      <c r="AU1240" s="49">
        <f t="shared" si="921"/>
        <v>6222.258</v>
      </c>
      <c r="AV1240" s="48"/>
      <c r="AW1240" s="34">
        <f t="shared" si="840"/>
        <v>27319.71</v>
      </c>
      <c r="AX1240" s="50">
        <f t="shared" si="811"/>
        <v>1761.858</v>
      </c>
      <c r="AY1240" s="43"/>
      <c r="AZ1240" s="47"/>
      <c r="BA1240" s="48">
        <f t="shared" si="922"/>
        <v>6222.258</v>
      </c>
      <c r="BB1240" s="27"/>
      <c r="BC1240" s="27"/>
      <c r="BD1240" s="51"/>
      <c r="BE1240" s="52"/>
      <c r="BF1240" s="27"/>
      <c r="BG1240" s="53">
        <v>0.0</v>
      </c>
      <c r="BH1240" s="53" t="str">
        <f>'[1]2023'!Q1400</f>
        <v>#REF!</v>
      </c>
      <c r="BI1240" s="27"/>
      <c r="BJ1240" s="27"/>
      <c r="BK1240" s="27" t="s">
        <v>76</v>
      </c>
      <c r="BL1240" s="27"/>
    </row>
    <row r="1241" ht="14.25" customHeight="1">
      <c r="A1241" s="26" t="s">
        <v>1634</v>
      </c>
      <c r="B1241" s="26" t="s">
        <v>69</v>
      </c>
      <c r="C1241" s="26" t="s">
        <v>57</v>
      </c>
      <c r="D1241" s="26" t="s">
        <v>71</v>
      </c>
      <c r="E1241" s="27" t="s">
        <v>4039</v>
      </c>
      <c r="F1241" s="26" t="s">
        <v>4040</v>
      </c>
      <c r="G1241" s="29">
        <v>45226.0</v>
      </c>
      <c r="H1241" s="30">
        <v>45226.0</v>
      </c>
      <c r="I1241" s="30">
        <v>45591.0</v>
      </c>
      <c r="J1241" s="31">
        <v>0.0</v>
      </c>
      <c r="K1241" s="26" t="s">
        <v>931</v>
      </c>
      <c r="L1241" s="89">
        <v>45226.0</v>
      </c>
      <c r="M1241" s="33">
        <v>13400.0</v>
      </c>
      <c r="N1241" s="34">
        <v>15300.0</v>
      </c>
      <c r="O1241" s="27" t="s">
        <v>76</v>
      </c>
      <c r="P1241" s="35" t="s">
        <v>77</v>
      </c>
      <c r="Q1241" s="35">
        <v>0.0</v>
      </c>
      <c r="R1241" s="36">
        <v>45226.0</v>
      </c>
      <c r="S1241" s="35" t="s">
        <v>78</v>
      </c>
      <c r="T1241" s="54" t="s">
        <v>79</v>
      </c>
      <c r="U1241" s="37" t="s">
        <v>69</v>
      </c>
      <c r="V1241" s="38"/>
      <c r="W1241" s="78"/>
      <c r="X1241" s="27"/>
      <c r="Y1241" s="39"/>
      <c r="Z1241" s="39"/>
      <c r="AA1241" s="39"/>
      <c r="AB1241" s="27"/>
      <c r="AC1241" s="27">
        <f t="shared" si="926"/>
        <v>0</v>
      </c>
      <c r="AD1241" s="41">
        <f t="shared" si="991"/>
        <v>0</v>
      </c>
      <c r="AE1241" s="42"/>
      <c r="AF1241" s="27"/>
      <c r="AG1241" s="43">
        <v>7294.59</v>
      </c>
      <c r="AH1241" s="29"/>
      <c r="AI1241" s="29"/>
      <c r="AJ1241" s="40">
        <v>0.165</v>
      </c>
      <c r="AK1241" s="75" t="s">
        <v>2972</v>
      </c>
      <c r="AL1241" s="27"/>
      <c r="AM1241" s="44"/>
      <c r="AN1241" s="47"/>
      <c r="AO1241" s="149">
        <f>((N1241*AJ1241)-((N1241*AJ1241)*22.5%))*80%</f>
        <v>1565.19</v>
      </c>
      <c r="AP1241" s="218" t="s">
        <v>2972</v>
      </c>
      <c r="AQ1241" s="43">
        <f>M1241*AJ1241</f>
        <v>2211</v>
      </c>
      <c r="AR1241" s="43">
        <f t="shared" si="448"/>
        <v>110.55</v>
      </c>
      <c r="AS1241" s="43">
        <f t="shared" si="449"/>
        <v>386.925</v>
      </c>
      <c r="AT1241" s="48">
        <f t="shared" si="753"/>
        <v>1713.525</v>
      </c>
      <c r="AU1241" s="49">
        <f t="shared" si="921"/>
        <v>148.335</v>
      </c>
      <c r="AV1241" s="48"/>
      <c r="AW1241" s="34">
        <f t="shared" si="840"/>
        <v>15300</v>
      </c>
      <c r="AX1241" s="50">
        <f t="shared" si="811"/>
        <v>5342.475</v>
      </c>
      <c r="AY1241" s="43"/>
      <c r="AZ1241" s="47"/>
      <c r="BA1241" s="48">
        <f t="shared" si="922"/>
        <v>-1416.855</v>
      </c>
      <c r="BB1241" s="27"/>
      <c r="BC1241" s="27"/>
      <c r="BD1241" s="51"/>
      <c r="BE1241" s="52"/>
      <c r="BF1241" s="27"/>
      <c r="BG1241" s="53">
        <v>0.0</v>
      </c>
      <c r="BH1241" s="53" t="str">
        <f>'[1]2023'!Q1410</f>
        <v>#REF!</v>
      </c>
      <c r="BI1241" s="27"/>
      <c r="BJ1241" s="27"/>
      <c r="BK1241" s="27" t="s">
        <v>76</v>
      </c>
      <c r="BL1241" s="27"/>
    </row>
    <row r="1242" ht="14.25" customHeight="1">
      <c r="A1242" s="26" t="s">
        <v>55</v>
      </c>
      <c r="B1242" s="26" t="s">
        <v>56</v>
      </c>
      <c r="C1242" s="26" t="s">
        <v>57</v>
      </c>
      <c r="D1242" s="26" t="s">
        <v>81</v>
      </c>
      <c r="E1242" s="27" t="s">
        <v>4041</v>
      </c>
      <c r="F1242" s="28" t="s">
        <v>4042</v>
      </c>
      <c r="G1242" s="29">
        <v>45226.0</v>
      </c>
      <c r="H1242" s="30">
        <v>45226.0</v>
      </c>
      <c r="I1242" s="30">
        <v>45591.0</v>
      </c>
      <c r="J1242" s="31" t="s">
        <v>4043</v>
      </c>
      <c r="K1242" s="26" t="s">
        <v>931</v>
      </c>
      <c r="L1242" s="32" t="s">
        <v>63</v>
      </c>
      <c r="M1242" s="33">
        <v>0.0</v>
      </c>
      <c r="N1242" s="34">
        <v>0.0</v>
      </c>
      <c r="O1242" s="27" t="s">
        <v>1102</v>
      </c>
      <c r="P1242" s="35" t="s">
        <v>142</v>
      </c>
      <c r="Q1242" s="35" t="s">
        <v>90</v>
      </c>
      <c r="R1242" s="36">
        <v>45226.0</v>
      </c>
      <c r="S1242" s="35" t="s">
        <v>86</v>
      </c>
      <c r="T1242" s="35">
        <v>0.0</v>
      </c>
      <c r="U1242" s="37" t="s">
        <v>67</v>
      </c>
      <c r="V1242" s="38"/>
      <c r="W1242" s="78"/>
      <c r="X1242" s="27"/>
      <c r="Y1242" s="39"/>
      <c r="Z1242" s="39"/>
      <c r="AA1242" s="39"/>
      <c r="AB1242" s="27"/>
      <c r="AC1242" s="27">
        <f t="shared" si="926"/>
        <v>0</v>
      </c>
      <c r="AD1242" s="41">
        <f t="shared" si="991"/>
        <v>0</v>
      </c>
      <c r="AE1242" s="42"/>
      <c r="AF1242" s="27"/>
      <c r="AG1242" s="43">
        <f t="shared" ref="AG1242:AG1244" si="992">IF(O1242="Paid",IF(A1242="Alwataniya",(M1242*21%)-((M1242*21%)*5%),IF((A1242="GIG"),(M1242*25%)-((M1242*25%)*5%),IF((A1242="Allianz"),(M1242*27%)-((M1242*27%)*5%),0))),0)</f>
        <v>0</v>
      </c>
      <c r="AH1242" s="29"/>
      <c r="AI1242" s="29"/>
      <c r="AJ1242" s="29"/>
      <c r="AK1242" s="29"/>
      <c r="AL1242" s="27"/>
      <c r="AM1242" s="27"/>
      <c r="AN1242" s="47"/>
      <c r="AO1242" s="46"/>
      <c r="AP1242" s="47"/>
      <c r="AQ1242" s="43" t="b">
        <f>IF(O1242="Paid",IF(U1242="Motor Plus",(M1242*27%),IF(U1242="Motor One",(M1242*22%),(IF(U1242="Golden",(M1242*25%),(IF(U1242="Classic",(M1242*15%),(IF(U1242="Wethaq",(M1242*28%),IF(U1242="Alwataniya",(M1242*21%))*0)))))))))</f>
        <v>0</v>
      </c>
      <c r="AR1242" s="43">
        <f t="shared" si="448"/>
        <v>0</v>
      </c>
      <c r="AS1242" s="43">
        <f t="shared" si="449"/>
        <v>0</v>
      </c>
      <c r="AT1242" s="48">
        <f t="shared" si="753"/>
        <v>0</v>
      </c>
      <c r="AU1242" s="49">
        <f t="shared" si="921"/>
        <v>0</v>
      </c>
      <c r="AV1242" s="48"/>
      <c r="AW1242" s="34">
        <f t="shared" si="840"/>
        <v>0</v>
      </c>
      <c r="AX1242" s="50">
        <f t="shared" si="811"/>
        <v>0</v>
      </c>
      <c r="AY1242" s="43"/>
      <c r="AZ1242" s="47"/>
      <c r="BA1242" s="48">
        <f t="shared" si="922"/>
        <v>0</v>
      </c>
      <c r="BB1242" s="27"/>
      <c r="BC1242" s="27"/>
      <c r="BD1242" s="51"/>
      <c r="BE1242" s="52"/>
      <c r="BF1242" s="27"/>
      <c r="BG1242" s="58" t="s">
        <v>4044</v>
      </c>
      <c r="BH1242" s="53" t="str">
        <f>'[1]2023'!Q1466</f>
        <v>#REF!</v>
      </c>
      <c r="BI1242" s="27"/>
      <c r="BJ1242" s="27"/>
      <c r="BK1242" s="27" t="s">
        <v>1102</v>
      </c>
      <c r="BL1242" s="27"/>
    </row>
    <row r="1243" ht="14.25" customHeight="1">
      <c r="A1243" s="26" t="s">
        <v>55</v>
      </c>
      <c r="B1243" s="26" t="s">
        <v>56</v>
      </c>
      <c r="C1243" s="26" t="s">
        <v>57</v>
      </c>
      <c r="D1243" s="26" t="s">
        <v>81</v>
      </c>
      <c r="E1243" s="27" t="s">
        <v>4045</v>
      </c>
      <c r="F1243" s="28" t="s">
        <v>4046</v>
      </c>
      <c r="G1243" s="29">
        <v>45227.0</v>
      </c>
      <c r="H1243" s="30">
        <v>45227.0</v>
      </c>
      <c r="I1243" s="30">
        <v>45592.0</v>
      </c>
      <c r="J1243" s="31" t="s">
        <v>4047</v>
      </c>
      <c r="K1243" s="26" t="s">
        <v>931</v>
      </c>
      <c r="L1243" s="69">
        <v>45209.0</v>
      </c>
      <c r="M1243" s="33">
        <v>15675.0</v>
      </c>
      <c r="N1243" s="34">
        <v>16819.21</v>
      </c>
      <c r="O1243" s="27" t="s">
        <v>76</v>
      </c>
      <c r="P1243" s="35" t="s">
        <v>430</v>
      </c>
      <c r="Q1243" s="35">
        <v>0.0</v>
      </c>
      <c r="R1243" s="36">
        <v>45227.0</v>
      </c>
      <c r="S1243" s="35" t="s">
        <v>86</v>
      </c>
      <c r="T1243" s="35">
        <v>0.0</v>
      </c>
      <c r="U1243" s="37" t="s">
        <v>67</v>
      </c>
      <c r="V1243" s="38">
        <v>950000.0</v>
      </c>
      <c r="W1243" s="78">
        <v>1190831.0</v>
      </c>
      <c r="X1243" s="27">
        <v>2015.0</v>
      </c>
      <c r="Y1243" s="79" t="s">
        <v>4048</v>
      </c>
      <c r="Z1243" s="79" t="s">
        <v>4049</v>
      </c>
      <c r="AA1243" s="39"/>
      <c r="AB1243" s="27"/>
      <c r="AC1243" s="27">
        <f t="shared" si="926"/>
        <v>0</v>
      </c>
      <c r="AD1243" s="41">
        <f t="shared" si="991"/>
        <v>2351.25</v>
      </c>
      <c r="AE1243" s="42"/>
      <c r="AF1243" s="27"/>
      <c r="AG1243" s="43">
        <f t="shared" si="992"/>
        <v>4020.6375</v>
      </c>
      <c r="AH1243" s="29"/>
      <c r="AI1243" s="29"/>
      <c r="AJ1243" s="29"/>
      <c r="AK1243" s="29"/>
      <c r="AL1243" s="27"/>
      <c r="AM1243" s="27"/>
      <c r="AN1243" s="47"/>
      <c r="AO1243" s="46"/>
      <c r="AP1243" s="47"/>
      <c r="AQ1243" s="43">
        <f>IF(U1243="Motor Plus",(M1243*27%),IF(U1243="Motor One",(M1243*22%),(IF(U1243="Golden",(M1243*25%),(IF(U1243="Classic",(M1243*15%),(IF(U1243="Wethaq",(M1243*28%),IF(U1243="Alwataniya",(M1243*21%))*0))))))))</f>
        <v>4232.25</v>
      </c>
      <c r="AR1243" s="43">
        <f t="shared" si="448"/>
        <v>211.6125</v>
      </c>
      <c r="AS1243" s="43">
        <f t="shared" si="449"/>
        <v>740.64375</v>
      </c>
      <c r="AT1243" s="48">
        <f t="shared" si="753"/>
        <v>3279.99375</v>
      </c>
      <c r="AU1243" s="49">
        <f t="shared" si="921"/>
        <v>3279.99375</v>
      </c>
      <c r="AV1243" s="48"/>
      <c r="AW1243" s="34">
        <f t="shared" si="840"/>
        <v>14467.96</v>
      </c>
      <c r="AX1243" s="50">
        <f t="shared" si="811"/>
        <v>928.74375</v>
      </c>
      <c r="AY1243" s="43"/>
      <c r="AZ1243" s="47"/>
      <c r="BA1243" s="48">
        <f t="shared" si="922"/>
        <v>3279.99375</v>
      </c>
      <c r="BB1243" s="27"/>
      <c r="BC1243" s="27"/>
      <c r="BD1243" s="51"/>
      <c r="BE1243" s="52"/>
      <c r="BF1243" s="27"/>
      <c r="BG1243" s="53">
        <v>0.0</v>
      </c>
      <c r="BH1243" s="53" t="str">
        <f>'[1]2023'!Q1403</f>
        <v>#REF!</v>
      </c>
      <c r="BI1243" s="27"/>
      <c r="BJ1243" s="27"/>
      <c r="BK1243" s="27" t="s">
        <v>76</v>
      </c>
      <c r="BL1243" s="27"/>
    </row>
    <row r="1244" ht="14.25" customHeight="1">
      <c r="A1244" s="26" t="s">
        <v>55</v>
      </c>
      <c r="B1244" s="26" t="s">
        <v>56</v>
      </c>
      <c r="C1244" s="26" t="s">
        <v>57</v>
      </c>
      <c r="D1244" s="26" t="s">
        <v>81</v>
      </c>
      <c r="E1244" s="27" t="s">
        <v>4050</v>
      </c>
      <c r="F1244" s="28" t="s">
        <v>4051</v>
      </c>
      <c r="G1244" s="29">
        <v>45227.0</v>
      </c>
      <c r="H1244" s="30">
        <v>45227.0</v>
      </c>
      <c r="I1244" s="30">
        <v>45592.0</v>
      </c>
      <c r="J1244" s="31" t="s">
        <v>1671</v>
      </c>
      <c r="K1244" s="26" t="s">
        <v>931</v>
      </c>
      <c r="L1244" s="89">
        <v>45235.0</v>
      </c>
      <c r="M1244" s="33">
        <v>35400.0</v>
      </c>
      <c r="N1244" s="34">
        <v>37808.6</v>
      </c>
      <c r="O1244" s="27" t="s">
        <v>76</v>
      </c>
      <c r="P1244" s="35" t="s">
        <v>89</v>
      </c>
      <c r="Q1244" s="35" t="s">
        <v>85</v>
      </c>
      <c r="R1244" s="36">
        <v>45227.0</v>
      </c>
      <c r="S1244" s="35" t="s">
        <v>86</v>
      </c>
      <c r="T1244" s="35">
        <v>0.0</v>
      </c>
      <c r="U1244" s="37" t="s">
        <v>67</v>
      </c>
      <c r="V1244" s="38">
        <v>1600000.0</v>
      </c>
      <c r="W1244" s="78">
        <v>6281.0</v>
      </c>
      <c r="X1244" s="27"/>
      <c r="Y1244" s="79" t="s">
        <v>208</v>
      </c>
      <c r="Z1244" s="39">
        <v>2022.0</v>
      </c>
      <c r="AA1244" s="39"/>
      <c r="AB1244" s="55">
        <v>0.1</v>
      </c>
      <c r="AC1244" s="27">
        <f t="shared" si="926"/>
        <v>3540</v>
      </c>
      <c r="AD1244" s="41"/>
      <c r="AE1244" s="42"/>
      <c r="AF1244" s="64" t="s">
        <v>4052</v>
      </c>
      <c r="AG1244" s="43">
        <f t="shared" si="992"/>
        <v>9080.1</v>
      </c>
      <c r="AH1244" s="29"/>
      <c r="AI1244" s="29"/>
      <c r="AJ1244" s="29"/>
      <c r="AK1244" s="29"/>
      <c r="AL1244" s="27"/>
      <c r="AM1244" s="44"/>
      <c r="AN1244" s="47"/>
      <c r="AO1244" s="46"/>
      <c r="AP1244" s="47"/>
      <c r="AQ1244" s="43">
        <f t="shared" ref="AQ1244:AQ1246" si="993">IF(O1244="Paid",IF(U1244="Motor Plus",(M1244*27%),IF(U1244="Motor One",(M1244*22%),(IF(U1244="Golden",(M1244*25%),(IF(U1244="Classic",(M1244*15%),(IF(U1244="Wethaq",(M1244*28%),IF(U1244="Alwataniya",(M1244*21%))*0)))))))))</f>
        <v>9558</v>
      </c>
      <c r="AR1244" s="43">
        <f t="shared" si="448"/>
        <v>477.9</v>
      </c>
      <c r="AS1244" s="43">
        <f t="shared" si="449"/>
        <v>1672.65</v>
      </c>
      <c r="AT1244" s="48">
        <f t="shared" si="753"/>
        <v>7407.45</v>
      </c>
      <c r="AU1244" s="49">
        <f t="shared" si="921"/>
        <v>3867.45</v>
      </c>
      <c r="AV1244" s="48"/>
      <c r="AW1244" s="34">
        <f t="shared" si="840"/>
        <v>34268.6</v>
      </c>
      <c r="AX1244" s="50">
        <f t="shared" si="811"/>
        <v>7407.45</v>
      </c>
      <c r="AY1244" s="43"/>
      <c r="AZ1244" s="47"/>
      <c r="BA1244" s="48">
        <f t="shared" si="922"/>
        <v>3867.45</v>
      </c>
      <c r="BB1244" s="27"/>
      <c r="BC1244" s="27"/>
      <c r="BD1244" s="51"/>
      <c r="BE1244" s="52"/>
      <c r="BF1244" s="27"/>
      <c r="BG1244" s="58" t="s">
        <v>4053</v>
      </c>
      <c r="BH1244" s="53" t="str">
        <f>'[1]2023'!Q1536</f>
        <v>#REF!</v>
      </c>
      <c r="BI1244" s="27"/>
      <c r="BJ1244" s="27"/>
      <c r="BK1244" s="27" t="s">
        <v>76</v>
      </c>
      <c r="BL1244" s="27"/>
    </row>
    <row r="1245" ht="14.25" customHeight="1">
      <c r="A1245" s="26" t="s">
        <v>55</v>
      </c>
      <c r="B1245" s="26" t="s">
        <v>56</v>
      </c>
      <c r="C1245" s="26" t="s">
        <v>57</v>
      </c>
      <c r="D1245" s="26" t="s">
        <v>81</v>
      </c>
      <c r="E1245" s="27" t="s">
        <v>4054</v>
      </c>
      <c r="F1245" s="28" t="s">
        <v>4055</v>
      </c>
      <c r="G1245" s="29">
        <v>45227.0</v>
      </c>
      <c r="H1245" s="30">
        <v>45227.0</v>
      </c>
      <c r="I1245" s="30">
        <v>45592.0</v>
      </c>
      <c r="J1245" s="31" t="s">
        <v>4056</v>
      </c>
      <c r="K1245" s="26" t="s">
        <v>931</v>
      </c>
      <c r="L1245" s="89">
        <v>45252.0</v>
      </c>
      <c r="M1245" s="33">
        <v>17700.0</v>
      </c>
      <c r="N1245" s="34">
        <v>18973.8</v>
      </c>
      <c r="O1245" s="27" t="s">
        <v>76</v>
      </c>
      <c r="P1245" s="35" t="s">
        <v>89</v>
      </c>
      <c r="Q1245" s="35" t="s">
        <v>90</v>
      </c>
      <c r="R1245" s="36">
        <v>45227.0</v>
      </c>
      <c r="S1245" s="35" t="s">
        <v>86</v>
      </c>
      <c r="T1245" s="35">
        <v>0.0</v>
      </c>
      <c r="U1245" s="37" t="s">
        <v>67</v>
      </c>
      <c r="V1245" s="38">
        <v>1000000.0</v>
      </c>
      <c r="W1245" s="78" t="s">
        <v>4057</v>
      </c>
      <c r="X1245" s="27">
        <v>2020.0</v>
      </c>
      <c r="Y1245" s="79" t="s">
        <v>232</v>
      </c>
      <c r="Z1245" s="39"/>
      <c r="AA1245" s="39"/>
      <c r="AB1245" s="27"/>
      <c r="AC1245" s="27">
        <f t="shared" si="926"/>
        <v>0</v>
      </c>
      <c r="AD1245" s="41">
        <f t="shared" ref="AD1245:AD1266" si="994">IF(AND(S1245="0",O1245="Paid"),(M1245*15%)-AC1245,0)</f>
        <v>2655</v>
      </c>
      <c r="AE1245" s="42"/>
      <c r="AF1245" s="27"/>
      <c r="AG1245" s="43">
        <f>IF(O1245="Paid",IF(A1245="Wethaq",(M1245*28%)-((M1245*28%)*5%),IF((A1245="GIG"),(M1245*25%)-((M1245*25%)*5%),IF((A1245="Allianz"),(M1245*27%)-((M1245*27%)*20%),0))),0)</f>
        <v>3823.2</v>
      </c>
      <c r="AH1245" s="29"/>
      <c r="AI1245" s="29"/>
      <c r="AJ1245" s="29"/>
      <c r="AK1245" s="29"/>
      <c r="AL1245" s="27"/>
      <c r="AM1245" s="44"/>
      <c r="AN1245" s="47"/>
      <c r="AO1245" s="46"/>
      <c r="AP1245" s="47"/>
      <c r="AQ1245" s="43">
        <f t="shared" si="993"/>
        <v>4779</v>
      </c>
      <c r="AR1245" s="43">
        <f t="shared" si="448"/>
        <v>238.95</v>
      </c>
      <c r="AS1245" s="43">
        <f t="shared" si="449"/>
        <v>836.325</v>
      </c>
      <c r="AT1245" s="48">
        <f t="shared" si="753"/>
        <v>3703.725</v>
      </c>
      <c r="AU1245" s="49">
        <f t="shared" si="921"/>
        <v>3703.725</v>
      </c>
      <c r="AV1245" s="48"/>
      <c r="AW1245" s="34">
        <f t="shared" si="840"/>
        <v>16318.8</v>
      </c>
      <c r="AX1245" s="50">
        <f t="shared" si="811"/>
        <v>331.875</v>
      </c>
      <c r="AY1245" s="43"/>
      <c r="AZ1245" s="47"/>
      <c r="BA1245" s="48">
        <f t="shared" si="922"/>
        <v>3703.725</v>
      </c>
      <c r="BB1245" s="27"/>
      <c r="BC1245" s="27"/>
      <c r="BD1245" s="51"/>
      <c r="BE1245" s="52"/>
      <c r="BF1245" s="27"/>
      <c r="BG1245" s="53">
        <v>0.0</v>
      </c>
      <c r="BH1245" s="53" t="str">
        <f>'[1]2023'!Q1608</f>
        <v>#REF!</v>
      </c>
      <c r="BI1245" s="27"/>
      <c r="BJ1245" s="27"/>
      <c r="BK1245" s="27" t="s">
        <v>1102</v>
      </c>
      <c r="BL1245" s="27"/>
    </row>
    <row r="1246" ht="14.25" customHeight="1">
      <c r="A1246" s="26" t="s">
        <v>55</v>
      </c>
      <c r="B1246" s="26" t="s">
        <v>56</v>
      </c>
      <c r="C1246" s="26" t="s">
        <v>57</v>
      </c>
      <c r="D1246" s="26" t="s">
        <v>58</v>
      </c>
      <c r="E1246" s="27" t="s">
        <v>4058</v>
      </c>
      <c r="F1246" s="28" t="s">
        <v>4059</v>
      </c>
      <c r="G1246" s="29">
        <v>45228.0</v>
      </c>
      <c r="H1246" s="30">
        <v>45228.0</v>
      </c>
      <c r="I1246" s="30">
        <v>45593.0</v>
      </c>
      <c r="J1246" s="31">
        <v>0.0</v>
      </c>
      <c r="K1246" s="26" t="s">
        <v>931</v>
      </c>
      <c r="L1246" s="89">
        <v>45228.0</v>
      </c>
      <c r="M1246" s="33">
        <v>3159.35</v>
      </c>
      <c r="N1246" s="34">
        <v>3345.76</v>
      </c>
      <c r="O1246" s="27" t="s">
        <v>76</v>
      </c>
      <c r="P1246" s="35">
        <v>0.0</v>
      </c>
      <c r="Q1246" s="35">
        <v>0.0</v>
      </c>
      <c r="R1246" s="36">
        <v>45228.0</v>
      </c>
      <c r="S1246" s="35" t="s">
        <v>66</v>
      </c>
      <c r="T1246" s="35">
        <v>0.0</v>
      </c>
      <c r="U1246" s="37">
        <v>0.0</v>
      </c>
      <c r="V1246" s="38"/>
      <c r="W1246" s="38"/>
      <c r="X1246" s="27"/>
      <c r="Y1246" s="39"/>
      <c r="Z1246" s="39"/>
      <c r="AA1246" s="39"/>
      <c r="AB1246" s="27"/>
      <c r="AC1246" s="27">
        <f t="shared" si="926"/>
        <v>0</v>
      </c>
      <c r="AD1246" s="41">
        <f t="shared" si="994"/>
        <v>0</v>
      </c>
      <c r="AE1246" s="42"/>
      <c r="AF1246" s="27"/>
      <c r="AG1246" s="43">
        <f t="shared" ref="AG1246:AG1250" si="995">IF(O1246="Paid",IF(A1246="Alwataniya",(M1246*21%)-((M1246*21%)*5%),IF((A1246="GIG"),(M1246*25%)-((M1246*25%)*5%),IF((A1246="Allianz"),(M1246*27%)-((M1246*27%)*5%),0))),0)</f>
        <v>810.373275</v>
      </c>
      <c r="AH1246" s="29"/>
      <c r="AI1246" s="29"/>
      <c r="AJ1246" s="29"/>
      <c r="AK1246" s="29"/>
      <c r="AL1246" s="27"/>
      <c r="AM1246" s="44"/>
      <c r="AN1246" s="47"/>
      <c r="AO1246" s="46"/>
      <c r="AP1246" s="47"/>
      <c r="AQ1246" s="43">
        <f t="shared" si="993"/>
        <v>0</v>
      </c>
      <c r="AR1246" s="43">
        <f t="shared" si="448"/>
        <v>0</v>
      </c>
      <c r="AS1246" s="43">
        <f t="shared" si="449"/>
        <v>0</v>
      </c>
      <c r="AT1246" s="48">
        <f t="shared" si="753"/>
        <v>0</v>
      </c>
      <c r="AU1246" s="49">
        <f t="shared" si="921"/>
        <v>0</v>
      </c>
      <c r="AV1246" s="48"/>
      <c r="AW1246" s="34">
        <f t="shared" si="840"/>
        <v>3345.76</v>
      </c>
      <c r="AX1246" s="50">
        <f t="shared" si="811"/>
        <v>810.373275</v>
      </c>
      <c r="AY1246" s="43"/>
      <c r="AZ1246" s="47"/>
      <c r="BA1246" s="48">
        <f t="shared" si="922"/>
        <v>0</v>
      </c>
      <c r="BB1246" s="27"/>
      <c r="BC1246" s="27"/>
      <c r="BD1246" s="51"/>
      <c r="BE1246" s="52"/>
      <c r="BF1246" s="27" t="s">
        <v>4058</v>
      </c>
      <c r="BG1246" s="53">
        <v>0.0</v>
      </c>
      <c r="BH1246" s="53" t="str">
        <f>'[1]2023'!Q1154</f>
        <v>#REF!</v>
      </c>
      <c r="BI1246" s="27"/>
      <c r="BJ1246" s="27"/>
      <c r="BK1246" s="27" t="s">
        <v>76</v>
      </c>
      <c r="BL1246" s="27"/>
    </row>
    <row r="1247" ht="14.25" customHeight="1">
      <c r="A1247" s="26" t="s">
        <v>55</v>
      </c>
      <c r="B1247" s="26" t="s">
        <v>56</v>
      </c>
      <c r="C1247" s="26" t="s">
        <v>57</v>
      </c>
      <c r="D1247" s="26" t="s">
        <v>81</v>
      </c>
      <c r="E1247" s="27" t="s">
        <v>4060</v>
      </c>
      <c r="F1247" s="28" t="s">
        <v>4061</v>
      </c>
      <c r="G1247" s="29">
        <v>45228.0</v>
      </c>
      <c r="H1247" s="30">
        <v>45228.0</v>
      </c>
      <c r="I1247" s="30">
        <v>45593.0</v>
      </c>
      <c r="J1247" s="31" t="s">
        <v>4062</v>
      </c>
      <c r="K1247" s="26" t="s">
        <v>931</v>
      </c>
      <c r="L1247" s="32" t="s">
        <v>1325</v>
      </c>
      <c r="M1247" s="33">
        <v>17700.0</v>
      </c>
      <c r="N1247" s="34">
        <v>18973.8</v>
      </c>
      <c r="O1247" s="27" t="s">
        <v>76</v>
      </c>
      <c r="P1247" s="35" t="s">
        <v>89</v>
      </c>
      <c r="Q1247" s="35" t="s">
        <v>90</v>
      </c>
      <c r="R1247" s="36">
        <v>45228.0</v>
      </c>
      <c r="S1247" s="35" t="s">
        <v>86</v>
      </c>
      <c r="T1247" s="35">
        <v>0.0</v>
      </c>
      <c r="U1247" s="37" t="s">
        <v>67</v>
      </c>
      <c r="V1247" s="38">
        <v>1000000.0</v>
      </c>
      <c r="W1247" s="78">
        <v>3519.0</v>
      </c>
      <c r="X1247" s="27">
        <v>2020.0</v>
      </c>
      <c r="Y1247" s="39"/>
      <c r="Z1247" s="79" t="s">
        <v>232</v>
      </c>
      <c r="AA1247" s="39"/>
      <c r="AB1247" s="27"/>
      <c r="AC1247" s="27">
        <f t="shared" si="926"/>
        <v>0</v>
      </c>
      <c r="AD1247" s="41">
        <f t="shared" si="994"/>
        <v>2655</v>
      </c>
      <c r="AE1247" s="42"/>
      <c r="AF1247" s="27"/>
      <c r="AG1247" s="43">
        <f t="shared" si="995"/>
        <v>4540.05</v>
      </c>
      <c r="AH1247" s="29"/>
      <c r="AI1247" s="29"/>
      <c r="AJ1247" s="29"/>
      <c r="AK1247" s="29"/>
      <c r="AL1247" s="27"/>
      <c r="AM1247" s="27"/>
      <c r="AN1247" s="47"/>
      <c r="AO1247" s="46"/>
      <c r="AP1247" s="47"/>
      <c r="AQ1247" s="43">
        <f t="shared" ref="AQ1247:AQ1248" si="996">IF(U1247="Motor Plus",(M1247*27%),IF(U1247="Motor One",(M1247*22%),(IF(U1247="Golden",(M1247*25%),(IF(U1247="Classic",(M1247*15%),(IF(U1247="Wethaq",(M1247*28%),IF(U1247="Alwataniya",(M1247*21%))*0))))))))</f>
        <v>4779</v>
      </c>
      <c r="AR1247" s="43">
        <f t="shared" si="448"/>
        <v>238.95</v>
      </c>
      <c r="AS1247" s="43">
        <f t="shared" si="449"/>
        <v>836.325</v>
      </c>
      <c r="AT1247" s="48">
        <f t="shared" si="753"/>
        <v>3703.725</v>
      </c>
      <c r="AU1247" s="49">
        <f t="shared" si="921"/>
        <v>3703.725</v>
      </c>
      <c r="AV1247" s="48"/>
      <c r="AW1247" s="34">
        <f t="shared" si="840"/>
        <v>16318.8</v>
      </c>
      <c r="AX1247" s="50">
        <f t="shared" si="811"/>
        <v>1048.725</v>
      </c>
      <c r="AY1247" s="43"/>
      <c r="AZ1247" s="47"/>
      <c r="BA1247" s="48">
        <f t="shared" si="922"/>
        <v>3703.725</v>
      </c>
      <c r="BB1247" s="27"/>
      <c r="BC1247" s="27"/>
      <c r="BD1247" s="51"/>
      <c r="BE1247" s="52"/>
      <c r="BF1247" s="27"/>
      <c r="BG1247" s="53">
        <v>0.0</v>
      </c>
      <c r="BH1247" s="53" t="str">
        <f>'[1]2023'!Q1448</f>
        <v>#REF!</v>
      </c>
      <c r="BI1247" s="27"/>
      <c r="BJ1247" s="27"/>
      <c r="BK1247" s="27" t="s">
        <v>76</v>
      </c>
      <c r="BL1247" s="27"/>
    </row>
    <row r="1248" ht="14.25" customHeight="1">
      <c r="A1248" s="26" t="s">
        <v>55</v>
      </c>
      <c r="B1248" s="26" t="s">
        <v>56</v>
      </c>
      <c r="C1248" s="26" t="s">
        <v>57</v>
      </c>
      <c r="D1248" s="26" t="s">
        <v>81</v>
      </c>
      <c r="E1248" s="27" t="s">
        <v>4063</v>
      </c>
      <c r="F1248" s="28" t="s">
        <v>4064</v>
      </c>
      <c r="G1248" s="29">
        <v>45228.0</v>
      </c>
      <c r="H1248" s="30">
        <v>45228.0</v>
      </c>
      <c r="I1248" s="30">
        <v>45593.0</v>
      </c>
      <c r="J1248" s="31" t="s">
        <v>4065</v>
      </c>
      <c r="K1248" s="26" t="s">
        <v>931</v>
      </c>
      <c r="L1248" s="32" t="s">
        <v>3168</v>
      </c>
      <c r="M1248" s="33">
        <v>38880.0</v>
      </c>
      <c r="N1248" s="34">
        <v>41509.32</v>
      </c>
      <c r="O1248" s="27" t="s">
        <v>76</v>
      </c>
      <c r="P1248" s="35" t="s">
        <v>89</v>
      </c>
      <c r="Q1248" s="35" t="s">
        <v>90</v>
      </c>
      <c r="R1248" s="36">
        <v>45228.0</v>
      </c>
      <c r="S1248" s="35" t="s">
        <v>86</v>
      </c>
      <c r="T1248" s="35">
        <v>0.0</v>
      </c>
      <c r="U1248" s="37" t="s">
        <v>67</v>
      </c>
      <c r="V1248" s="38">
        <v>1200000.0</v>
      </c>
      <c r="W1248" s="78">
        <v>519072.0</v>
      </c>
      <c r="X1248" s="27">
        <v>2022.0</v>
      </c>
      <c r="Y1248" s="79" t="s">
        <v>232</v>
      </c>
      <c r="Z1248" s="79" t="s">
        <v>232</v>
      </c>
      <c r="AA1248" s="39"/>
      <c r="AB1248" s="27"/>
      <c r="AC1248" s="27">
        <f t="shared" si="926"/>
        <v>0</v>
      </c>
      <c r="AD1248" s="41">
        <f t="shared" si="994"/>
        <v>5832</v>
      </c>
      <c r="AE1248" s="42"/>
      <c r="AF1248" s="27"/>
      <c r="AG1248" s="43">
        <f t="shared" si="995"/>
        <v>9972.72</v>
      </c>
      <c r="AH1248" s="29"/>
      <c r="AI1248" s="29"/>
      <c r="AJ1248" s="29"/>
      <c r="AK1248" s="29"/>
      <c r="AL1248" s="27"/>
      <c r="AM1248" s="44"/>
      <c r="AN1248" s="68"/>
      <c r="AO1248" s="46"/>
      <c r="AP1248" s="47"/>
      <c r="AQ1248" s="43">
        <f t="shared" si="996"/>
        <v>10497.6</v>
      </c>
      <c r="AR1248" s="43">
        <f t="shared" si="448"/>
        <v>524.88</v>
      </c>
      <c r="AS1248" s="43">
        <f t="shared" si="449"/>
        <v>1837.08</v>
      </c>
      <c r="AT1248" s="48">
        <f t="shared" si="753"/>
        <v>8135.64</v>
      </c>
      <c r="AU1248" s="49">
        <f t="shared" si="921"/>
        <v>8135.64</v>
      </c>
      <c r="AV1248" s="48"/>
      <c r="AW1248" s="34">
        <f t="shared" si="840"/>
        <v>35677.32</v>
      </c>
      <c r="AX1248" s="50">
        <f t="shared" si="811"/>
        <v>2303.64</v>
      </c>
      <c r="AY1248" s="43"/>
      <c r="AZ1248" s="47"/>
      <c r="BA1248" s="48">
        <f t="shared" si="922"/>
        <v>8135.64</v>
      </c>
      <c r="BB1248" s="27"/>
      <c r="BC1248" s="27"/>
      <c r="BD1248" s="51"/>
      <c r="BE1248" s="52"/>
      <c r="BF1248" s="27"/>
      <c r="BG1248" s="53">
        <v>0.0</v>
      </c>
      <c r="BH1248" s="53" t="str">
        <f>'[1]2023'!Q1460</f>
        <v>#REF!</v>
      </c>
      <c r="BI1248" s="27"/>
      <c r="BJ1248" s="27"/>
      <c r="BK1248" s="27" t="s">
        <v>76</v>
      </c>
      <c r="BL1248" s="27"/>
    </row>
    <row r="1249" ht="14.25" customHeight="1">
      <c r="A1249" s="26" t="s">
        <v>111</v>
      </c>
      <c r="B1249" s="26" t="s">
        <v>56</v>
      </c>
      <c r="C1249" s="26" t="s">
        <v>57</v>
      </c>
      <c r="D1249" s="26" t="s">
        <v>71</v>
      </c>
      <c r="E1249" s="27" t="s">
        <v>4066</v>
      </c>
      <c r="F1249" s="28" t="s">
        <v>4067</v>
      </c>
      <c r="G1249" s="29">
        <v>45228.0</v>
      </c>
      <c r="H1249" s="30">
        <v>45228.0</v>
      </c>
      <c r="I1249" s="30">
        <v>45593.0</v>
      </c>
      <c r="J1249" s="31">
        <v>0.0</v>
      </c>
      <c r="K1249" s="26" t="s">
        <v>931</v>
      </c>
      <c r="L1249" s="89">
        <v>45238.0</v>
      </c>
      <c r="M1249" s="33">
        <v>24806.58</v>
      </c>
      <c r="N1249" s="34">
        <v>26650.0</v>
      </c>
      <c r="O1249" s="27" t="s">
        <v>76</v>
      </c>
      <c r="P1249" s="35" t="s">
        <v>162</v>
      </c>
      <c r="Q1249" s="35" t="s">
        <v>114</v>
      </c>
      <c r="R1249" s="36">
        <v>45238.0</v>
      </c>
      <c r="S1249" s="35" t="s">
        <v>78</v>
      </c>
      <c r="T1249" s="35">
        <v>0.0</v>
      </c>
      <c r="U1249" s="37" t="s">
        <v>115</v>
      </c>
      <c r="V1249" s="38">
        <v>1025000.0</v>
      </c>
      <c r="W1249" s="78">
        <v>19772.0</v>
      </c>
      <c r="X1249" s="27"/>
      <c r="Y1249" s="79" t="s">
        <v>900</v>
      </c>
      <c r="Z1249" s="39"/>
      <c r="AA1249" s="39"/>
      <c r="AB1249" s="55">
        <v>0.19</v>
      </c>
      <c r="AC1249" s="76">
        <v>4750.0</v>
      </c>
      <c r="AD1249" s="41">
        <f t="shared" si="994"/>
        <v>0</v>
      </c>
      <c r="AE1249" s="42"/>
      <c r="AF1249" s="27"/>
      <c r="AG1249" s="43">
        <f t="shared" si="995"/>
        <v>5891.56275</v>
      </c>
      <c r="AH1249" s="29">
        <v>45149.0</v>
      </c>
      <c r="AI1249" s="29" t="s">
        <v>4068</v>
      </c>
      <c r="AJ1249" s="40">
        <v>0.25</v>
      </c>
      <c r="AK1249" s="29" t="s">
        <v>4068</v>
      </c>
      <c r="AL1249" s="27"/>
      <c r="AM1249" s="44"/>
      <c r="AN1249" s="47"/>
      <c r="AO1249" s="95">
        <f>M1249*AJ1249-((M1249*AJ1249)*22.5%)</f>
        <v>4806.274875</v>
      </c>
      <c r="AP1249" s="47"/>
      <c r="AQ1249" s="43">
        <f t="shared" ref="AQ1249:AQ1266" si="997">IF(O1249="Paid",IF(U1249="Motor Plus",(M1249*27%),IF(U1249="Motor One",(M1249*22%),(IF(U1249="Golden",(M1249*25%),(IF(U1249="Classic",(M1249*15%),(IF(U1249="Wethaq",(M1249*28%),IF(U1249="Alwataniya",(M1249*21%))*0)))))))))</f>
        <v>6201.645</v>
      </c>
      <c r="AR1249" s="43">
        <f t="shared" si="448"/>
        <v>310.08225</v>
      </c>
      <c r="AS1249" s="43">
        <f t="shared" si="449"/>
        <v>1085.287875</v>
      </c>
      <c r="AT1249" s="48">
        <f t="shared" si="753"/>
        <v>4806.274875</v>
      </c>
      <c r="AU1249" s="49">
        <f t="shared" si="921"/>
        <v>-4750</v>
      </c>
      <c r="AV1249" s="48"/>
      <c r="AW1249" s="34">
        <f>N1249-AC1249</f>
        <v>21900</v>
      </c>
      <c r="AX1249" s="50">
        <f t="shared" si="811"/>
        <v>0</v>
      </c>
      <c r="AY1249" s="43"/>
      <c r="AZ1249" s="47"/>
      <c r="BA1249" s="48">
        <f t="shared" si="922"/>
        <v>-9556.274875</v>
      </c>
      <c r="BB1249" s="27"/>
      <c r="BC1249" s="27"/>
      <c r="BD1249" s="51"/>
      <c r="BE1249" s="52"/>
      <c r="BF1249" s="27"/>
      <c r="BG1249" s="53">
        <v>0.0</v>
      </c>
      <c r="BH1249" s="53" t="str">
        <f t="shared" ref="BH1249:BH1250" si="998">'[1]2023'!Q1528</f>
        <v>#REF!</v>
      </c>
      <c r="BI1249" s="27"/>
      <c r="BJ1249" s="27"/>
      <c r="BK1249" s="27" t="s">
        <v>76</v>
      </c>
      <c r="BL1249" s="27"/>
    </row>
    <row r="1250" ht="14.25" customHeight="1">
      <c r="A1250" s="26" t="s">
        <v>111</v>
      </c>
      <c r="B1250" s="26" t="s">
        <v>56</v>
      </c>
      <c r="C1250" s="26" t="s">
        <v>57</v>
      </c>
      <c r="D1250" s="26" t="s">
        <v>71</v>
      </c>
      <c r="E1250" s="27" t="s">
        <v>4069</v>
      </c>
      <c r="F1250" s="28" t="s">
        <v>4070</v>
      </c>
      <c r="G1250" s="29">
        <v>45228.0</v>
      </c>
      <c r="H1250" s="30">
        <v>45228.0</v>
      </c>
      <c r="I1250" s="30">
        <v>45593.0</v>
      </c>
      <c r="J1250" s="31" t="s">
        <v>3716</v>
      </c>
      <c r="K1250" s="26" t="s">
        <v>931</v>
      </c>
      <c r="L1250" s="89">
        <v>45238.0</v>
      </c>
      <c r="M1250" s="33">
        <v>18941.92</v>
      </c>
      <c r="N1250" s="34">
        <v>20410.0</v>
      </c>
      <c r="O1250" s="27" t="s">
        <v>76</v>
      </c>
      <c r="P1250" s="35" t="s">
        <v>142</v>
      </c>
      <c r="Q1250" s="35" t="s">
        <v>108</v>
      </c>
      <c r="R1250" s="36">
        <v>45238.0</v>
      </c>
      <c r="S1250" s="35" t="s">
        <v>86</v>
      </c>
      <c r="T1250" s="35">
        <v>0.0</v>
      </c>
      <c r="U1250" s="37" t="s">
        <v>115</v>
      </c>
      <c r="V1250" s="38">
        <v>785000.0</v>
      </c>
      <c r="W1250" s="78">
        <v>979525.0</v>
      </c>
      <c r="X1250" s="27"/>
      <c r="Y1250" s="79" t="s">
        <v>4071</v>
      </c>
      <c r="Z1250" s="39"/>
      <c r="AA1250" s="39"/>
      <c r="AB1250" s="27"/>
      <c r="AC1250" s="27">
        <f t="shared" ref="AC1250:AC1271" si="999">M1250*AB1250</f>
        <v>0</v>
      </c>
      <c r="AD1250" s="41">
        <f t="shared" si="994"/>
        <v>2841.288</v>
      </c>
      <c r="AE1250" s="42">
        <v>400.0</v>
      </c>
      <c r="AF1250" s="27" t="s">
        <v>3296</v>
      </c>
      <c r="AG1250" s="43">
        <f t="shared" si="995"/>
        <v>4498.706</v>
      </c>
      <c r="AH1250" s="29">
        <v>45149.0</v>
      </c>
      <c r="AI1250" s="29" t="s">
        <v>4068</v>
      </c>
      <c r="AJ1250" s="29"/>
      <c r="AK1250" s="29" t="s">
        <v>4068</v>
      </c>
      <c r="AL1250" s="27"/>
      <c r="AM1250" s="44"/>
      <c r="AN1250" s="47"/>
      <c r="AO1250" s="46"/>
      <c r="AP1250" s="47"/>
      <c r="AQ1250" s="43">
        <f t="shared" si="997"/>
        <v>4735.48</v>
      </c>
      <c r="AR1250" s="43">
        <f t="shared" si="448"/>
        <v>236.774</v>
      </c>
      <c r="AS1250" s="43">
        <f t="shared" si="449"/>
        <v>828.709</v>
      </c>
      <c r="AT1250" s="48">
        <f t="shared" si="753"/>
        <v>3669.997</v>
      </c>
      <c r="AU1250" s="49">
        <f t="shared" si="921"/>
        <v>3669.997</v>
      </c>
      <c r="AV1250" s="48"/>
      <c r="AW1250" s="34">
        <f t="shared" ref="AW1250:AW1470" si="1000">N1250-AD1250-AE1250-AC1250</f>
        <v>17168.712</v>
      </c>
      <c r="AX1250" s="50">
        <f t="shared" si="811"/>
        <v>428.709</v>
      </c>
      <c r="AY1250" s="43"/>
      <c r="AZ1250" s="47"/>
      <c r="BA1250" s="48">
        <f t="shared" si="922"/>
        <v>3669.997</v>
      </c>
      <c r="BB1250" s="27"/>
      <c r="BC1250" s="27"/>
      <c r="BD1250" s="51"/>
      <c r="BE1250" s="52"/>
      <c r="BF1250" s="27"/>
      <c r="BG1250" s="53">
        <v>0.0</v>
      </c>
      <c r="BH1250" s="53" t="str">
        <f t="shared" si="998"/>
        <v>#REF!</v>
      </c>
      <c r="BI1250" s="27"/>
      <c r="BJ1250" s="27"/>
      <c r="BK1250" s="27" t="s">
        <v>76</v>
      </c>
      <c r="BL1250" s="27"/>
    </row>
    <row r="1251" ht="14.25" customHeight="1">
      <c r="A1251" s="26" t="s">
        <v>111</v>
      </c>
      <c r="B1251" s="26" t="s">
        <v>56</v>
      </c>
      <c r="C1251" s="26" t="s">
        <v>57</v>
      </c>
      <c r="D1251" s="26" t="s">
        <v>58</v>
      </c>
      <c r="E1251" s="27" t="s">
        <v>4072</v>
      </c>
      <c r="F1251" s="28" t="s">
        <v>4073</v>
      </c>
      <c r="G1251" s="29">
        <v>45228.0</v>
      </c>
      <c r="H1251" s="30">
        <v>45228.0</v>
      </c>
      <c r="I1251" s="30">
        <v>45593.0</v>
      </c>
      <c r="J1251" s="31">
        <v>0.0</v>
      </c>
      <c r="K1251" s="26" t="s">
        <v>931</v>
      </c>
      <c r="L1251" s="32" t="s">
        <v>4074</v>
      </c>
      <c r="M1251" s="33">
        <v>3565.98</v>
      </c>
      <c r="N1251" s="34">
        <v>3850.0</v>
      </c>
      <c r="O1251" s="27" t="s">
        <v>76</v>
      </c>
      <c r="P1251" s="35" t="s">
        <v>89</v>
      </c>
      <c r="Q1251" s="35">
        <v>0.0</v>
      </c>
      <c r="R1251" s="36">
        <v>45237.0</v>
      </c>
      <c r="S1251" s="35" t="s">
        <v>848</v>
      </c>
      <c r="T1251" s="35">
        <v>0.0</v>
      </c>
      <c r="U1251" s="37" t="s">
        <v>149</v>
      </c>
      <c r="V1251" s="38">
        <v>870000.0</v>
      </c>
      <c r="W1251" s="78"/>
      <c r="X1251" s="27"/>
      <c r="Y1251" s="39"/>
      <c r="Z1251" s="39"/>
      <c r="AA1251" s="39"/>
      <c r="AB1251" s="27"/>
      <c r="AC1251" s="27">
        <f t="shared" si="999"/>
        <v>0</v>
      </c>
      <c r="AD1251" s="41">
        <f t="shared" si="994"/>
        <v>0</v>
      </c>
      <c r="AE1251" s="42"/>
      <c r="AF1251" s="27"/>
      <c r="AG1251" s="43">
        <f>IF(O1251="Paid",IF(A1251="Alwataniya",(M1251*21%)-((M1251*21%)*5%),IF((A1251="GIG"),(M1251*15%)-((M1251*15%)*5%),IF((A1251="Allianz"),(M1251*27%)-((M1251*27%)*5%),0))),0)</f>
        <v>508.15215</v>
      </c>
      <c r="AH1251" s="29">
        <v>44937.0</v>
      </c>
      <c r="AI1251" s="182">
        <v>45300.0</v>
      </c>
      <c r="AJ1251" s="29"/>
      <c r="AK1251" s="29">
        <v>45300.0</v>
      </c>
      <c r="AL1251" s="27"/>
      <c r="AM1251" s="44"/>
      <c r="AN1251" s="47"/>
      <c r="AO1251" s="46"/>
      <c r="AP1251" s="47"/>
      <c r="AQ1251" s="43">
        <f t="shared" si="997"/>
        <v>534.897</v>
      </c>
      <c r="AR1251" s="43">
        <f t="shared" si="448"/>
        <v>26.74485</v>
      </c>
      <c r="AS1251" s="43">
        <f t="shared" si="449"/>
        <v>93.606975</v>
      </c>
      <c r="AT1251" s="48">
        <f t="shared" si="753"/>
        <v>414.545175</v>
      </c>
      <c r="AU1251" s="49">
        <f t="shared" si="921"/>
        <v>414.545175</v>
      </c>
      <c r="AV1251" s="48"/>
      <c r="AW1251" s="34">
        <f t="shared" si="1000"/>
        <v>3850</v>
      </c>
      <c r="AX1251" s="50">
        <f t="shared" si="811"/>
        <v>414.545175</v>
      </c>
      <c r="AY1251" s="43"/>
      <c r="AZ1251" s="47"/>
      <c r="BA1251" s="48">
        <f t="shared" si="922"/>
        <v>414.545175</v>
      </c>
      <c r="BB1251" s="27"/>
      <c r="BC1251" s="27"/>
      <c r="BD1251" s="51"/>
      <c r="BE1251" s="52"/>
      <c r="BF1251" s="27"/>
      <c r="BG1251" s="53">
        <v>0.0</v>
      </c>
      <c r="BH1251" s="53" t="str">
        <f>'[1]2023'!Q1534</f>
        <v>#REF!</v>
      </c>
      <c r="BI1251" s="27"/>
      <c r="BJ1251" s="27"/>
      <c r="BK1251" s="27" t="s">
        <v>76</v>
      </c>
      <c r="BL1251" s="27"/>
    </row>
    <row r="1252" ht="14.25" customHeight="1">
      <c r="A1252" s="26" t="s">
        <v>55</v>
      </c>
      <c r="B1252" s="26" t="s">
        <v>56</v>
      </c>
      <c r="C1252" s="26" t="s">
        <v>57</v>
      </c>
      <c r="D1252" s="26" t="s">
        <v>71</v>
      </c>
      <c r="E1252" s="27" t="s">
        <v>4075</v>
      </c>
      <c r="F1252" s="28" t="s">
        <v>4076</v>
      </c>
      <c r="G1252" s="29">
        <v>45228.0</v>
      </c>
      <c r="H1252" s="30">
        <v>45228.0</v>
      </c>
      <c r="I1252" s="30">
        <v>45593.0</v>
      </c>
      <c r="J1252" s="31" t="s">
        <v>4077</v>
      </c>
      <c r="K1252" s="26" t="s">
        <v>931</v>
      </c>
      <c r="L1252" s="89">
        <v>45253.0</v>
      </c>
      <c r="M1252" s="33">
        <v>103250.0</v>
      </c>
      <c r="N1252" s="34">
        <v>109999.0</v>
      </c>
      <c r="O1252" s="27" t="s">
        <v>76</v>
      </c>
      <c r="P1252" s="35" t="s">
        <v>89</v>
      </c>
      <c r="Q1252" s="35" t="s">
        <v>65</v>
      </c>
      <c r="R1252" s="36">
        <v>45228.0</v>
      </c>
      <c r="S1252" s="35" t="s">
        <v>66</v>
      </c>
      <c r="T1252" s="35">
        <v>0.0</v>
      </c>
      <c r="U1252" s="37" t="s">
        <v>67</v>
      </c>
      <c r="V1252" s="38">
        <v>3500000.0</v>
      </c>
      <c r="W1252" s="78" t="s">
        <v>4078</v>
      </c>
      <c r="X1252" s="27">
        <v>2023.0</v>
      </c>
      <c r="Y1252" s="79" t="s">
        <v>1701</v>
      </c>
      <c r="Z1252" s="39"/>
      <c r="AA1252" s="39"/>
      <c r="AB1252" s="27"/>
      <c r="AC1252" s="27">
        <f t="shared" si="999"/>
        <v>0</v>
      </c>
      <c r="AD1252" s="41">
        <f t="shared" si="994"/>
        <v>0</v>
      </c>
      <c r="AE1252" s="42"/>
      <c r="AF1252" s="27"/>
      <c r="AG1252" s="43">
        <f>IF(O1252="Paid",IF(A1252="Wethaq",(M1252*28%)-((M1252*28%)*5%),IF((A1252="GIG"),(M1252*25%)-((M1252*25%)*5%),IF((A1252="Allianz"),(M1252*27%)-((M1252*27%)*5%),0))),0)</f>
        <v>26483.625</v>
      </c>
      <c r="AH1252" s="29"/>
      <c r="AI1252" s="29"/>
      <c r="AJ1252" s="29"/>
      <c r="AK1252" s="29"/>
      <c r="AL1252" s="27"/>
      <c r="AM1252" s="140">
        <f>AU1252*30%</f>
        <v>6481.51875</v>
      </c>
      <c r="AN1252" s="71">
        <v>45654.0</v>
      </c>
      <c r="AO1252" s="46"/>
      <c r="AP1252" s="47"/>
      <c r="AQ1252" s="43">
        <f t="shared" si="997"/>
        <v>27877.5</v>
      </c>
      <c r="AR1252" s="43">
        <f t="shared" si="448"/>
        <v>1393.875</v>
      </c>
      <c r="AS1252" s="43">
        <f t="shared" si="449"/>
        <v>4878.5625</v>
      </c>
      <c r="AT1252" s="48">
        <f t="shared" si="753"/>
        <v>21605.0625</v>
      </c>
      <c r="AU1252" s="49">
        <f t="shared" si="921"/>
        <v>21605.0625</v>
      </c>
      <c r="AV1252" s="48"/>
      <c r="AW1252" s="34">
        <f t="shared" si="1000"/>
        <v>109999</v>
      </c>
      <c r="AX1252" s="50">
        <f t="shared" si="811"/>
        <v>15123.54375</v>
      </c>
      <c r="AY1252" s="43"/>
      <c r="AZ1252" s="47"/>
      <c r="BA1252" s="48">
        <f t="shared" si="922"/>
        <v>15123.54375</v>
      </c>
      <c r="BB1252" s="27"/>
      <c r="BC1252" s="27"/>
      <c r="BD1252" s="51"/>
      <c r="BE1252" s="52"/>
      <c r="BF1252" s="27"/>
      <c r="BG1252" s="53">
        <v>0.0</v>
      </c>
      <c r="BH1252" s="53" t="str">
        <f>'[1]2023'!Q1541</f>
        <v>#REF!</v>
      </c>
      <c r="BI1252" s="27"/>
      <c r="BJ1252" s="27"/>
      <c r="BK1252" s="27" t="s">
        <v>76</v>
      </c>
      <c r="BL1252" s="27"/>
    </row>
    <row r="1253" ht="14.25" customHeight="1">
      <c r="A1253" s="26" t="s">
        <v>1634</v>
      </c>
      <c r="B1253" s="26" t="s">
        <v>69</v>
      </c>
      <c r="C1253" s="26" t="s">
        <v>70</v>
      </c>
      <c r="D1253" s="26" t="s">
        <v>58</v>
      </c>
      <c r="E1253" s="27" t="s">
        <v>4079</v>
      </c>
      <c r="F1253" s="26" t="s">
        <v>4080</v>
      </c>
      <c r="G1253" s="29">
        <v>45228.0</v>
      </c>
      <c r="H1253" s="30">
        <v>45228.0</v>
      </c>
      <c r="I1253" s="30">
        <v>45593.0</v>
      </c>
      <c r="J1253" s="31">
        <v>0.0</v>
      </c>
      <c r="K1253" s="26" t="s">
        <v>931</v>
      </c>
      <c r="L1253" s="89">
        <v>45260.0</v>
      </c>
      <c r="M1253" s="33">
        <v>470.0</v>
      </c>
      <c r="N1253" s="34">
        <v>536.0</v>
      </c>
      <c r="O1253" s="27" t="s">
        <v>76</v>
      </c>
      <c r="P1253" s="35" t="s">
        <v>162</v>
      </c>
      <c r="Q1253" s="35">
        <v>0.0</v>
      </c>
      <c r="R1253" s="36">
        <v>45228.0</v>
      </c>
      <c r="S1253" s="35" t="s">
        <v>78</v>
      </c>
      <c r="T1253" s="54" t="s">
        <v>79</v>
      </c>
      <c r="U1253" s="37" t="s">
        <v>69</v>
      </c>
      <c r="V1253" s="38"/>
      <c r="W1253" s="78"/>
      <c r="X1253" s="27"/>
      <c r="Y1253" s="39"/>
      <c r="Z1253" s="39"/>
      <c r="AA1253" s="39"/>
      <c r="AB1253" s="27"/>
      <c r="AC1253" s="27">
        <f t="shared" si="999"/>
        <v>0</v>
      </c>
      <c r="AD1253" s="41">
        <f t="shared" si="994"/>
        <v>0</v>
      </c>
      <c r="AE1253" s="42"/>
      <c r="AF1253" s="27"/>
      <c r="AG1253" s="43">
        <f t="shared" ref="AG1253:AG1256" si="1001">IF(O1253="Paid",IF(A1253="Wethaq",(M1253*28%)-((M1253*28%)*5%),IF((A1253="GIG"),(M1253*25%)-((M1253*25%)*5%),IF((A1253="Allianz"),(M1253*27%)-((M1253*27%)*20%),0))),0)</f>
        <v>0</v>
      </c>
      <c r="AH1253" s="29"/>
      <c r="AI1253" s="29"/>
      <c r="AJ1253" s="29"/>
      <c r="AK1253" s="29"/>
      <c r="AL1253" s="27"/>
      <c r="AM1253" s="44"/>
      <c r="AN1253" s="47"/>
      <c r="AO1253" s="149">
        <f>((AF1253*AJ1253)-((AF1253*AJ1253)*22.5%))*80%</f>
        <v>0</v>
      </c>
      <c r="AP1253" s="47"/>
      <c r="AQ1253" s="43">
        <f t="shared" si="997"/>
        <v>0</v>
      </c>
      <c r="AR1253" s="43">
        <f t="shared" si="448"/>
        <v>0</v>
      </c>
      <c r="AS1253" s="43">
        <f t="shared" si="449"/>
        <v>0</v>
      </c>
      <c r="AT1253" s="48">
        <f t="shared" si="753"/>
        <v>0</v>
      </c>
      <c r="AU1253" s="49">
        <f t="shared" si="921"/>
        <v>0</v>
      </c>
      <c r="AV1253" s="48"/>
      <c r="AW1253" s="34">
        <f t="shared" si="1000"/>
        <v>536</v>
      </c>
      <c r="AX1253" s="50">
        <f t="shared" si="811"/>
        <v>0</v>
      </c>
      <c r="AY1253" s="43"/>
      <c r="AZ1253" s="47"/>
      <c r="BA1253" s="48">
        <f t="shared" si="922"/>
        <v>0</v>
      </c>
      <c r="BB1253" s="27"/>
      <c r="BC1253" s="27"/>
      <c r="BD1253" s="51"/>
      <c r="BE1253" s="52"/>
      <c r="BF1253" s="27"/>
      <c r="BG1253" s="53">
        <v>0.0</v>
      </c>
      <c r="BH1253" s="53" t="str">
        <f>'[1]2023'!Q1562</f>
        <v>#REF!</v>
      </c>
      <c r="BI1253" s="27"/>
      <c r="BJ1253" s="27"/>
      <c r="BK1253" s="27" t="s">
        <v>76</v>
      </c>
      <c r="BL1253" s="27"/>
    </row>
    <row r="1254" ht="14.25" customHeight="1">
      <c r="A1254" s="26" t="s">
        <v>55</v>
      </c>
      <c r="B1254" s="26" t="s">
        <v>56</v>
      </c>
      <c r="C1254" s="26" t="s">
        <v>57</v>
      </c>
      <c r="D1254" s="26" t="s">
        <v>81</v>
      </c>
      <c r="E1254" s="27" t="s">
        <v>4081</v>
      </c>
      <c r="F1254" s="28" t="s">
        <v>4082</v>
      </c>
      <c r="G1254" s="182">
        <v>45228.0</v>
      </c>
      <c r="H1254" s="30">
        <v>45228.0</v>
      </c>
      <c r="I1254" s="30">
        <v>45593.0</v>
      </c>
      <c r="J1254" s="31" t="s">
        <v>4083</v>
      </c>
      <c r="K1254" s="26" t="s">
        <v>931</v>
      </c>
      <c r="L1254" s="183" t="s">
        <v>63</v>
      </c>
      <c r="M1254" s="33">
        <v>29942.5</v>
      </c>
      <c r="N1254" s="34">
        <v>31999.83</v>
      </c>
      <c r="O1254" s="27" t="s">
        <v>76</v>
      </c>
      <c r="P1254" s="35" t="s">
        <v>142</v>
      </c>
      <c r="Q1254" s="35" t="s">
        <v>90</v>
      </c>
      <c r="R1254" s="36">
        <v>45228.0</v>
      </c>
      <c r="S1254" s="35" t="s">
        <v>86</v>
      </c>
      <c r="T1254" s="35">
        <v>0.0</v>
      </c>
      <c r="U1254" s="37" t="s">
        <v>67</v>
      </c>
      <c r="V1254" s="219" t="s">
        <v>4084</v>
      </c>
      <c r="W1254" s="78">
        <v>5766.0</v>
      </c>
      <c r="X1254" s="27">
        <v>2022.0</v>
      </c>
      <c r="Y1254" s="79" t="s">
        <v>208</v>
      </c>
      <c r="Z1254" s="39"/>
      <c r="AA1254" s="39"/>
      <c r="AB1254" s="27"/>
      <c r="AC1254" s="27">
        <f t="shared" si="999"/>
        <v>0</v>
      </c>
      <c r="AD1254" s="41">
        <f t="shared" si="994"/>
        <v>4491.375</v>
      </c>
      <c r="AE1254" s="42"/>
      <c r="AF1254" s="205">
        <v>45266.0</v>
      </c>
      <c r="AG1254" s="43">
        <f t="shared" si="1001"/>
        <v>6467.58</v>
      </c>
      <c r="AH1254" s="29"/>
      <c r="AI1254" s="29"/>
      <c r="AJ1254" s="29"/>
      <c r="AK1254" s="29"/>
      <c r="AL1254" s="27"/>
      <c r="AM1254" s="44"/>
      <c r="AN1254" s="47"/>
      <c r="AO1254" s="46"/>
      <c r="AP1254" s="47"/>
      <c r="AQ1254" s="43">
        <f t="shared" si="997"/>
        <v>8084.475</v>
      </c>
      <c r="AR1254" s="43">
        <f t="shared" si="448"/>
        <v>404.22375</v>
      </c>
      <c r="AS1254" s="43">
        <f t="shared" si="449"/>
        <v>1414.783125</v>
      </c>
      <c r="AT1254" s="48">
        <f t="shared" si="753"/>
        <v>6265.468125</v>
      </c>
      <c r="AU1254" s="49">
        <f t="shared" si="921"/>
        <v>6265.468125</v>
      </c>
      <c r="AV1254" s="48"/>
      <c r="AW1254" s="34">
        <f t="shared" si="1000"/>
        <v>27508.455</v>
      </c>
      <c r="AX1254" s="50">
        <f t="shared" si="811"/>
        <v>561.421875</v>
      </c>
      <c r="AY1254" s="43"/>
      <c r="AZ1254" s="47"/>
      <c r="BA1254" s="48">
        <f t="shared" si="922"/>
        <v>6265.468125</v>
      </c>
      <c r="BB1254" s="27"/>
      <c r="BC1254" s="27"/>
      <c r="BD1254" s="51"/>
      <c r="BE1254" s="52"/>
      <c r="BF1254" s="27"/>
      <c r="BG1254" s="53">
        <v>0.0</v>
      </c>
      <c r="BH1254" s="53" t="str">
        <f t="shared" ref="BH1254:BH1255" si="1002">'[1]2023'!Q1609</f>
        <v>#REF!</v>
      </c>
      <c r="BI1254" s="27"/>
      <c r="BJ1254" s="27"/>
      <c r="BK1254" s="27" t="s">
        <v>76</v>
      </c>
      <c r="BL1254" s="27"/>
    </row>
    <row r="1255" ht="14.25" customHeight="1">
      <c r="A1255" s="26" t="s">
        <v>55</v>
      </c>
      <c r="B1255" s="26" t="s">
        <v>56</v>
      </c>
      <c r="C1255" s="26" t="s">
        <v>57</v>
      </c>
      <c r="D1255" s="26" t="s">
        <v>81</v>
      </c>
      <c r="E1255" s="27" t="s">
        <v>4085</v>
      </c>
      <c r="F1255" s="28" t="s">
        <v>4086</v>
      </c>
      <c r="G1255" s="182">
        <v>45228.0</v>
      </c>
      <c r="H1255" s="30">
        <v>45228.0</v>
      </c>
      <c r="I1255" s="30">
        <v>45593.0</v>
      </c>
      <c r="J1255" s="31" t="s">
        <v>4087</v>
      </c>
      <c r="K1255" s="26" t="s">
        <v>931</v>
      </c>
      <c r="L1255" s="183" t="s">
        <v>63</v>
      </c>
      <c r="M1255" s="33">
        <v>30975.0</v>
      </c>
      <c r="N1255" s="34">
        <v>33098.41</v>
      </c>
      <c r="O1255" s="27" t="s">
        <v>76</v>
      </c>
      <c r="P1255" s="35" t="s">
        <v>142</v>
      </c>
      <c r="Q1255" s="35" t="s">
        <v>90</v>
      </c>
      <c r="R1255" s="36">
        <v>45228.0</v>
      </c>
      <c r="S1255" s="35" t="s">
        <v>86</v>
      </c>
      <c r="T1255" s="35">
        <v>0.0</v>
      </c>
      <c r="U1255" s="37" t="s">
        <v>67</v>
      </c>
      <c r="V1255" s="38">
        <v>1500000.0</v>
      </c>
      <c r="W1255" s="78">
        <v>4947.0</v>
      </c>
      <c r="X1255" s="27">
        <v>2022.0</v>
      </c>
      <c r="Y1255" s="79" t="s">
        <v>208</v>
      </c>
      <c r="Z1255" s="39"/>
      <c r="AA1255" s="39"/>
      <c r="AB1255" s="27"/>
      <c r="AC1255" s="27">
        <f t="shared" si="999"/>
        <v>0</v>
      </c>
      <c r="AD1255" s="41">
        <f t="shared" si="994"/>
        <v>4646.25</v>
      </c>
      <c r="AE1255" s="42"/>
      <c r="AF1255" s="205">
        <v>45266.0</v>
      </c>
      <c r="AG1255" s="43">
        <f t="shared" si="1001"/>
        <v>6690.6</v>
      </c>
      <c r="AH1255" s="29"/>
      <c r="AI1255" s="29"/>
      <c r="AJ1255" s="29"/>
      <c r="AK1255" s="29"/>
      <c r="AL1255" s="27"/>
      <c r="AM1255" s="44"/>
      <c r="AN1255" s="47"/>
      <c r="AO1255" s="46"/>
      <c r="AP1255" s="47"/>
      <c r="AQ1255" s="43">
        <f t="shared" si="997"/>
        <v>8363.25</v>
      </c>
      <c r="AR1255" s="43">
        <f t="shared" si="448"/>
        <v>418.1625</v>
      </c>
      <c r="AS1255" s="43">
        <f t="shared" si="449"/>
        <v>1463.56875</v>
      </c>
      <c r="AT1255" s="48">
        <f t="shared" si="753"/>
        <v>6481.51875</v>
      </c>
      <c r="AU1255" s="49">
        <f t="shared" si="921"/>
        <v>6481.51875</v>
      </c>
      <c r="AV1255" s="48"/>
      <c r="AW1255" s="34">
        <f t="shared" si="1000"/>
        <v>28452.16</v>
      </c>
      <c r="AX1255" s="50">
        <f t="shared" si="811"/>
        <v>580.78125</v>
      </c>
      <c r="AY1255" s="43"/>
      <c r="AZ1255" s="47"/>
      <c r="BA1255" s="48">
        <f t="shared" si="922"/>
        <v>6481.51875</v>
      </c>
      <c r="BB1255" s="27"/>
      <c r="BC1255" s="27"/>
      <c r="BD1255" s="51"/>
      <c r="BE1255" s="52"/>
      <c r="BF1255" s="27"/>
      <c r="BG1255" s="53">
        <v>0.0</v>
      </c>
      <c r="BH1255" s="53" t="str">
        <f t="shared" si="1002"/>
        <v>#REF!</v>
      </c>
      <c r="BI1255" s="27"/>
      <c r="BJ1255" s="27"/>
      <c r="BK1255" s="27" t="s">
        <v>76</v>
      </c>
      <c r="BL1255" s="27"/>
    </row>
    <row r="1256" ht="14.25" customHeight="1">
      <c r="A1256" s="26" t="s">
        <v>55</v>
      </c>
      <c r="B1256" s="26" t="s">
        <v>56</v>
      </c>
      <c r="C1256" s="26" t="s">
        <v>57</v>
      </c>
      <c r="D1256" s="26" t="s">
        <v>81</v>
      </c>
      <c r="E1256" s="27" t="s">
        <v>4088</v>
      </c>
      <c r="F1256" s="26" t="s">
        <v>4089</v>
      </c>
      <c r="G1256" s="29">
        <v>45228.0</v>
      </c>
      <c r="H1256" s="30">
        <v>45228.0</v>
      </c>
      <c r="I1256" s="30">
        <v>45593.0</v>
      </c>
      <c r="J1256" s="31">
        <v>0.0</v>
      </c>
      <c r="K1256" s="26" t="s">
        <v>3541</v>
      </c>
      <c r="L1256" s="32"/>
      <c r="M1256" s="33"/>
      <c r="N1256" s="34"/>
      <c r="O1256" s="27" t="s">
        <v>64</v>
      </c>
      <c r="P1256" s="35">
        <v>0.0</v>
      </c>
      <c r="Q1256" s="35">
        <v>0.0</v>
      </c>
      <c r="R1256" s="36">
        <v>45228.0</v>
      </c>
      <c r="S1256" s="35" t="s">
        <v>86</v>
      </c>
      <c r="T1256" s="35">
        <v>0.0</v>
      </c>
      <c r="U1256" s="37">
        <v>0.0</v>
      </c>
      <c r="V1256" s="38"/>
      <c r="W1256" s="78"/>
      <c r="X1256" s="27"/>
      <c r="Y1256" s="39"/>
      <c r="Z1256" s="39"/>
      <c r="AA1256" s="39"/>
      <c r="AB1256" s="27"/>
      <c r="AC1256" s="27">
        <f t="shared" si="999"/>
        <v>0</v>
      </c>
      <c r="AD1256" s="41">
        <f t="shared" si="994"/>
        <v>0</v>
      </c>
      <c r="AE1256" s="42"/>
      <c r="AF1256" s="27"/>
      <c r="AG1256" s="43">
        <f t="shared" si="1001"/>
        <v>0</v>
      </c>
      <c r="AH1256" s="29"/>
      <c r="AI1256" s="29"/>
      <c r="AJ1256" s="29"/>
      <c r="AK1256" s="29"/>
      <c r="AL1256" s="27"/>
      <c r="AM1256" s="44"/>
      <c r="AN1256" s="47"/>
      <c r="AO1256" s="46"/>
      <c r="AP1256" s="47"/>
      <c r="AQ1256" s="43" t="b">
        <f t="shared" si="997"/>
        <v>0</v>
      </c>
      <c r="AR1256" s="43">
        <f t="shared" si="448"/>
        <v>0</v>
      </c>
      <c r="AS1256" s="43">
        <f t="shared" si="449"/>
        <v>0</v>
      </c>
      <c r="AT1256" s="48">
        <f t="shared" si="753"/>
        <v>0</v>
      </c>
      <c r="AU1256" s="49">
        <f t="shared" si="921"/>
        <v>0</v>
      </c>
      <c r="AV1256" s="48"/>
      <c r="AW1256" s="34">
        <f t="shared" si="1000"/>
        <v>0</v>
      </c>
      <c r="AX1256" s="50">
        <f t="shared" si="811"/>
        <v>0</v>
      </c>
      <c r="AY1256" s="43"/>
      <c r="AZ1256" s="47"/>
      <c r="BA1256" s="48">
        <f t="shared" si="922"/>
        <v>0</v>
      </c>
      <c r="BB1256" s="27"/>
      <c r="BC1256" s="27"/>
      <c r="BD1256" s="51"/>
      <c r="BE1256" s="52"/>
      <c r="BF1256" s="27"/>
      <c r="BG1256" s="53">
        <v>0.0</v>
      </c>
      <c r="BH1256" s="53" t="str">
        <f>'[1]2023'!Q1672</f>
        <v>#REF!</v>
      </c>
      <c r="BI1256" s="27"/>
      <c r="BJ1256" s="27"/>
      <c r="BK1256" s="27" t="s">
        <v>64</v>
      </c>
      <c r="BL1256" s="27"/>
    </row>
    <row r="1257" ht="14.25" customHeight="1">
      <c r="A1257" s="26" t="s">
        <v>55</v>
      </c>
      <c r="B1257" s="26" t="s">
        <v>56</v>
      </c>
      <c r="C1257" s="26" t="s">
        <v>57</v>
      </c>
      <c r="D1257" s="26" t="s">
        <v>81</v>
      </c>
      <c r="E1257" s="27" t="s">
        <v>4090</v>
      </c>
      <c r="F1257" s="28" t="s">
        <v>4091</v>
      </c>
      <c r="G1257" s="29">
        <v>45229.0</v>
      </c>
      <c r="H1257" s="30">
        <v>45229.0</v>
      </c>
      <c r="I1257" s="30">
        <v>45594.0</v>
      </c>
      <c r="J1257" s="31" t="s">
        <v>4092</v>
      </c>
      <c r="K1257" s="26" t="s">
        <v>931</v>
      </c>
      <c r="L1257" s="89">
        <v>45242.0</v>
      </c>
      <c r="M1257" s="33">
        <v>13452.0</v>
      </c>
      <c r="N1257" s="34">
        <v>14453.92</v>
      </c>
      <c r="O1257" s="27" t="s">
        <v>76</v>
      </c>
      <c r="P1257" s="35" t="s">
        <v>89</v>
      </c>
      <c r="Q1257" s="35">
        <v>0.0</v>
      </c>
      <c r="R1257" s="36">
        <v>45229.0</v>
      </c>
      <c r="S1257" s="35" t="s">
        <v>86</v>
      </c>
      <c r="T1257" s="35">
        <v>0.0</v>
      </c>
      <c r="U1257" s="37" t="s">
        <v>67</v>
      </c>
      <c r="V1257" s="38">
        <v>800000.0</v>
      </c>
      <c r="W1257" s="78">
        <v>2829.0</v>
      </c>
      <c r="X1257" s="27">
        <v>2018.0</v>
      </c>
      <c r="Y1257" s="79" t="s">
        <v>232</v>
      </c>
      <c r="Z1257" s="39"/>
      <c r="AA1257" s="39"/>
      <c r="AB1257" s="27"/>
      <c r="AC1257" s="27">
        <f t="shared" si="999"/>
        <v>0</v>
      </c>
      <c r="AD1257" s="41">
        <f t="shared" si="994"/>
        <v>2017.8</v>
      </c>
      <c r="AE1257" s="42"/>
      <c r="AF1257" s="27"/>
      <c r="AG1257" s="43">
        <f t="shared" ref="AG1257:AG1259" si="1003">IF(O1257="Paid",IF(A1257="Alwataniya",(M1257*21%)-((M1257*21%)*5%),IF((A1257="GIG"),(M1257*25%)-((M1257*25%)*5%),IF((A1257="Allianz"),(M1257*27%)-((M1257*27%)*5%),0))),0)</f>
        <v>3450.438</v>
      </c>
      <c r="AH1257" s="29"/>
      <c r="AI1257" s="29"/>
      <c r="AJ1257" s="29"/>
      <c r="AK1257" s="29"/>
      <c r="AL1257" s="27"/>
      <c r="AM1257" s="44"/>
      <c r="AN1257" s="47"/>
      <c r="AO1257" s="46"/>
      <c r="AP1257" s="47"/>
      <c r="AQ1257" s="43">
        <f t="shared" si="997"/>
        <v>3632.04</v>
      </c>
      <c r="AR1257" s="43">
        <f t="shared" si="448"/>
        <v>181.602</v>
      </c>
      <c r="AS1257" s="43">
        <f t="shared" si="449"/>
        <v>635.607</v>
      </c>
      <c r="AT1257" s="48">
        <f t="shared" si="753"/>
        <v>2814.831</v>
      </c>
      <c r="AU1257" s="49">
        <f t="shared" si="921"/>
        <v>2814.831</v>
      </c>
      <c r="AV1257" s="48"/>
      <c r="AW1257" s="34">
        <f t="shared" si="1000"/>
        <v>12436.12</v>
      </c>
      <c r="AX1257" s="50">
        <f t="shared" si="811"/>
        <v>797.031</v>
      </c>
      <c r="AY1257" s="43"/>
      <c r="AZ1257" s="47"/>
      <c r="BA1257" s="48">
        <f t="shared" si="922"/>
        <v>2814.831</v>
      </c>
      <c r="BB1257" s="27"/>
      <c r="BC1257" s="27"/>
      <c r="BD1257" s="51"/>
      <c r="BE1257" s="52"/>
      <c r="BF1257" s="27"/>
      <c r="BG1257" s="53">
        <v>0.0</v>
      </c>
      <c r="BH1257" s="53" t="str">
        <f>'[1]2023'!Q1458</f>
        <v>#REF!</v>
      </c>
      <c r="BI1257" s="27"/>
      <c r="BJ1257" s="27"/>
      <c r="BK1257" s="27" t="s">
        <v>76</v>
      </c>
      <c r="BL1257" s="27"/>
    </row>
    <row r="1258" ht="14.25" customHeight="1">
      <c r="A1258" s="26" t="s">
        <v>55</v>
      </c>
      <c r="B1258" s="26" t="s">
        <v>56</v>
      </c>
      <c r="C1258" s="26" t="s">
        <v>57</v>
      </c>
      <c r="D1258" s="26" t="s">
        <v>81</v>
      </c>
      <c r="E1258" s="27" t="s">
        <v>4093</v>
      </c>
      <c r="F1258" s="28" t="s">
        <v>4094</v>
      </c>
      <c r="G1258" s="29">
        <v>45229.0</v>
      </c>
      <c r="H1258" s="30">
        <v>45229.0</v>
      </c>
      <c r="I1258" s="30">
        <v>45594.0</v>
      </c>
      <c r="J1258" s="31" t="s">
        <v>4095</v>
      </c>
      <c r="K1258" s="26" t="s">
        <v>931</v>
      </c>
      <c r="L1258" s="32" t="s">
        <v>2981</v>
      </c>
      <c r="M1258" s="33">
        <v>16312.5</v>
      </c>
      <c r="N1258" s="34">
        <v>17497.51</v>
      </c>
      <c r="O1258" s="27" t="s">
        <v>76</v>
      </c>
      <c r="P1258" s="35" t="s">
        <v>122</v>
      </c>
      <c r="Q1258" s="35">
        <v>0.0</v>
      </c>
      <c r="R1258" s="36">
        <v>45229.0</v>
      </c>
      <c r="S1258" s="35" t="s">
        <v>86</v>
      </c>
      <c r="T1258" s="35">
        <v>0.0</v>
      </c>
      <c r="U1258" s="37" t="s">
        <v>67</v>
      </c>
      <c r="V1258" s="38">
        <v>725000.0</v>
      </c>
      <c r="W1258" s="78">
        <v>15221.0</v>
      </c>
      <c r="X1258" s="27">
        <v>2019.0</v>
      </c>
      <c r="Y1258" s="79" t="s">
        <v>2375</v>
      </c>
      <c r="Z1258" s="39"/>
      <c r="AA1258" s="39"/>
      <c r="AB1258" s="27"/>
      <c r="AC1258" s="27">
        <f t="shared" si="999"/>
        <v>0</v>
      </c>
      <c r="AD1258" s="41">
        <f t="shared" si="994"/>
        <v>2446.875</v>
      </c>
      <c r="AE1258" s="42"/>
      <c r="AF1258" s="27"/>
      <c r="AG1258" s="43">
        <f t="shared" si="1003"/>
        <v>4184.15625</v>
      </c>
      <c r="AH1258" s="29"/>
      <c r="AI1258" s="29"/>
      <c r="AJ1258" s="29"/>
      <c r="AK1258" s="29"/>
      <c r="AL1258" s="27"/>
      <c r="AM1258" s="44"/>
      <c r="AN1258" s="47"/>
      <c r="AO1258" s="46"/>
      <c r="AP1258" s="47"/>
      <c r="AQ1258" s="43">
        <f t="shared" si="997"/>
        <v>4404.375</v>
      </c>
      <c r="AR1258" s="43">
        <f t="shared" si="448"/>
        <v>220.21875</v>
      </c>
      <c r="AS1258" s="43">
        <f t="shared" si="449"/>
        <v>770.765625</v>
      </c>
      <c r="AT1258" s="48">
        <f t="shared" si="753"/>
        <v>3413.390625</v>
      </c>
      <c r="AU1258" s="49">
        <f t="shared" si="921"/>
        <v>3413.390625</v>
      </c>
      <c r="AV1258" s="48"/>
      <c r="AW1258" s="34">
        <f t="shared" si="1000"/>
        <v>15050.635</v>
      </c>
      <c r="AX1258" s="50">
        <f t="shared" si="811"/>
        <v>966.515625</v>
      </c>
      <c r="AY1258" s="43"/>
      <c r="AZ1258" s="47"/>
      <c r="BA1258" s="48">
        <f t="shared" si="922"/>
        <v>3413.390625</v>
      </c>
      <c r="BB1258" s="27"/>
      <c r="BC1258" s="27"/>
      <c r="BD1258" s="51"/>
      <c r="BE1258" s="52"/>
      <c r="BF1258" s="27"/>
      <c r="BG1258" s="53">
        <v>0.0</v>
      </c>
      <c r="BH1258" s="53" t="str">
        <f>'[1]2023'!Q1512</f>
        <v>#REF!</v>
      </c>
      <c r="BI1258" s="27"/>
      <c r="BJ1258" s="27"/>
      <c r="BK1258" s="27" t="s">
        <v>76</v>
      </c>
      <c r="BL1258" s="27"/>
    </row>
    <row r="1259" ht="14.25" customHeight="1">
      <c r="A1259" s="26" t="s">
        <v>111</v>
      </c>
      <c r="B1259" s="26" t="s">
        <v>56</v>
      </c>
      <c r="C1259" s="26" t="s">
        <v>57</v>
      </c>
      <c r="D1259" s="26" t="s">
        <v>71</v>
      </c>
      <c r="E1259" s="27" t="s">
        <v>4096</v>
      </c>
      <c r="F1259" s="28" t="s">
        <v>4097</v>
      </c>
      <c r="G1259" s="29">
        <v>45229.0</v>
      </c>
      <c r="H1259" s="30">
        <v>45229.0</v>
      </c>
      <c r="I1259" s="30">
        <v>45594.0</v>
      </c>
      <c r="J1259" s="31" t="s">
        <v>4098</v>
      </c>
      <c r="K1259" s="26" t="s">
        <v>931</v>
      </c>
      <c r="L1259" s="89">
        <v>45237.0</v>
      </c>
      <c r="M1259" s="33">
        <v>31526.5</v>
      </c>
      <c r="N1259" s="34">
        <v>33800.0</v>
      </c>
      <c r="O1259" s="27" t="s">
        <v>76</v>
      </c>
      <c r="P1259" s="35" t="s">
        <v>89</v>
      </c>
      <c r="Q1259" s="35" t="s">
        <v>114</v>
      </c>
      <c r="R1259" s="36">
        <v>45238.0</v>
      </c>
      <c r="S1259" s="35" t="s">
        <v>78</v>
      </c>
      <c r="T1259" s="54" t="s">
        <v>510</v>
      </c>
      <c r="U1259" s="37" t="s">
        <v>115</v>
      </c>
      <c r="V1259" s="38">
        <v>1300000.0</v>
      </c>
      <c r="W1259" s="78">
        <v>164178.0</v>
      </c>
      <c r="X1259" s="27"/>
      <c r="Y1259" s="79" t="s">
        <v>2931</v>
      </c>
      <c r="Z1259" s="39"/>
      <c r="AA1259" s="39"/>
      <c r="AB1259" s="27"/>
      <c r="AC1259" s="27">
        <f t="shared" si="999"/>
        <v>0</v>
      </c>
      <c r="AD1259" s="41">
        <f t="shared" si="994"/>
        <v>0</v>
      </c>
      <c r="AE1259" s="42"/>
      <c r="AF1259" s="27"/>
      <c r="AG1259" s="43">
        <f t="shared" si="1003"/>
        <v>7487.54375</v>
      </c>
      <c r="AH1259" s="29">
        <v>45149.0</v>
      </c>
      <c r="AI1259" s="29" t="s">
        <v>4068</v>
      </c>
      <c r="AJ1259" s="40">
        <v>0.25</v>
      </c>
      <c r="AK1259" s="29" t="s">
        <v>4068</v>
      </c>
      <c r="AL1259" s="27"/>
      <c r="AM1259" s="44"/>
      <c r="AN1259" s="47"/>
      <c r="AO1259" s="95">
        <f>M1259*AJ1259-((M1259*AJ1259)*22.5%)</f>
        <v>6108.259375</v>
      </c>
      <c r="AP1259" s="47" t="s">
        <v>2972</v>
      </c>
      <c r="AQ1259" s="43">
        <f t="shared" si="997"/>
        <v>7881.625</v>
      </c>
      <c r="AR1259" s="43">
        <f t="shared" si="448"/>
        <v>394.08125</v>
      </c>
      <c r="AS1259" s="43">
        <f t="shared" si="449"/>
        <v>1379.284375</v>
      </c>
      <c r="AT1259" s="48">
        <f t="shared" si="753"/>
        <v>6108.259375</v>
      </c>
      <c r="AU1259" s="49">
        <f t="shared" si="921"/>
        <v>0</v>
      </c>
      <c r="AV1259" s="48"/>
      <c r="AW1259" s="34">
        <f t="shared" si="1000"/>
        <v>33800</v>
      </c>
      <c r="AX1259" s="50">
        <f t="shared" si="811"/>
        <v>0</v>
      </c>
      <c r="AY1259" s="43"/>
      <c r="AZ1259" s="47"/>
      <c r="BA1259" s="48">
        <f t="shared" si="922"/>
        <v>-6108.259375</v>
      </c>
      <c r="BB1259" s="27"/>
      <c r="BC1259" s="27"/>
      <c r="BD1259" s="51"/>
      <c r="BE1259" s="52"/>
      <c r="BF1259" s="27"/>
      <c r="BG1259" s="58" t="s">
        <v>4099</v>
      </c>
      <c r="BH1259" s="53" t="str">
        <f>'[1]2023'!Q1543</f>
        <v>#REF!</v>
      </c>
      <c r="BI1259" s="27"/>
      <c r="BJ1259" s="27"/>
      <c r="BK1259" s="27" t="s">
        <v>76</v>
      </c>
      <c r="BL1259" s="27"/>
    </row>
    <row r="1260" ht="14.25" customHeight="1">
      <c r="A1260" s="26" t="s">
        <v>55</v>
      </c>
      <c r="B1260" s="26" t="s">
        <v>56</v>
      </c>
      <c r="C1260" s="26" t="s">
        <v>57</v>
      </c>
      <c r="D1260" s="26" t="s">
        <v>81</v>
      </c>
      <c r="E1260" s="27" t="s">
        <v>4100</v>
      </c>
      <c r="F1260" s="28" t="s">
        <v>4101</v>
      </c>
      <c r="G1260" s="29">
        <v>45229.0</v>
      </c>
      <c r="H1260" s="30">
        <v>45229.0</v>
      </c>
      <c r="I1260" s="30">
        <v>45594.0</v>
      </c>
      <c r="J1260" s="31">
        <v>0.0</v>
      </c>
      <c r="K1260" s="26" t="s">
        <v>931</v>
      </c>
      <c r="L1260" s="89">
        <v>45238.0</v>
      </c>
      <c r="M1260" s="33">
        <v>9784.35</v>
      </c>
      <c r="N1260" s="34">
        <v>10551.55</v>
      </c>
      <c r="O1260" s="27" t="s">
        <v>76</v>
      </c>
      <c r="P1260" s="35" t="s">
        <v>430</v>
      </c>
      <c r="Q1260" s="35">
        <v>0.0</v>
      </c>
      <c r="R1260" s="36">
        <v>45229.0</v>
      </c>
      <c r="S1260" s="35" t="s">
        <v>86</v>
      </c>
      <c r="T1260" s="35">
        <v>0.0</v>
      </c>
      <c r="U1260" s="37" t="s">
        <v>812</v>
      </c>
      <c r="V1260" s="38"/>
      <c r="W1260" s="78"/>
      <c r="X1260" s="27"/>
      <c r="Y1260" s="39"/>
      <c r="Z1260" s="39"/>
      <c r="AA1260" s="39"/>
      <c r="AB1260" s="27"/>
      <c r="AC1260" s="27">
        <f t="shared" si="999"/>
        <v>0</v>
      </c>
      <c r="AD1260" s="41">
        <f t="shared" si="994"/>
        <v>1467.6525</v>
      </c>
      <c r="AE1260" s="42"/>
      <c r="AF1260" s="27"/>
      <c r="AG1260" s="43">
        <f t="shared" ref="AG1260:AG1262" si="1004">IF(O1260="Paid",IF(A1260="Wethaq",(M1260*28%)-((M1260*28%)*5%),IF((A1260="GIG"),(M1260*25%)-((M1260*25%)*5%),IF((A1260="Allianz"),(M1260*27%)-((M1260*27%)*20%),0))),0)</f>
        <v>2113.4196</v>
      </c>
      <c r="AH1260" s="29"/>
      <c r="AI1260" s="29"/>
      <c r="AJ1260" s="29"/>
      <c r="AK1260" s="29"/>
      <c r="AL1260" s="27"/>
      <c r="AM1260" s="44"/>
      <c r="AN1260" s="47"/>
      <c r="AO1260" s="46"/>
      <c r="AP1260" s="47"/>
      <c r="AQ1260" s="43">
        <f t="shared" si="997"/>
        <v>0</v>
      </c>
      <c r="AR1260" s="43">
        <f t="shared" si="448"/>
        <v>0</v>
      </c>
      <c r="AS1260" s="43">
        <f t="shared" si="449"/>
        <v>0</v>
      </c>
      <c r="AT1260" s="48">
        <f t="shared" si="753"/>
        <v>0</v>
      </c>
      <c r="AU1260" s="49">
        <f t="shared" si="921"/>
        <v>0</v>
      </c>
      <c r="AV1260" s="48"/>
      <c r="AW1260" s="34">
        <f t="shared" si="1000"/>
        <v>9083.8975</v>
      </c>
      <c r="AX1260" s="50">
        <f t="shared" si="811"/>
        <v>645.7671</v>
      </c>
      <c r="AY1260" s="43"/>
      <c r="AZ1260" s="47"/>
      <c r="BA1260" s="48">
        <f t="shared" si="922"/>
        <v>0</v>
      </c>
      <c r="BB1260" s="27"/>
      <c r="BC1260" s="27"/>
      <c r="BD1260" s="51"/>
      <c r="BE1260" s="52"/>
      <c r="BF1260" s="27"/>
      <c r="BG1260" s="53">
        <v>0.0</v>
      </c>
      <c r="BH1260" s="53" t="str">
        <f>'[1]2023'!Q1566</f>
        <v>#REF!</v>
      </c>
      <c r="BI1260" s="27"/>
      <c r="BJ1260" s="27"/>
      <c r="BK1260" s="27" t="s">
        <v>76</v>
      </c>
      <c r="BL1260" s="27"/>
    </row>
    <row r="1261" ht="14.25" customHeight="1">
      <c r="A1261" s="26" t="s">
        <v>1634</v>
      </c>
      <c r="B1261" s="26" t="s">
        <v>69</v>
      </c>
      <c r="C1261" s="26" t="s">
        <v>70</v>
      </c>
      <c r="D1261" s="26" t="s">
        <v>58</v>
      </c>
      <c r="E1261" s="27" t="s">
        <v>4102</v>
      </c>
      <c r="F1261" s="26" t="s">
        <v>4103</v>
      </c>
      <c r="G1261" s="29">
        <v>45229.0</v>
      </c>
      <c r="H1261" s="30">
        <v>45229.0</v>
      </c>
      <c r="I1261" s="30">
        <v>45594.0</v>
      </c>
      <c r="J1261" s="31">
        <v>0.0</v>
      </c>
      <c r="K1261" s="26" t="s">
        <v>931</v>
      </c>
      <c r="L1261" s="89">
        <v>45282.0</v>
      </c>
      <c r="M1261" s="33">
        <v>14000.0</v>
      </c>
      <c r="N1261" s="34">
        <v>15000.0</v>
      </c>
      <c r="O1261" s="27" t="s">
        <v>76</v>
      </c>
      <c r="P1261" s="35" t="s">
        <v>77</v>
      </c>
      <c r="Q1261" s="35">
        <v>0.0</v>
      </c>
      <c r="R1261" s="36">
        <v>45229.0</v>
      </c>
      <c r="S1261" s="35" t="s">
        <v>78</v>
      </c>
      <c r="T1261" s="54" t="s">
        <v>79</v>
      </c>
      <c r="U1261" s="37" t="s">
        <v>69</v>
      </c>
      <c r="V1261" s="38"/>
      <c r="W1261" s="78"/>
      <c r="X1261" s="27"/>
      <c r="Y1261" s="39"/>
      <c r="Z1261" s="39"/>
      <c r="AA1261" s="39"/>
      <c r="AB1261" s="27"/>
      <c r="AC1261" s="27">
        <f t="shared" si="999"/>
        <v>0</v>
      </c>
      <c r="AD1261" s="41">
        <f t="shared" si="994"/>
        <v>0</v>
      </c>
      <c r="AE1261" s="42"/>
      <c r="AF1261" s="27"/>
      <c r="AG1261" s="43">
        <f t="shared" si="1004"/>
        <v>0</v>
      </c>
      <c r="AH1261" s="29"/>
      <c r="AI1261" s="29"/>
      <c r="AJ1261" s="29"/>
      <c r="AK1261" s="29"/>
      <c r="AL1261" s="27"/>
      <c r="AM1261" s="44"/>
      <c r="AN1261" s="47"/>
      <c r="AO1261" s="149">
        <f>((AF1261*AJ1261)-((AF1261*AJ1261)*22.5%))*80%</f>
        <v>0</v>
      </c>
      <c r="AP1261" s="47"/>
      <c r="AQ1261" s="43">
        <f t="shared" si="997"/>
        <v>0</v>
      </c>
      <c r="AR1261" s="43">
        <f t="shared" si="448"/>
        <v>0</v>
      </c>
      <c r="AS1261" s="43">
        <f t="shared" si="449"/>
        <v>0</v>
      </c>
      <c r="AT1261" s="48">
        <f t="shared" si="753"/>
        <v>0</v>
      </c>
      <c r="AU1261" s="49">
        <f t="shared" si="921"/>
        <v>0</v>
      </c>
      <c r="AV1261" s="48"/>
      <c r="AW1261" s="34">
        <f t="shared" si="1000"/>
        <v>15000</v>
      </c>
      <c r="AX1261" s="50">
        <f t="shared" si="811"/>
        <v>0</v>
      </c>
      <c r="AY1261" s="43"/>
      <c r="AZ1261" s="47"/>
      <c r="BA1261" s="48">
        <f t="shared" si="922"/>
        <v>0</v>
      </c>
      <c r="BB1261" s="27"/>
      <c r="BC1261" s="27"/>
      <c r="BD1261" s="51"/>
      <c r="BE1261" s="52"/>
      <c r="BF1261" s="27"/>
      <c r="BG1261" s="53">
        <v>0.0</v>
      </c>
      <c r="BH1261" s="53" t="str">
        <f>'[1]2023'!Q1593</f>
        <v>#REF!</v>
      </c>
      <c r="BI1261" s="27"/>
      <c r="BJ1261" s="27"/>
      <c r="BK1261" s="27" t="s">
        <v>1102</v>
      </c>
      <c r="BL1261" s="27"/>
    </row>
    <row r="1262" ht="14.25" customHeight="1">
      <c r="A1262" s="26" t="s">
        <v>55</v>
      </c>
      <c r="B1262" s="26" t="s">
        <v>56</v>
      </c>
      <c r="C1262" s="26" t="s">
        <v>57</v>
      </c>
      <c r="D1262" s="26" t="s">
        <v>81</v>
      </c>
      <c r="E1262" s="27" t="s">
        <v>4104</v>
      </c>
      <c r="F1262" s="28" t="s">
        <v>4105</v>
      </c>
      <c r="G1262" s="29">
        <v>45229.0</v>
      </c>
      <c r="H1262" s="30">
        <v>45229.0</v>
      </c>
      <c r="I1262" s="30">
        <v>45594.0</v>
      </c>
      <c r="J1262" s="31" t="s">
        <v>4106</v>
      </c>
      <c r="K1262" s="26" t="s">
        <v>931</v>
      </c>
      <c r="L1262" s="89">
        <v>45266.0</v>
      </c>
      <c r="M1262" s="33">
        <v>40120.0</v>
      </c>
      <c r="N1262" s="34">
        <v>42829.68</v>
      </c>
      <c r="O1262" s="27" t="s">
        <v>76</v>
      </c>
      <c r="P1262" s="35" t="s">
        <v>95</v>
      </c>
      <c r="Q1262" s="35" t="s">
        <v>90</v>
      </c>
      <c r="R1262" s="36">
        <v>45229.0</v>
      </c>
      <c r="S1262" s="35" t="s">
        <v>86</v>
      </c>
      <c r="T1262" s="35">
        <v>0.0</v>
      </c>
      <c r="U1262" s="37" t="s">
        <v>67</v>
      </c>
      <c r="V1262" s="38">
        <v>1700000.0</v>
      </c>
      <c r="W1262" s="78">
        <v>6331.0</v>
      </c>
      <c r="X1262" s="27">
        <v>2022.0</v>
      </c>
      <c r="Y1262" s="79" t="s">
        <v>208</v>
      </c>
      <c r="Z1262" s="39"/>
      <c r="AA1262" s="39"/>
      <c r="AB1262" s="27"/>
      <c r="AC1262" s="27">
        <f t="shared" si="999"/>
        <v>0</v>
      </c>
      <c r="AD1262" s="41">
        <f t="shared" si="994"/>
        <v>6018</v>
      </c>
      <c r="AE1262" s="42"/>
      <c r="AF1262" s="27"/>
      <c r="AG1262" s="43">
        <f t="shared" si="1004"/>
        <v>8665.92</v>
      </c>
      <c r="AH1262" s="29"/>
      <c r="AI1262" s="29"/>
      <c r="AJ1262" s="29"/>
      <c r="AK1262" s="29"/>
      <c r="AL1262" s="27"/>
      <c r="AM1262" s="44"/>
      <c r="AN1262" s="47"/>
      <c r="AO1262" s="46"/>
      <c r="AP1262" s="47"/>
      <c r="AQ1262" s="43">
        <f t="shared" si="997"/>
        <v>10832.4</v>
      </c>
      <c r="AR1262" s="43">
        <f t="shared" si="448"/>
        <v>541.62</v>
      </c>
      <c r="AS1262" s="43">
        <f t="shared" si="449"/>
        <v>1895.67</v>
      </c>
      <c r="AT1262" s="48">
        <f t="shared" si="753"/>
        <v>8395.11</v>
      </c>
      <c r="AU1262" s="49">
        <f t="shared" si="921"/>
        <v>8395.11</v>
      </c>
      <c r="AV1262" s="48"/>
      <c r="AW1262" s="34">
        <f t="shared" si="1000"/>
        <v>36811.68</v>
      </c>
      <c r="AX1262" s="50">
        <f t="shared" si="811"/>
        <v>752.25</v>
      </c>
      <c r="AY1262" s="43"/>
      <c r="AZ1262" s="47"/>
      <c r="BA1262" s="48">
        <f t="shared" si="922"/>
        <v>8395.11</v>
      </c>
      <c r="BB1262" s="27"/>
      <c r="BC1262" s="27"/>
      <c r="BD1262" s="51"/>
      <c r="BE1262" s="52"/>
      <c r="BF1262" s="27"/>
      <c r="BG1262" s="53">
        <v>0.0</v>
      </c>
      <c r="BH1262" s="53" t="str">
        <f>'[1]2023'!Q1612</f>
        <v>#REF!</v>
      </c>
      <c r="BI1262" s="27"/>
      <c r="BJ1262" s="27"/>
      <c r="BK1262" s="27" t="s">
        <v>1102</v>
      </c>
      <c r="BL1262" s="27"/>
    </row>
    <row r="1263" ht="14.25" customHeight="1">
      <c r="A1263" s="26" t="s">
        <v>111</v>
      </c>
      <c r="B1263" s="26" t="s">
        <v>56</v>
      </c>
      <c r="C1263" s="26" t="s">
        <v>57</v>
      </c>
      <c r="D1263" s="26" t="s">
        <v>71</v>
      </c>
      <c r="E1263" s="27" t="s">
        <v>4107</v>
      </c>
      <c r="F1263" s="28" t="s">
        <v>4108</v>
      </c>
      <c r="G1263" s="29">
        <v>45230.0</v>
      </c>
      <c r="H1263" s="30">
        <v>45230.0</v>
      </c>
      <c r="I1263" s="30">
        <v>45595.0</v>
      </c>
      <c r="J1263" s="31" t="s">
        <v>3944</v>
      </c>
      <c r="K1263" s="26" t="s">
        <v>931</v>
      </c>
      <c r="L1263" s="32" t="s">
        <v>4074</v>
      </c>
      <c r="M1263" s="33">
        <v>27701.32</v>
      </c>
      <c r="N1263" s="34">
        <v>29730.0</v>
      </c>
      <c r="O1263" s="27" t="s">
        <v>76</v>
      </c>
      <c r="P1263" s="35" t="s">
        <v>89</v>
      </c>
      <c r="Q1263" s="35" t="s">
        <v>114</v>
      </c>
      <c r="R1263" s="36">
        <v>45239.0</v>
      </c>
      <c r="S1263" s="35" t="s">
        <v>4109</v>
      </c>
      <c r="T1263" s="35">
        <v>0.0</v>
      </c>
      <c r="U1263" s="37" t="s">
        <v>149</v>
      </c>
      <c r="V1263" s="38">
        <v>1370000.0</v>
      </c>
      <c r="W1263" s="78">
        <v>13397.0</v>
      </c>
      <c r="X1263" s="27"/>
      <c r="Y1263" s="39" t="s">
        <v>4110</v>
      </c>
      <c r="Z1263" s="39"/>
      <c r="AA1263" s="39"/>
      <c r="AB1263" s="27"/>
      <c r="AC1263" s="27">
        <f t="shared" si="999"/>
        <v>0</v>
      </c>
      <c r="AD1263" s="41">
        <f t="shared" si="994"/>
        <v>0</v>
      </c>
      <c r="AE1263" s="42"/>
      <c r="AF1263" s="27"/>
      <c r="AG1263" s="43">
        <f>IF(O1263="Paid",IF(A1263="Alwataniya",(M1263*21%)-((M1263*21%)*5%),IF((A1263="GIG"),(M1263*15%)-((M1263*15%)*5%),IF((A1263="Allianz"),(M1263*27%)-((M1263*27%)*5%),0))),0)</f>
        <v>3947.4381</v>
      </c>
      <c r="AH1263" s="29">
        <v>44937.0</v>
      </c>
      <c r="AI1263" s="182">
        <v>45300.0</v>
      </c>
      <c r="AJ1263" s="29"/>
      <c r="AK1263" s="29">
        <v>45300.0</v>
      </c>
      <c r="AL1263" s="27"/>
      <c r="AM1263" s="70">
        <f>M1263*5%</f>
        <v>1385.066</v>
      </c>
      <c r="AN1263" s="47"/>
      <c r="AO1263" s="46"/>
      <c r="AP1263" s="47"/>
      <c r="AQ1263" s="43">
        <f t="shared" si="997"/>
        <v>4155.198</v>
      </c>
      <c r="AR1263" s="43">
        <f t="shared" si="448"/>
        <v>207.7599</v>
      </c>
      <c r="AS1263" s="43">
        <f t="shared" si="449"/>
        <v>727.15965</v>
      </c>
      <c r="AT1263" s="48">
        <f t="shared" si="753"/>
        <v>3220.27845</v>
      </c>
      <c r="AU1263" s="49">
        <f t="shared" si="921"/>
        <v>3220.27845</v>
      </c>
      <c r="AV1263" s="48"/>
      <c r="AW1263" s="34">
        <f t="shared" si="1000"/>
        <v>29730</v>
      </c>
      <c r="AX1263" s="50">
        <f t="shared" si="811"/>
        <v>1835.21245</v>
      </c>
      <c r="AY1263" s="43"/>
      <c r="AZ1263" s="47"/>
      <c r="BA1263" s="48">
        <f t="shared" si="922"/>
        <v>1835.21245</v>
      </c>
      <c r="BB1263" s="27"/>
      <c r="BC1263" s="27"/>
      <c r="BD1263" s="51"/>
      <c r="BE1263" s="52"/>
      <c r="BF1263" s="27"/>
      <c r="BG1263" s="58" t="s">
        <v>4111</v>
      </c>
      <c r="BH1263" s="53" t="str">
        <f t="shared" ref="BH1263:BH1265" si="1005">'[1]2023'!Q1544</f>
        <v>#REF!</v>
      </c>
      <c r="BI1263" s="27"/>
      <c r="BJ1263" s="27"/>
      <c r="BK1263" s="27" t="s">
        <v>76</v>
      </c>
      <c r="BL1263" s="27"/>
    </row>
    <row r="1264" ht="14.25" customHeight="1">
      <c r="A1264" s="26" t="s">
        <v>55</v>
      </c>
      <c r="B1264" s="26" t="s">
        <v>56</v>
      </c>
      <c r="C1264" s="26" t="s">
        <v>57</v>
      </c>
      <c r="D1264" s="26" t="s">
        <v>58</v>
      </c>
      <c r="E1264" s="27" t="s">
        <v>4112</v>
      </c>
      <c r="F1264" s="28" t="s">
        <v>4113</v>
      </c>
      <c r="G1264" s="29">
        <v>45230.0</v>
      </c>
      <c r="H1264" s="30">
        <v>45230.0</v>
      </c>
      <c r="I1264" s="30">
        <v>45595.0</v>
      </c>
      <c r="J1264" s="31" t="s">
        <v>230</v>
      </c>
      <c r="K1264" s="26" t="s">
        <v>931</v>
      </c>
      <c r="L1264" s="32" t="s">
        <v>63</v>
      </c>
      <c r="M1264" s="33">
        <v>2312.02</v>
      </c>
      <c r="N1264" s="34">
        <v>2448.42</v>
      </c>
      <c r="O1264" s="27" t="s">
        <v>76</v>
      </c>
      <c r="P1264" s="35" t="s">
        <v>89</v>
      </c>
      <c r="Q1264" s="35">
        <v>0.0</v>
      </c>
      <c r="R1264" s="36">
        <v>45230.0</v>
      </c>
      <c r="S1264" s="35" t="s">
        <v>231</v>
      </c>
      <c r="T1264" s="35">
        <v>0.0</v>
      </c>
      <c r="U1264" s="37" t="s">
        <v>58</v>
      </c>
      <c r="V1264" s="38"/>
      <c r="W1264" s="78"/>
      <c r="X1264" s="27"/>
      <c r="Y1264" s="39"/>
      <c r="Z1264" s="39"/>
      <c r="AA1264" s="39"/>
      <c r="AB1264" s="27"/>
      <c r="AC1264" s="27">
        <f t="shared" si="999"/>
        <v>0</v>
      </c>
      <c r="AD1264" s="41">
        <f t="shared" si="994"/>
        <v>0</v>
      </c>
      <c r="AE1264" s="42"/>
      <c r="AF1264" s="27"/>
      <c r="AG1264" s="43">
        <f t="shared" ref="AG1264:AG1265" si="1006">IF(O1264="Paid",IF(A1264="Alwataniya",(M1264*21%)-((M1264*21%)*5%),IF((A1264="GIG"),(M1264*25%)-((M1264*25%)*5%),IF((A1264="Allianz"),(M1264*27%)-((M1264*27%)*5%),0))),0)</f>
        <v>593.03313</v>
      </c>
      <c r="AH1264" s="29"/>
      <c r="AI1264" s="29"/>
      <c r="AJ1264" s="29"/>
      <c r="AK1264" s="29"/>
      <c r="AL1264" s="27"/>
      <c r="AM1264" s="44"/>
      <c r="AN1264" s="47"/>
      <c r="AO1264" s="46">
        <v>193.516074</v>
      </c>
      <c r="AP1264" s="71">
        <v>45302.0</v>
      </c>
      <c r="AQ1264" s="43">
        <f t="shared" si="997"/>
        <v>0</v>
      </c>
      <c r="AR1264" s="43">
        <f t="shared" si="448"/>
        <v>0</v>
      </c>
      <c r="AS1264" s="43">
        <f t="shared" si="449"/>
        <v>0</v>
      </c>
      <c r="AT1264" s="48">
        <f t="shared" si="753"/>
        <v>0</v>
      </c>
      <c r="AU1264" s="49">
        <f t="shared" si="921"/>
        <v>-193.516074</v>
      </c>
      <c r="AV1264" s="48"/>
      <c r="AW1264" s="34">
        <f t="shared" si="1000"/>
        <v>2448.42</v>
      </c>
      <c r="AX1264" s="50">
        <f t="shared" si="811"/>
        <v>399.517056</v>
      </c>
      <c r="AY1264" s="43"/>
      <c r="AZ1264" s="47"/>
      <c r="BA1264" s="48">
        <f t="shared" si="922"/>
        <v>-387.032148</v>
      </c>
      <c r="BB1264" s="27"/>
      <c r="BC1264" s="27"/>
      <c r="BD1264" s="51"/>
      <c r="BE1264" s="52"/>
      <c r="BF1264" s="27"/>
      <c r="BG1264" s="58" t="s">
        <v>4114</v>
      </c>
      <c r="BH1264" s="53" t="str">
        <f t="shared" si="1005"/>
        <v>#REF!</v>
      </c>
      <c r="BI1264" s="27"/>
      <c r="BJ1264" s="27"/>
      <c r="BK1264" s="27" t="s">
        <v>76</v>
      </c>
      <c r="BL1264" s="27"/>
    </row>
    <row r="1265" ht="14.25" customHeight="1">
      <c r="A1265" s="26" t="s">
        <v>111</v>
      </c>
      <c r="B1265" s="26" t="s">
        <v>56</v>
      </c>
      <c r="C1265" s="26" t="s">
        <v>57</v>
      </c>
      <c r="D1265" s="26" t="s">
        <v>71</v>
      </c>
      <c r="E1265" s="27" t="s">
        <v>4115</v>
      </c>
      <c r="F1265" s="28" t="s">
        <v>4116</v>
      </c>
      <c r="G1265" s="29">
        <v>45230.0</v>
      </c>
      <c r="H1265" s="30">
        <v>45230.0</v>
      </c>
      <c r="I1265" s="30">
        <v>45595.0</v>
      </c>
      <c r="J1265" s="31" t="s">
        <v>1052</v>
      </c>
      <c r="K1265" s="26" t="s">
        <v>931</v>
      </c>
      <c r="L1265" s="89">
        <v>45239.0</v>
      </c>
      <c r="M1265" s="33">
        <v>121940.04</v>
      </c>
      <c r="N1265" s="34">
        <v>130000.0</v>
      </c>
      <c r="O1265" s="27" t="s">
        <v>76</v>
      </c>
      <c r="P1265" s="35" t="s">
        <v>142</v>
      </c>
      <c r="Q1265" s="35" t="s">
        <v>108</v>
      </c>
      <c r="R1265" s="36">
        <v>45240.0</v>
      </c>
      <c r="S1265" s="35" t="s">
        <v>86</v>
      </c>
      <c r="T1265" s="35">
        <v>0.0</v>
      </c>
      <c r="U1265" s="37" t="s">
        <v>115</v>
      </c>
      <c r="V1265" s="38">
        <v>5000000.0</v>
      </c>
      <c r="W1265" s="78">
        <v>58941.0</v>
      </c>
      <c r="X1265" s="27"/>
      <c r="Y1265" s="79" t="s">
        <v>4117</v>
      </c>
      <c r="Z1265" s="39"/>
      <c r="AA1265" s="39"/>
      <c r="AB1265" s="27"/>
      <c r="AC1265" s="27">
        <f t="shared" si="999"/>
        <v>0</v>
      </c>
      <c r="AD1265" s="41">
        <f t="shared" si="994"/>
        <v>18291.006</v>
      </c>
      <c r="AE1265" s="42">
        <v>2500.0</v>
      </c>
      <c r="AF1265" s="29">
        <v>45180.0</v>
      </c>
      <c r="AG1265" s="43">
        <f t="shared" si="1006"/>
        <v>28960.7595</v>
      </c>
      <c r="AH1265" s="29">
        <v>45180.0</v>
      </c>
      <c r="AI1265" s="29" t="s">
        <v>4068</v>
      </c>
      <c r="AJ1265" s="29"/>
      <c r="AK1265" s="29" t="s">
        <v>4068</v>
      </c>
      <c r="AL1265" s="27"/>
      <c r="AM1265" s="44"/>
      <c r="AN1265" s="47"/>
      <c r="AO1265" s="46"/>
      <c r="AP1265" s="47"/>
      <c r="AQ1265" s="43">
        <f t="shared" si="997"/>
        <v>30485.01</v>
      </c>
      <c r="AR1265" s="43">
        <f t="shared" si="448"/>
        <v>1524.2505</v>
      </c>
      <c r="AS1265" s="43">
        <f t="shared" si="449"/>
        <v>5334.87675</v>
      </c>
      <c r="AT1265" s="48">
        <f t="shared" si="753"/>
        <v>23625.88275</v>
      </c>
      <c r="AU1265" s="49">
        <f t="shared" si="921"/>
        <v>23625.88275</v>
      </c>
      <c r="AV1265" s="48"/>
      <c r="AW1265" s="34">
        <f t="shared" si="1000"/>
        <v>109208.994</v>
      </c>
      <c r="AX1265" s="50">
        <f t="shared" si="811"/>
        <v>2834.87675</v>
      </c>
      <c r="AY1265" s="43"/>
      <c r="AZ1265" s="47"/>
      <c r="BA1265" s="48">
        <f t="shared" si="922"/>
        <v>23625.88275</v>
      </c>
      <c r="BB1265" s="27"/>
      <c r="BC1265" s="27"/>
      <c r="BD1265" s="51"/>
      <c r="BE1265" s="52"/>
      <c r="BF1265" s="27"/>
      <c r="BG1265" s="53">
        <v>0.0</v>
      </c>
      <c r="BH1265" s="53" t="str">
        <f t="shared" si="1005"/>
        <v>#REF!</v>
      </c>
      <c r="BI1265" s="27"/>
      <c r="BJ1265" s="27"/>
      <c r="BK1265" s="27" t="s">
        <v>76</v>
      </c>
      <c r="BL1265" s="27"/>
    </row>
    <row r="1266" ht="14.25" customHeight="1">
      <c r="A1266" s="26" t="s">
        <v>68</v>
      </c>
      <c r="B1266" s="26" t="s">
        <v>69</v>
      </c>
      <c r="C1266" s="26" t="s">
        <v>70</v>
      </c>
      <c r="D1266" s="26" t="s">
        <v>71</v>
      </c>
      <c r="E1266" s="27" t="s">
        <v>4118</v>
      </c>
      <c r="F1266" s="28" t="s">
        <v>73</v>
      </c>
      <c r="G1266" s="29">
        <v>45231.0</v>
      </c>
      <c r="H1266" s="30">
        <v>45231.0</v>
      </c>
      <c r="I1266" s="30">
        <v>45596.0</v>
      </c>
      <c r="J1266" s="31">
        <v>0.0</v>
      </c>
      <c r="K1266" s="26" t="s">
        <v>362</v>
      </c>
      <c r="L1266" s="32" t="s">
        <v>63</v>
      </c>
      <c r="M1266" s="33">
        <v>2300.0</v>
      </c>
      <c r="N1266" s="34">
        <v>2500.0</v>
      </c>
      <c r="O1266" s="27" t="s">
        <v>64</v>
      </c>
      <c r="P1266" s="35">
        <v>0.0</v>
      </c>
      <c r="Q1266" s="35">
        <v>0.0</v>
      </c>
      <c r="R1266" s="36">
        <v>45250.0</v>
      </c>
      <c r="S1266" s="35" t="s">
        <v>78</v>
      </c>
      <c r="T1266" s="54" t="s">
        <v>79</v>
      </c>
      <c r="U1266" s="37">
        <v>0.0</v>
      </c>
      <c r="V1266" s="38"/>
      <c r="W1266" s="38"/>
      <c r="X1266" s="27"/>
      <c r="Y1266" s="39"/>
      <c r="Z1266" s="39"/>
      <c r="AA1266" s="39"/>
      <c r="AB1266" s="40"/>
      <c r="AC1266" s="27">
        <f t="shared" si="999"/>
        <v>0</v>
      </c>
      <c r="AD1266" s="41">
        <f t="shared" si="994"/>
        <v>0</v>
      </c>
      <c r="AE1266" s="42"/>
      <c r="AF1266" s="27"/>
      <c r="AG1266" s="43">
        <f>IF(O1266="Paid",IF(A1266="Alwataniya",(M1266*21%)-((M1266*21%)*5%),IF((A1266="GIG"),(M1266*25%)-((M1266*25%)*5%),IF((A1266="Allianz"),(M1266*27%)-((M1266*27%)*20%),0))),0)</f>
        <v>0</v>
      </c>
      <c r="AH1266" s="29"/>
      <c r="AI1266" s="29"/>
      <c r="AJ1266" s="29"/>
      <c r="AK1266" s="29"/>
      <c r="AL1266" s="27"/>
      <c r="AM1266" s="44"/>
      <c r="AN1266" s="63"/>
      <c r="AO1266" s="46"/>
      <c r="AP1266" s="47"/>
      <c r="AQ1266" s="43" t="b">
        <f t="shared" si="997"/>
        <v>0</v>
      </c>
      <c r="AR1266" s="43">
        <f t="shared" si="448"/>
        <v>0</v>
      </c>
      <c r="AS1266" s="43">
        <f t="shared" si="449"/>
        <v>0</v>
      </c>
      <c r="AT1266" s="48">
        <f t="shared" si="753"/>
        <v>0</v>
      </c>
      <c r="AU1266" s="49">
        <f t="shared" ref="AU1266:AU1267" si="1007">AQ1266-AR1266-AS1266-AC1266</f>
        <v>0</v>
      </c>
      <c r="AV1266" s="48"/>
      <c r="AW1266" s="34">
        <f t="shared" si="1000"/>
        <v>2500</v>
      </c>
      <c r="AX1266" s="50">
        <f t="shared" si="811"/>
        <v>0</v>
      </c>
      <c r="AY1266" s="43"/>
      <c r="AZ1266" s="43"/>
      <c r="BA1266" s="48">
        <f t="shared" si="922"/>
        <v>0</v>
      </c>
      <c r="BB1266" s="27"/>
      <c r="BC1266" s="27"/>
      <c r="BD1266" s="51"/>
      <c r="BE1266" s="52"/>
      <c r="BF1266" s="27" t="s">
        <v>4119</v>
      </c>
      <c r="BG1266" s="53">
        <v>0.0</v>
      </c>
      <c r="BH1266" s="53" t="str">
        <f t="shared" ref="BH1266:BH1267" si="1008">'[1]2023'!Q570</f>
        <v>#REF!</v>
      </c>
      <c r="BI1266" s="27"/>
      <c r="BJ1266" s="27"/>
      <c r="BK1266" s="27" t="s">
        <v>64</v>
      </c>
      <c r="BL1266" s="27"/>
    </row>
    <row r="1267" ht="14.25" customHeight="1">
      <c r="A1267" s="26" t="s">
        <v>68</v>
      </c>
      <c r="B1267" s="26" t="s">
        <v>3536</v>
      </c>
      <c r="C1267" s="26" t="s">
        <v>70</v>
      </c>
      <c r="D1267" s="26" t="s">
        <v>71</v>
      </c>
      <c r="E1267" s="27" t="s">
        <v>4120</v>
      </c>
      <c r="F1267" s="28" t="s">
        <v>73</v>
      </c>
      <c r="G1267" s="29">
        <v>45231.0</v>
      </c>
      <c r="H1267" s="30">
        <v>45231.0</v>
      </c>
      <c r="I1267" s="30">
        <v>45596.0</v>
      </c>
      <c r="J1267" s="31">
        <v>0.0</v>
      </c>
      <c r="K1267" s="26" t="s">
        <v>362</v>
      </c>
      <c r="L1267" s="32" t="s">
        <v>75</v>
      </c>
      <c r="M1267" s="33">
        <v>8440.0</v>
      </c>
      <c r="N1267" s="34">
        <v>9000.0</v>
      </c>
      <c r="O1267" s="27" t="s">
        <v>76</v>
      </c>
      <c r="P1267" s="35" t="s">
        <v>77</v>
      </c>
      <c r="Q1267" s="35">
        <v>0.0</v>
      </c>
      <c r="R1267" s="36">
        <v>45250.0</v>
      </c>
      <c r="S1267" s="35" t="s">
        <v>78</v>
      </c>
      <c r="T1267" s="54" t="s">
        <v>79</v>
      </c>
      <c r="U1267" s="37" t="s">
        <v>3536</v>
      </c>
      <c r="V1267" s="38"/>
      <c r="W1267" s="38"/>
      <c r="X1267" s="27"/>
      <c r="Y1267" s="39"/>
      <c r="Z1267" s="39"/>
      <c r="AA1267" s="39"/>
      <c r="AB1267" s="40"/>
      <c r="AC1267" s="27">
        <f t="shared" si="999"/>
        <v>0</v>
      </c>
      <c r="AD1267" s="41"/>
      <c r="AE1267" s="42"/>
      <c r="AF1267" s="27"/>
      <c r="AG1267" s="43">
        <f>IF(O1267="Paid",IF(A1267="Wethaq",(M1267*17%)-((M1267*17%)*5%)))</f>
        <v>1363.06</v>
      </c>
      <c r="AH1267" s="29" t="s">
        <v>75</v>
      </c>
      <c r="AI1267" s="29" t="s">
        <v>721</v>
      </c>
      <c r="AJ1267" s="55">
        <v>0.17</v>
      </c>
      <c r="AK1267" s="29" t="s">
        <v>306</v>
      </c>
      <c r="AL1267" s="90"/>
      <c r="AM1267" s="44"/>
      <c r="AN1267" s="56"/>
      <c r="AO1267" s="46">
        <f>((M1267*AJ1267)-((M1267*AJ1267)*22.5%))*80%</f>
        <v>889.576</v>
      </c>
      <c r="AP1267" s="57">
        <v>45177.0</v>
      </c>
      <c r="AQ1267" s="43">
        <f>M1267*17%</f>
        <v>1434.8</v>
      </c>
      <c r="AR1267" s="43">
        <f t="shared" si="448"/>
        <v>71.74</v>
      </c>
      <c r="AS1267" s="43">
        <f t="shared" si="449"/>
        <v>251.09</v>
      </c>
      <c r="AT1267" s="48">
        <f t="shared" si="753"/>
        <v>1111.97</v>
      </c>
      <c r="AU1267" s="49">
        <f t="shared" si="1007"/>
        <v>1111.97</v>
      </c>
      <c r="AV1267" s="48"/>
      <c r="AW1267" s="34">
        <f t="shared" si="1000"/>
        <v>9000</v>
      </c>
      <c r="AX1267" s="50">
        <f t="shared" si="811"/>
        <v>222.394</v>
      </c>
      <c r="AY1267" s="113"/>
      <c r="AZ1267" s="43"/>
      <c r="BA1267" s="48" t="str">
        <f>IF(S1267&lt;&gt;0,AU1267-#REF!-AM1267,(AG1267-AD1267-AE1267-AS1267))</f>
        <v>#REF!</v>
      </c>
      <c r="BB1267" s="27"/>
      <c r="BC1267" s="27"/>
      <c r="BD1267" s="51"/>
      <c r="BE1267" s="52"/>
      <c r="BF1267" s="27" t="s">
        <v>4121</v>
      </c>
      <c r="BG1267" s="53">
        <v>0.0</v>
      </c>
      <c r="BH1267" s="53" t="str">
        <f t="shared" si="1008"/>
        <v>#REF!</v>
      </c>
      <c r="BI1267" s="27"/>
      <c r="BJ1267" s="27"/>
      <c r="BK1267" s="27" t="s">
        <v>76</v>
      </c>
      <c r="BL1267" s="64" t="s">
        <v>4122</v>
      </c>
    </row>
    <row r="1268" ht="14.25" customHeight="1">
      <c r="A1268" s="26" t="s">
        <v>55</v>
      </c>
      <c r="B1268" s="26" t="s">
        <v>56</v>
      </c>
      <c r="C1268" s="26" t="s">
        <v>57</v>
      </c>
      <c r="D1268" s="26" t="s">
        <v>81</v>
      </c>
      <c r="E1268" s="27" t="s">
        <v>4123</v>
      </c>
      <c r="F1268" s="28" t="s">
        <v>4124</v>
      </c>
      <c r="G1268" s="29">
        <v>45231.0</v>
      </c>
      <c r="H1268" s="30">
        <v>45231.0</v>
      </c>
      <c r="I1268" s="30">
        <v>45596.0</v>
      </c>
      <c r="J1268" s="31" t="s">
        <v>4125</v>
      </c>
      <c r="K1268" s="26" t="s">
        <v>2374</v>
      </c>
      <c r="L1268" s="89">
        <v>45235.0</v>
      </c>
      <c r="M1268" s="33">
        <v>28910.0</v>
      </c>
      <c r="N1268" s="34">
        <v>30901.24</v>
      </c>
      <c r="O1268" s="27" t="s">
        <v>76</v>
      </c>
      <c r="P1268" s="35" t="s">
        <v>122</v>
      </c>
      <c r="Q1268" s="35" t="s">
        <v>90</v>
      </c>
      <c r="R1268" s="36">
        <v>45231.0</v>
      </c>
      <c r="S1268" s="35" t="s">
        <v>86</v>
      </c>
      <c r="T1268" s="35">
        <v>0.0</v>
      </c>
      <c r="U1268" s="37" t="s">
        <v>67</v>
      </c>
      <c r="V1268" s="38">
        <v>1400000.0</v>
      </c>
      <c r="W1268" s="78">
        <v>500459.0</v>
      </c>
      <c r="X1268" s="27">
        <v>2022.0</v>
      </c>
      <c r="Y1268" s="79" t="s">
        <v>407</v>
      </c>
      <c r="Z1268" s="39"/>
      <c r="AA1268" s="39"/>
      <c r="AB1268" s="27"/>
      <c r="AC1268" s="27">
        <f t="shared" si="999"/>
        <v>0</v>
      </c>
      <c r="AD1268" s="41">
        <f>IF(AND(S1268="0",O1268="Paid"),(M1268*15%)-AC1268,0)</f>
        <v>4336.5</v>
      </c>
      <c r="AE1268" s="42"/>
      <c r="AF1268" s="27"/>
      <c r="AG1268" s="43">
        <f t="shared" ref="AG1268:AG1271" si="1009">IF(O1268="Paid",IF(A1268="Alwataniya",(M1268*21%)-((M1268*21%)*5%),IF((A1268="GIG"),(M1268*25%)-((M1268*25%)*5%),IF((A1268="Allianz"),(M1268*27%)-((M1268*27%)*5%),0))),0)</f>
        <v>7415.415</v>
      </c>
      <c r="AH1268" s="29"/>
      <c r="AI1268" s="29"/>
      <c r="AJ1268" s="29"/>
      <c r="AK1268" s="29"/>
      <c r="AL1268" s="27"/>
      <c r="AM1268" s="44"/>
      <c r="AN1268" s="47"/>
      <c r="AO1268" s="46"/>
      <c r="AP1268" s="47"/>
      <c r="AQ1268" s="43">
        <f t="shared" ref="AQ1268:AQ1269" si="1010">IF(O1268="Paid",IF(U1268="Motor Plus",(M1268*27%),IF(U1268="Motor One",(M1268*22%),(IF(U1268="Golden",(M1268*25%),(IF(U1268="Classic",(M1268*15%),(IF(U1268="Wethaq",(M1268*28%),IF(U1268="Alwataniya",(M1268*21%))*0)))))))))</f>
        <v>7805.7</v>
      </c>
      <c r="AR1268" s="43">
        <f t="shared" si="448"/>
        <v>390.285</v>
      </c>
      <c r="AS1268" s="43">
        <f t="shared" si="449"/>
        <v>1365.9975</v>
      </c>
      <c r="AT1268" s="48">
        <f t="shared" si="753"/>
        <v>6049.4175</v>
      </c>
      <c r="AU1268" s="49">
        <f t="shared" ref="AU1268:AU1274" si="1011">AQ1268-AR1268-AS1268-AC1268-AO1268</f>
        <v>6049.4175</v>
      </c>
      <c r="AV1268" s="48"/>
      <c r="AW1268" s="34">
        <f t="shared" si="1000"/>
        <v>26564.74</v>
      </c>
      <c r="AX1268" s="50">
        <f t="shared" si="811"/>
        <v>1712.9175</v>
      </c>
      <c r="AY1268" s="43"/>
      <c r="AZ1268" s="47"/>
      <c r="BA1268" s="48">
        <f t="shared" ref="BA1268:BA1320" si="1012">IF(S1268&lt;&gt;0,AU1268-AO1268-AM1268,(AG1268-AD1268-AE1268-AS1268))</f>
        <v>6049.4175</v>
      </c>
      <c r="BB1268" s="27"/>
      <c r="BC1268" s="27"/>
      <c r="BD1268" s="51"/>
      <c r="BE1268" s="52"/>
      <c r="BF1268" s="27"/>
      <c r="BG1268" s="53">
        <v>0.0</v>
      </c>
      <c r="BH1268" s="53" t="str">
        <f t="shared" ref="BH1268:BH1270" si="1013">'[1]2023'!Q1467</f>
        <v>#REF!</v>
      </c>
      <c r="BI1268" s="27"/>
      <c r="BJ1268" s="27"/>
      <c r="BK1268" s="27" t="s">
        <v>76</v>
      </c>
      <c r="BL1268" s="27"/>
    </row>
    <row r="1269" ht="14.25" customHeight="1">
      <c r="A1269" s="26" t="s">
        <v>55</v>
      </c>
      <c r="B1269" s="26" t="s">
        <v>56</v>
      </c>
      <c r="C1269" s="26" t="s">
        <v>57</v>
      </c>
      <c r="D1269" s="26" t="s">
        <v>81</v>
      </c>
      <c r="E1269" s="27" t="s">
        <v>4126</v>
      </c>
      <c r="F1269" s="28" t="s">
        <v>4127</v>
      </c>
      <c r="G1269" s="29">
        <v>45231.0</v>
      </c>
      <c r="H1269" s="30">
        <v>45231.0</v>
      </c>
      <c r="I1269" s="30">
        <v>45596.0</v>
      </c>
      <c r="J1269" s="31" t="s">
        <v>4128</v>
      </c>
      <c r="K1269" s="26" t="s">
        <v>2374</v>
      </c>
      <c r="L1269" s="89">
        <v>45235.0</v>
      </c>
      <c r="M1269" s="33">
        <v>33187.5</v>
      </c>
      <c r="N1269" s="34">
        <v>35452.51</v>
      </c>
      <c r="O1269" s="27" t="s">
        <v>76</v>
      </c>
      <c r="P1269" s="35" t="s">
        <v>430</v>
      </c>
      <c r="Q1269" s="35" t="s">
        <v>65</v>
      </c>
      <c r="R1269" s="36">
        <v>45231.0</v>
      </c>
      <c r="S1269" s="35" t="s">
        <v>86</v>
      </c>
      <c r="T1269" s="54" t="s">
        <v>163</v>
      </c>
      <c r="U1269" s="37" t="s">
        <v>67</v>
      </c>
      <c r="V1269" s="38">
        <v>1500000.0</v>
      </c>
      <c r="W1269" s="78">
        <v>3492.0</v>
      </c>
      <c r="X1269" s="27">
        <v>2021.0</v>
      </c>
      <c r="Y1269" s="79" t="s">
        <v>208</v>
      </c>
      <c r="Z1269" s="39"/>
      <c r="AA1269" s="39"/>
      <c r="AB1269" s="27"/>
      <c r="AC1269" s="27">
        <f t="shared" si="999"/>
        <v>0</v>
      </c>
      <c r="AD1269" s="41"/>
      <c r="AE1269" s="42"/>
      <c r="AF1269" s="27"/>
      <c r="AG1269" s="43">
        <f t="shared" si="1009"/>
        <v>8512.59375</v>
      </c>
      <c r="AH1269" s="29"/>
      <c r="AI1269" s="29"/>
      <c r="AJ1269" s="29"/>
      <c r="AK1269" s="29"/>
      <c r="AL1269" s="27"/>
      <c r="AM1269" s="44"/>
      <c r="AN1269" s="47"/>
      <c r="AO1269" s="70">
        <f>M1269*15%</f>
        <v>4978.125</v>
      </c>
      <c r="AP1269" s="71">
        <v>45267.0</v>
      </c>
      <c r="AQ1269" s="43">
        <f t="shared" si="1010"/>
        <v>8960.625</v>
      </c>
      <c r="AR1269" s="43">
        <f t="shared" si="448"/>
        <v>448.03125</v>
      </c>
      <c r="AS1269" s="43">
        <f t="shared" si="449"/>
        <v>1568.109375</v>
      </c>
      <c r="AT1269" s="48">
        <f t="shared" si="753"/>
        <v>6944.484375</v>
      </c>
      <c r="AU1269" s="49">
        <f t="shared" si="1011"/>
        <v>1966.359375</v>
      </c>
      <c r="AV1269" s="48"/>
      <c r="AW1269" s="34">
        <f t="shared" si="1000"/>
        <v>35452.51</v>
      </c>
      <c r="AX1269" s="50">
        <f t="shared" si="811"/>
        <v>1966.359375</v>
      </c>
      <c r="AY1269" s="43"/>
      <c r="AZ1269" s="47"/>
      <c r="BA1269" s="48">
        <f t="shared" si="1012"/>
        <v>-3011.765625</v>
      </c>
      <c r="BB1269" s="27"/>
      <c r="BC1269" s="27"/>
      <c r="BD1269" s="51"/>
      <c r="BE1269" s="52"/>
      <c r="BF1269" s="27"/>
      <c r="BG1269" s="53">
        <v>0.0</v>
      </c>
      <c r="BH1269" s="53" t="str">
        <f t="shared" si="1013"/>
        <v>#REF!</v>
      </c>
      <c r="BI1269" s="27"/>
      <c r="BJ1269" s="27"/>
      <c r="BK1269" s="27" t="s">
        <v>76</v>
      </c>
      <c r="BL1269" s="27"/>
    </row>
    <row r="1270" ht="14.25" customHeight="1">
      <c r="A1270" s="26" t="s">
        <v>55</v>
      </c>
      <c r="B1270" s="26" t="s">
        <v>56</v>
      </c>
      <c r="C1270" s="26" t="s">
        <v>57</v>
      </c>
      <c r="D1270" s="26" t="s">
        <v>81</v>
      </c>
      <c r="E1270" s="27" t="s">
        <v>4129</v>
      </c>
      <c r="F1270" s="28" t="s">
        <v>4130</v>
      </c>
      <c r="G1270" s="29">
        <v>45231.0</v>
      </c>
      <c r="H1270" s="30">
        <v>45231.0</v>
      </c>
      <c r="I1270" s="30">
        <v>45596.0</v>
      </c>
      <c r="J1270" s="31" t="s">
        <v>4131</v>
      </c>
      <c r="K1270" s="26" t="s">
        <v>2374</v>
      </c>
      <c r="L1270" s="89">
        <v>45224.0</v>
      </c>
      <c r="M1270" s="33">
        <v>44250.0</v>
      </c>
      <c r="N1270" s="34">
        <v>47223.0</v>
      </c>
      <c r="O1270" s="27" t="s">
        <v>76</v>
      </c>
      <c r="P1270" s="35" t="s">
        <v>89</v>
      </c>
      <c r="Q1270" s="35" t="s">
        <v>90</v>
      </c>
      <c r="R1270" s="36">
        <v>45231.0</v>
      </c>
      <c r="S1270" s="35" t="s">
        <v>86</v>
      </c>
      <c r="T1270" s="35">
        <v>0.0</v>
      </c>
      <c r="U1270" s="37" t="s">
        <v>67</v>
      </c>
      <c r="V1270" s="38">
        <v>1500000.0</v>
      </c>
      <c r="W1270" s="78">
        <v>201336.0</v>
      </c>
      <c r="X1270" s="27">
        <v>2021.0</v>
      </c>
      <c r="Y1270" s="79" t="s">
        <v>208</v>
      </c>
      <c r="Z1270" s="39"/>
      <c r="AA1270" s="39"/>
      <c r="AB1270" s="27"/>
      <c r="AC1270" s="27">
        <f t="shared" si="999"/>
        <v>0</v>
      </c>
      <c r="AD1270" s="41">
        <f t="shared" ref="AD1270:AD1274" si="1014">IF(AND(S1270="0",O1270="Paid"),(M1270*15%)-AC1270,0)</f>
        <v>6637.5</v>
      </c>
      <c r="AE1270" s="42"/>
      <c r="AF1270" s="27"/>
      <c r="AG1270" s="43">
        <f t="shared" si="1009"/>
        <v>11350.125</v>
      </c>
      <c r="AH1270" s="29"/>
      <c r="AI1270" s="29"/>
      <c r="AJ1270" s="29"/>
      <c r="AK1270" s="29"/>
      <c r="AL1270" s="27"/>
      <c r="AM1270" s="44"/>
      <c r="AN1270" s="68"/>
      <c r="AO1270" s="46"/>
      <c r="AP1270" s="47"/>
      <c r="AQ1270" s="43">
        <f>IF(U1270="Motor Plus",(M1270*27%),IF(U1270="Motor One",(M1270*22%),(IF(U1270="Golden",(M1270*25%),(IF(U1270="Classic",(M1270*15%),(IF(U1270="Wethaq",(M1270*28%),IF(U1270="Alwataniya",(M1270*21%))*0))))))))</f>
        <v>11947.5</v>
      </c>
      <c r="AR1270" s="43">
        <f t="shared" si="448"/>
        <v>597.375</v>
      </c>
      <c r="AS1270" s="43">
        <f t="shared" si="449"/>
        <v>2090.8125</v>
      </c>
      <c r="AT1270" s="48">
        <f t="shared" si="753"/>
        <v>9259.3125</v>
      </c>
      <c r="AU1270" s="49">
        <f t="shared" si="1011"/>
        <v>9259.3125</v>
      </c>
      <c r="AV1270" s="48"/>
      <c r="AW1270" s="34">
        <f t="shared" si="1000"/>
        <v>40585.5</v>
      </c>
      <c r="AX1270" s="50">
        <f t="shared" si="811"/>
        <v>2621.8125</v>
      </c>
      <c r="AY1270" s="43"/>
      <c r="AZ1270" s="47"/>
      <c r="BA1270" s="48">
        <f t="shared" si="1012"/>
        <v>9259.3125</v>
      </c>
      <c r="BB1270" s="27"/>
      <c r="BC1270" s="27"/>
      <c r="BD1270" s="51"/>
      <c r="BE1270" s="52"/>
      <c r="BF1270" s="27"/>
      <c r="BG1270" s="53">
        <v>0.0</v>
      </c>
      <c r="BH1270" s="53" t="str">
        <f t="shared" si="1013"/>
        <v>#REF!</v>
      </c>
      <c r="BI1270" s="27"/>
      <c r="BJ1270" s="27"/>
      <c r="BK1270" s="27" t="s">
        <v>76</v>
      </c>
      <c r="BL1270" s="27"/>
    </row>
    <row r="1271" ht="14.25" customHeight="1">
      <c r="A1271" s="26" t="s">
        <v>111</v>
      </c>
      <c r="B1271" s="26" t="s">
        <v>56</v>
      </c>
      <c r="C1271" s="26" t="s">
        <v>57</v>
      </c>
      <c r="D1271" s="26" t="s">
        <v>58</v>
      </c>
      <c r="E1271" s="27" t="s">
        <v>4132</v>
      </c>
      <c r="F1271" s="28" t="s">
        <v>4133</v>
      </c>
      <c r="G1271" s="29">
        <v>45231.0</v>
      </c>
      <c r="H1271" s="30">
        <v>45231.0</v>
      </c>
      <c r="I1271" s="30">
        <v>45596.0</v>
      </c>
      <c r="J1271" s="31">
        <v>0.0</v>
      </c>
      <c r="K1271" s="26" t="s">
        <v>2374</v>
      </c>
      <c r="L1271" s="89">
        <v>45231.0</v>
      </c>
      <c r="M1271" s="33">
        <v>2250.19</v>
      </c>
      <c r="N1271" s="34">
        <v>2450.0</v>
      </c>
      <c r="O1271" s="27" t="s">
        <v>76</v>
      </c>
      <c r="P1271" s="35" t="s">
        <v>89</v>
      </c>
      <c r="Q1271" s="35" t="s">
        <v>108</v>
      </c>
      <c r="R1271" s="36">
        <v>45240.0</v>
      </c>
      <c r="S1271" s="35" t="s">
        <v>848</v>
      </c>
      <c r="T1271" s="35">
        <v>0.0</v>
      </c>
      <c r="U1271" s="37" t="s">
        <v>115</v>
      </c>
      <c r="V1271" s="38">
        <v>1450000.0</v>
      </c>
      <c r="W1271" s="78" t="s">
        <v>4134</v>
      </c>
      <c r="X1271" s="27">
        <v>2022.0</v>
      </c>
      <c r="Y1271" s="39" t="s">
        <v>4135</v>
      </c>
      <c r="Z1271" s="39"/>
      <c r="AA1271" s="39"/>
      <c r="AB1271" s="27"/>
      <c r="AC1271" s="27">
        <f t="shared" si="999"/>
        <v>0</v>
      </c>
      <c r="AD1271" s="41">
        <f t="shared" si="1014"/>
        <v>0</v>
      </c>
      <c r="AE1271" s="42"/>
      <c r="AF1271" s="27"/>
      <c r="AG1271" s="43">
        <f t="shared" si="1009"/>
        <v>534.420125</v>
      </c>
      <c r="AH1271" s="29">
        <v>45088.0</v>
      </c>
      <c r="AI1271" s="29">
        <v>45271.0</v>
      </c>
      <c r="AJ1271" s="29"/>
      <c r="AK1271" s="29">
        <v>45180.0</v>
      </c>
      <c r="AL1271" s="27"/>
      <c r="AM1271" s="220">
        <f>IF((BD1271&lt;=2),AU1271*10%,(IF((BD1271=3),AU1271*20%,IF((BD1271=4),AU1271*20%,IF((BD1271&gt;=5),AU1271*30%,(IF((BD1271="lead"),AU1271*30%,0)))))))</f>
        <v>43.59743125</v>
      </c>
      <c r="AN1271" s="47"/>
      <c r="AO1271" s="46"/>
      <c r="AP1271" s="47"/>
      <c r="AQ1271" s="43">
        <f t="shared" ref="AQ1271:AQ1273" si="1015">IF(O1271="Paid",IF(U1271="Motor Plus",(M1271*27%),IF(U1271="Motor One",(M1271*22%),(IF(U1271="Golden",(M1271*25%),(IF(U1271="Classic",(M1271*15%),(IF(U1271="Wethaq",(M1271*28%),IF(U1271="Alwataniya",(M1271*21%))*0)))))))))</f>
        <v>562.5475</v>
      </c>
      <c r="AR1271" s="43">
        <f t="shared" si="448"/>
        <v>28.127375</v>
      </c>
      <c r="AS1271" s="43">
        <f t="shared" si="449"/>
        <v>98.4458125</v>
      </c>
      <c r="AT1271" s="48">
        <f t="shared" si="753"/>
        <v>435.9743125</v>
      </c>
      <c r="AU1271" s="49">
        <f t="shared" si="1011"/>
        <v>435.9743125</v>
      </c>
      <c r="AV1271" s="48"/>
      <c r="AW1271" s="34">
        <f t="shared" si="1000"/>
        <v>2450</v>
      </c>
      <c r="AX1271" s="50">
        <f t="shared" si="811"/>
        <v>392.3768813</v>
      </c>
      <c r="AY1271" s="43"/>
      <c r="AZ1271" s="47"/>
      <c r="BA1271" s="48">
        <f t="shared" si="1012"/>
        <v>392.3768813</v>
      </c>
      <c r="BB1271" s="27"/>
      <c r="BC1271" s="27"/>
      <c r="BD1271" s="51"/>
      <c r="BE1271" s="52"/>
      <c r="BF1271" s="27"/>
      <c r="BG1271" s="53">
        <v>0.0</v>
      </c>
      <c r="BH1271" s="53" t="str">
        <f>'[1]2023'!Q1549</f>
        <v>#REF!</v>
      </c>
      <c r="BI1271" s="27"/>
      <c r="BJ1271" s="27"/>
      <c r="BK1271" s="27" t="s">
        <v>76</v>
      </c>
      <c r="BL1271" s="27"/>
    </row>
    <row r="1272" ht="14.25" customHeight="1">
      <c r="A1272" s="26" t="s">
        <v>68</v>
      </c>
      <c r="B1272" s="26" t="s">
        <v>56</v>
      </c>
      <c r="C1272" s="26" t="s">
        <v>57</v>
      </c>
      <c r="D1272" s="26" t="s">
        <v>71</v>
      </c>
      <c r="E1272" s="27" t="s">
        <v>4136</v>
      </c>
      <c r="F1272" s="28" t="s">
        <v>4137</v>
      </c>
      <c r="G1272" s="29">
        <v>45231.0</v>
      </c>
      <c r="H1272" s="30">
        <v>45231.0</v>
      </c>
      <c r="I1272" s="30">
        <v>45596.0</v>
      </c>
      <c r="J1272" s="31" t="s">
        <v>4138</v>
      </c>
      <c r="K1272" s="26" t="s">
        <v>2374</v>
      </c>
      <c r="L1272" s="89">
        <v>45238.0</v>
      </c>
      <c r="M1272" s="33">
        <v>22442.3</v>
      </c>
      <c r="N1272" s="34">
        <v>24000.0</v>
      </c>
      <c r="O1272" s="27" t="s">
        <v>76</v>
      </c>
      <c r="P1272" s="35" t="s">
        <v>89</v>
      </c>
      <c r="Q1272" s="35">
        <v>0.0</v>
      </c>
      <c r="R1272" s="36">
        <v>45250.0</v>
      </c>
      <c r="S1272" s="35" t="s">
        <v>66</v>
      </c>
      <c r="T1272" s="54" t="s">
        <v>1281</v>
      </c>
      <c r="U1272" s="37" t="s">
        <v>68</v>
      </c>
      <c r="V1272" s="38">
        <v>1200000.0</v>
      </c>
      <c r="W1272" s="78">
        <v>1691.0</v>
      </c>
      <c r="X1272" s="27"/>
      <c r="Y1272" s="79" t="s">
        <v>4139</v>
      </c>
      <c r="Z1272" s="39"/>
      <c r="AA1272" s="39"/>
      <c r="AB1272" s="27"/>
      <c r="AC1272" s="27">
        <v>57.0</v>
      </c>
      <c r="AD1272" s="41">
        <f t="shared" si="1014"/>
        <v>0</v>
      </c>
      <c r="AE1272" s="42"/>
      <c r="AF1272" s="27"/>
      <c r="AG1272" s="43">
        <f>IF(O1272="Paid",IF(A1272="Wethaq",(M1272*28%)-((M1272*28%)*5%),IF((A1272="GIG"),(M1272*25%)-((M1272*25%)*5%),IF((A1272="Allianz"),(M1272*27%)-((M1272*27%)*5%),0))),0)</f>
        <v>5969.6518</v>
      </c>
      <c r="AH1272" s="29"/>
      <c r="AI1272" s="29" t="s">
        <v>3049</v>
      </c>
      <c r="AJ1272" s="55">
        <v>0.28</v>
      </c>
      <c r="AK1272" s="29" t="s">
        <v>3050</v>
      </c>
      <c r="AL1272" s="27"/>
      <c r="AM1272" s="140">
        <f>AU1272*30%</f>
        <v>433.99023</v>
      </c>
      <c r="AN1272" s="71">
        <v>45654.0</v>
      </c>
      <c r="AO1272" s="46">
        <f>M1272*15%</f>
        <v>3366.345</v>
      </c>
      <c r="AP1272" s="47" t="s">
        <v>2972</v>
      </c>
      <c r="AQ1272" s="43">
        <f t="shared" si="1015"/>
        <v>6283.844</v>
      </c>
      <c r="AR1272" s="43">
        <f t="shared" si="448"/>
        <v>314.1922</v>
      </c>
      <c r="AS1272" s="43">
        <f t="shared" si="449"/>
        <v>1099.6727</v>
      </c>
      <c r="AT1272" s="48">
        <f t="shared" si="753"/>
        <v>4869.9791</v>
      </c>
      <c r="AU1272" s="49">
        <f t="shared" si="1011"/>
        <v>1446.6341</v>
      </c>
      <c r="AV1272" s="48"/>
      <c r="AW1272" s="34">
        <f t="shared" si="1000"/>
        <v>23943</v>
      </c>
      <c r="AX1272" s="50">
        <f t="shared" si="811"/>
        <v>1069.64387</v>
      </c>
      <c r="AY1272" s="43"/>
      <c r="AZ1272" s="47"/>
      <c r="BA1272" s="48">
        <f t="shared" si="1012"/>
        <v>-2353.70113</v>
      </c>
      <c r="BB1272" s="27"/>
      <c r="BC1272" s="27"/>
      <c r="BD1272" s="51" t="s">
        <v>1296</v>
      </c>
      <c r="BE1272" s="52"/>
      <c r="BF1272" s="27"/>
      <c r="BG1272" s="53">
        <v>0.0</v>
      </c>
      <c r="BH1272" s="53" t="str">
        <f>'[1]2023'!Q1551</f>
        <v>#REF!</v>
      </c>
      <c r="BI1272" s="27"/>
      <c r="BJ1272" s="27"/>
      <c r="BK1272" s="27" t="s">
        <v>76</v>
      </c>
      <c r="BL1272" s="27"/>
    </row>
    <row r="1273" ht="14.25" customHeight="1">
      <c r="A1273" s="26" t="s">
        <v>55</v>
      </c>
      <c r="B1273" s="26" t="s">
        <v>56</v>
      </c>
      <c r="C1273" s="26" t="s">
        <v>57</v>
      </c>
      <c r="D1273" s="26" t="s">
        <v>81</v>
      </c>
      <c r="E1273" s="27" t="s">
        <v>4140</v>
      </c>
      <c r="F1273" s="28" t="s">
        <v>4141</v>
      </c>
      <c r="G1273" s="29">
        <v>45231.0</v>
      </c>
      <c r="H1273" s="30">
        <v>45231.0</v>
      </c>
      <c r="I1273" s="30">
        <v>45596.0</v>
      </c>
      <c r="J1273" s="31" t="s">
        <v>4142</v>
      </c>
      <c r="K1273" s="26" t="s">
        <v>2374</v>
      </c>
      <c r="L1273" s="89">
        <v>45242.0</v>
      </c>
      <c r="M1273" s="33">
        <v>37170.0</v>
      </c>
      <c r="N1273" s="34">
        <v>39689.88</v>
      </c>
      <c r="O1273" s="27" t="s">
        <v>76</v>
      </c>
      <c r="P1273" s="35" t="s">
        <v>89</v>
      </c>
      <c r="Q1273" s="35" t="s">
        <v>90</v>
      </c>
      <c r="R1273" s="36">
        <v>45231.0</v>
      </c>
      <c r="S1273" s="35" t="s">
        <v>86</v>
      </c>
      <c r="T1273" s="35" t="s">
        <v>86</v>
      </c>
      <c r="U1273" s="37" t="s">
        <v>67</v>
      </c>
      <c r="V1273" s="38">
        <v>1800000.0</v>
      </c>
      <c r="W1273" s="78">
        <v>5083.0</v>
      </c>
      <c r="X1273" s="27">
        <v>2022.0</v>
      </c>
      <c r="Y1273" s="79" t="s">
        <v>476</v>
      </c>
      <c r="Z1273" s="39"/>
      <c r="AA1273" s="39"/>
      <c r="AB1273" s="27"/>
      <c r="AC1273" s="27">
        <f t="shared" ref="AC1273:AC1287" si="1016">M1273*AB1273</f>
        <v>0</v>
      </c>
      <c r="AD1273" s="41">
        <f t="shared" si="1014"/>
        <v>5575.5</v>
      </c>
      <c r="AE1273" s="42"/>
      <c r="AF1273" s="27"/>
      <c r="AG1273" s="43">
        <f>IF(O1273="Paid",IF(A1273="Wethaq",(M1273*28%)-((M1273*28%)*5%),IF((A1273="GIG"),(M1273*25%)-((M1273*25%)*5%),IF((A1273="Allianz"),(M1273*27%)-((M1273*27%)*20%),0))),0)</f>
        <v>8028.72</v>
      </c>
      <c r="AH1273" s="29"/>
      <c r="AI1273" s="29"/>
      <c r="AJ1273" s="29"/>
      <c r="AK1273" s="29"/>
      <c r="AL1273" s="27"/>
      <c r="AM1273" s="44"/>
      <c r="AN1273" s="47"/>
      <c r="AO1273" s="46"/>
      <c r="AP1273" s="47"/>
      <c r="AQ1273" s="43">
        <f t="shared" si="1015"/>
        <v>10035.9</v>
      </c>
      <c r="AR1273" s="43">
        <f t="shared" si="448"/>
        <v>501.795</v>
      </c>
      <c r="AS1273" s="43">
        <f t="shared" si="449"/>
        <v>1756.2825</v>
      </c>
      <c r="AT1273" s="48">
        <f t="shared" si="753"/>
        <v>7777.8225</v>
      </c>
      <c r="AU1273" s="49">
        <f t="shared" si="1011"/>
        <v>7777.8225</v>
      </c>
      <c r="AV1273" s="48"/>
      <c r="AW1273" s="34">
        <f t="shared" si="1000"/>
        <v>34114.38</v>
      </c>
      <c r="AX1273" s="50">
        <f t="shared" si="811"/>
        <v>696.9375</v>
      </c>
      <c r="AY1273" s="43"/>
      <c r="AZ1273" s="47"/>
      <c r="BA1273" s="48">
        <f t="shared" si="1012"/>
        <v>7777.8225</v>
      </c>
      <c r="BB1273" s="27"/>
      <c r="BC1273" s="27"/>
      <c r="BD1273" s="51"/>
      <c r="BE1273" s="52"/>
      <c r="BF1273" s="27"/>
      <c r="BG1273" s="53">
        <v>0.0</v>
      </c>
      <c r="BH1273" s="53" t="str">
        <f>'[1]2023'!Q1576</f>
        <v>#REF!</v>
      </c>
      <c r="BI1273" s="27"/>
      <c r="BJ1273" s="27"/>
      <c r="BK1273" s="27" t="s">
        <v>76</v>
      </c>
      <c r="BL1273" s="27"/>
    </row>
    <row r="1274" ht="14.25" customHeight="1">
      <c r="A1274" s="26" t="s">
        <v>55</v>
      </c>
      <c r="B1274" s="26" t="s">
        <v>1099</v>
      </c>
      <c r="C1274" s="26" t="s">
        <v>57</v>
      </c>
      <c r="D1274" s="26" t="s">
        <v>71</v>
      </c>
      <c r="E1274" s="27" t="s">
        <v>4143</v>
      </c>
      <c r="F1274" s="28" t="s">
        <v>1355</v>
      </c>
      <c r="G1274" s="29">
        <v>45231.0</v>
      </c>
      <c r="H1274" s="30">
        <v>45231.0</v>
      </c>
      <c r="I1274" s="30">
        <v>45596.0</v>
      </c>
      <c r="J1274" s="31" t="s">
        <v>86</v>
      </c>
      <c r="K1274" s="26" t="s">
        <v>4144</v>
      </c>
      <c r="L1274" s="32"/>
      <c r="M1274" s="33">
        <v>12723.0</v>
      </c>
      <c r="N1274" s="34">
        <v>13055.48</v>
      </c>
      <c r="O1274" s="27" t="s">
        <v>76</v>
      </c>
      <c r="P1274" s="35" t="s">
        <v>89</v>
      </c>
      <c r="Q1274" s="35">
        <v>0.0</v>
      </c>
      <c r="R1274" s="36">
        <v>0.0</v>
      </c>
      <c r="S1274" s="35" t="s">
        <v>66</v>
      </c>
      <c r="T1274" s="35">
        <v>0.0</v>
      </c>
      <c r="U1274" s="37">
        <v>0.0</v>
      </c>
      <c r="V1274" s="38"/>
      <c r="W1274" s="78"/>
      <c r="X1274" s="27"/>
      <c r="Y1274" s="39"/>
      <c r="Z1274" s="39"/>
      <c r="AA1274" s="39"/>
      <c r="AB1274" s="27"/>
      <c r="AC1274" s="27">
        <f t="shared" si="1016"/>
        <v>0</v>
      </c>
      <c r="AD1274" s="41">
        <f t="shared" si="1014"/>
        <v>0</v>
      </c>
      <c r="AE1274" s="42"/>
      <c r="AF1274" s="27"/>
      <c r="AG1274" s="43">
        <f>IF(O1274="Paid",IF(A1274="Wethaq",(M1274*28%)-((M1274*28%)*5%),IF((A1274="GIG"),(M1274*25%)-((M1274*25%)*5%),IF((A1274="Allianz"),(M1274*10%)-((M1274*10%)*5%),0))),0)</f>
        <v>1208.685</v>
      </c>
      <c r="AH1274" s="29"/>
      <c r="AI1274" s="29"/>
      <c r="AJ1274" s="29"/>
      <c r="AK1274" s="29"/>
      <c r="AL1274" s="27"/>
      <c r="AM1274" s="140">
        <f>AU1274*30%</f>
        <v>295.80975</v>
      </c>
      <c r="AN1274" s="71">
        <v>45654.0</v>
      </c>
      <c r="AO1274" s="46"/>
      <c r="AP1274" s="47"/>
      <c r="AQ1274" s="43">
        <f>(M1274*10%)</f>
        <v>1272.3</v>
      </c>
      <c r="AR1274" s="43">
        <f t="shared" si="448"/>
        <v>63.615</v>
      </c>
      <c r="AS1274" s="43">
        <f t="shared" si="449"/>
        <v>222.6525</v>
      </c>
      <c r="AT1274" s="48">
        <f t="shared" si="753"/>
        <v>986.0325</v>
      </c>
      <c r="AU1274" s="49">
        <f t="shared" si="1011"/>
        <v>986.0325</v>
      </c>
      <c r="AV1274" s="48"/>
      <c r="AW1274" s="34">
        <f t="shared" si="1000"/>
        <v>13055.48</v>
      </c>
      <c r="AX1274" s="50">
        <f t="shared" si="811"/>
        <v>690.22275</v>
      </c>
      <c r="AY1274" s="43"/>
      <c r="AZ1274" s="47"/>
      <c r="BA1274" s="48">
        <f t="shared" si="1012"/>
        <v>690.22275</v>
      </c>
      <c r="BB1274" s="27"/>
      <c r="BC1274" s="27"/>
      <c r="BD1274" s="51"/>
      <c r="BE1274" s="52"/>
      <c r="BF1274" s="27"/>
      <c r="BG1274" s="53">
        <v>0.0</v>
      </c>
      <c r="BH1274" s="53" t="str">
        <f>'[1]2023'!Q1692</f>
        <v>#REF!</v>
      </c>
      <c r="BI1274" s="27"/>
      <c r="BJ1274" s="27"/>
      <c r="BK1274" s="27" t="s">
        <v>1102</v>
      </c>
      <c r="BL1274" s="27"/>
    </row>
    <row r="1275" ht="14.25" customHeight="1">
      <c r="A1275" s="26" t="s">
        <v>55</v>
      </c>
      <c r="B1275" s="26" t="s">
        <v>56</v>
      </c>
      <c r="C1275" s="26" t="s">
        <v>57</v>
      </c>
      <c r="D1275" s="26" t="s">
        <v>81</v>
      </c>
      <c r="E1275" s="27" t="s">
        <v>4145</v>
      </c>
      <c r="F1275" s="26" t="s">
        <v>4146</v>
      </c>
      <c r="G1275" s="29">
        <v>45232.0</v>
      </c>
      <c r="H1275" s="30">
        <v>45232.0</v>
      </c>
      <c r="I1275" s="30">
        <v>45597.0</v>
      </c>
      <c r="J1275" s="31">
        <v>0.0</v>
      </c>
      <c r="K1275" s="26" t="s">
        <v>62</v>
      </c>
      <c r="L1275" s="69">
        <v>45264.0</v>
      </c>
      <c r="M1275" s="33">
        <v>18585.0</v>
      </c>
      <c r="N1275" s="82">
        <v>19822.52</v>
      </c>
      <c r="O1275" s="27" t="s">
        <v>76</v>
      </c>
      <c r="P1275" s="35" t="s">
        <v>142</v>
      </c>
      <c r="Q1275" s="35" t="s">
        <v>90</v>
      </c>
      <c r="R1275" s="36">
        <v>45232.0</v>
      </c>
      <c r="S1275" s="35" t="s">
        <v>86</v>
      </c>
      <c r="T1275" s="35">
        <v>0.0</v>
      </c>
      <c r="U1275" s="37" t="s">
        <v>67</v>
      </c>
      <c r="V1275" s="38"/>
      <c r="W1275" s="38"/>
      <c r="X1275" s="27"/>
      <c r="Y1275" s="39"/>
      <c r="Z1275" s="39"/>
      <c r="AA1275" s="39"/>
      <c r="AB1275" s="27"/>
      <c r="AC1275" s="27">
        <f t="shared" si="1016"/>
        <v>0</v>
      </c>
      <c r="AD1275" s="41">
        <f t="shared" ref="AD1275:AD1277" si="1017">IF(AND(S1275="0",O1275="Paid"),M1275*15%,0)</f>
        <v>2787.75</v>
      </c>
      <c r="AE1275" s="42"/>
      <c r="AF1275" s="29">
        <v>45020.0</v>
      </c>
      <c r="AG1275" s="43">
        <f t="shared" ref="AG1275:AG1278" si="1018">IF(O1275="Paid",IF(A1275="Alwataniya",(M1275*21%)-((M1275*21%)*5%),IF((A1275="GIG"),(M1275*25%)-((M1275*25%)*5%),IF((A1275="Allianz"),(M1275*27%)-((M1275*27%)*5%),0))),0)</f>
        <v>4767.0525</v>
      </c>
      <c r="AH1275" s="29"/>
      <c r="AI1275" s="29"/>
      <c r="AJ1275" s="29"/>
      <c r="AK1275" s="29"/>
      <c r="AL1275" s="27"/>
      <c r="AM1275" s="44"/>
      <c r="AN1275" s="47"/>
      <c r="AO1275" s="37"/>
      <c r="AP1275" s="47"/>
      <c r="AQ1275" s="43">
        <f t="shared" ref="AQ1275:AQ1277" si="1019">IF(U1275="Motor Plus",(M1275*27%),IF(U1275="Motor One",(M1275*22%),(IF(U1275="Golden",(M1275*25%),(IF(U1275="Classic",(M1275*15%),(IF(U1275="Wethaq",(M1275*28%),IF(U1275="Alwataniya",(M1275*21%))*0))))))))</f>
        <v>5017.95</v>
      </c>
      <c r="AR1275" s="43">
        <f t="shared" si="448"/>
        <v>250.8975</v>
      </c>
      <c r="AS1275" s="43">
        <f t="shared" si="449"/>
        <v>878.14125</v>
      </c>
      <c r="AT1275" s="48">
        <f t="shared" si="753"/>
        <v>3888.91125</v>
      </c>
      <c r="AU1275" s="221">
        <f t="shared" ref="AU1275:AU1277" si="1020">AQ1275-AR1275-AS1275-AC1275</f>
        <v>3888.91125</v>
      </c>
      <c r="AV1275" s="48"/>
      <c r="AW1275" s="34">
        <f t="shared" si="1000"/>
        <v>17034.77</v>
      </c>
      <c r="AX1275" s="50">
        <f t="shared" si="811"/>
        <v>1101.16125</v>
      </c>
      <c r="AY1275" s="43"/>
      <c r="AZ1275" s="27"/>
      <c r="BA1275" s="48">
        <f t="shared" si="1012"/>
        <v>3888.91125</v>
      </c>
      <c r="BB1275" s="27"/>
      <c r="BC1275" s="27"/>
      <c r="BD1275" s="51"/>
      <c r="BE1275" s="52"/>
      <c r="BF1275" s="27" t="s">
        <v>4145</v>
      </c>
      <c r="BG1275" s="53" t="s">
        <v>4147</v>
      </c>
      <c r="BH1275" s="53" t="str">
        <f t="shared" ref="BH1275:BH1276" si="1021">'[1]2023'!Q96</f>
        <v>#REF!</v>
      </c>
      <c r="BI1275" s="27"/>
      <c r="BJ1275" s="27"/>
      <c r="BK1275" s="27" t="s">
        <v>76</v>
      </c>
      <c r="BL1275" s="27"/>
    </row>
    <row r="1276" ht="14.25" customHeight="1">
      <c r="A1276" s="26" t="s">
        <v>55</v>
      </c>
      <c r="B1276" s="26" t="s">
        <v>56</v>
      </c>
      <c r="C1276" s="26" t="s">
        <v>57</v>
      </c>
      <c r="D1276" s="26" t="s">
        <v>81</v>
      </c>
      <c r="E1276" s="27" t="s">
        <v>4148</v>
      </c>
      <c r="F1276" s="26" t="s">
        <v>4149</v>
      </c>
      <c r="G1276" s="29">
        <v>45232.0</v>
      </c>
      <c r="H1276" s="30">
        <v>45232.0</v>
      </c>
      <c r="I1276" s="30">
        <v>45597.0</v>
      </c>
      <c r="J1276" s="31">
        <v>0.0</v>
      </c>
      <c r="K1276" s="26" t="s">
        <v>62</v>
      </c>
      <c r="L1276" s="32" t="s">
        <v>75</v>
      </c>
      <c r="M1276" s="33">
        <v>29426.25</v>
      </c>
      <c r="N1276" s="34">
        <v>31303.4</v>
      </c>
      <c r="O1276" s="27" t="s">
        <v>76</v>
      </c>
      <c r="P1276" s="35" t="s">
        <v>122</v>
      </c>
      <c r="Q1276" s="35" t="s">
        <v>85</v>
      </c>
      <c r="R1276" s="36">
        <v>45232.0</v>
      </c>
      <c r="S1276" s="35" t="s">
        <v>86</v>
      </c>
      <c r="T1276" s="35">
        <v>0.0</v>
      </c>
      <c r="U1276" s="37" t="s">
        <v>67</v>
      </c>
      <c r="V1276" s="38"/>
      <c r="W1276" s="38"/>
      <c r="X1276" s="27"/>
      <c r="Y1276" s="39"/>
      <c r="Z1276" s="39"/>
      <c r="AA1276" s="39"/>
      <c r="AB1276" s="27"/>
      <c r="AC1276" s="27">
        <f t="shared" si="1016"/>
        <v>0</v>
      </c>
      <c r="AD1276" s="41">
        <f t="shared" si="1017"/>
        <v>4413.9375</v>
      </c>
      <c r="AE1276" s="42"/>
      <c r="AF1276" s="29">
        <v>45049.0</v>
      </c>
      <c r="AG1276" s="43">
        <f t="shared" si="1018"/>
        <v>7547.833125</v>
      </c>
      <c r="AH1276" s="29"/>
      <c r="AI1276" s="29"/>
      <c r="AJ1276" s="29"/>
      <c r="AK1276" s="29"/>
      <c r="AL1276" s="27"/>
      <c r="AM1276" s="44"/>
      <c r="AN1276" s="47"/>
      <c r="AO1276" s="37"/>
      <c r="AP1276" s="47"/>
      <c r="AQ1276" s="43">
        <f t="shared" si="1019"/>
        <v>7945.0875</v>
      </c>
      <c r="AR1276" s="43">
        <f t="shared" si="448"/>
        <v>397.254375</v>
      </c>
      <c r="AS1276" s="43">
        <f t="shared" si="449"/>
        <v>1390.390313</v>
      </c>
      <c r="AT1276" s="48">
        <f t="shared" si="753"/>
        <v>6157.442813</v>
      </c>
      <c r="AU1276" s="49">
        <f t="shared" si="1020"/>
        <v>6157.442813</v>
      </c>
      <c r="AV1276" s="48"/>
      <c r="AW1276" s="34">
        <f t="shared" si="1000"/>
        <v>26889.4625</v>
      </c>
      <c r="AX1276" s="50">
        <f t="shared" si="811"/>
        <v>1743.505313</v>
      </c>
      <c r="AY1276" s="43"/>
      <c r="AZ1276" s="27"/>
      <c r="BA1276" s="48">
        <f t="shared" si="1012"/>
        <v>6157.442813</v>
      </c>
      <c r="BB1276" s="27"/>
      <c r="BC1276" s="27"/>
      <c r="BD1276" s="51"/>
      <c r="BE1276" s="52"/>
      <c r="BF1276" s="27" t="s">
        <v>4148</v>
      </c>
      <c r="BG1276" s="53" t="s">
        <v>4150</v>
      </c>
      <c r="BH1276" s="53" t="str">
        <f t="shared" si="1021"/>
        <v>#REF!</v>
      </c>
      <c r="BI1276" s="27"/>
      <c r="BJ1276" s="27"/>
      <c r="BK1276" s="27" t="s">
        <v>76</v>
      </c>
      <c r="BL1276" s="27" t="s">
        <v>138</v>
      </c>
    </row>
    <row r="1277" ht="14.25" customHeight="1">
      <c r="A1277" s="26" t="s">
        <v>55</v>
      </c>
      <c r="B1277" s="26" t="s">
        <v>56</v>
      </c>
      <c r="C1277" s="26" t="s">
        <v>57</v>
      </c>
      <c r="D1277" s="26" t="s">
        <v>81</v>
      </c>
      <c r="E1277" s="27" t="s">
        <v>4151</v>
      </c>
      <c r="F1277" s="26" t="s">
        <v>4152</v>
      </c>
      <c r="G1277" s="29">
        <v>45232.0</v>
      </c>
      <c r="H1277" s="30">
        <v>45232.0</v>
      </c>
      <c r="I1277" s="30">
        <v>45597.0</v>
      </c>
      <c r="J1277" s="31">
        <v>0.0</v>
      </c>
      <c r="K1277" s="26" t="s">
        <v>62</v>
      </c>
      <c r="L1277" s="32" t="s">
        <v>75</v>
      </c>
      <c r="M1277" s="33">
        <v>22420.0</v>
      </c>
      <c r="N1277" s="34">
        <v>23883.78</v>
      </c>
      <c r="O1277" s="27" t="s">
        <v>76</v>
      </c>
      <c r="P1277" s="35" t="s">
        <v>104</v>
      </c>
      <c r="Q1277" s="35" t="s">
        <v>90</v>
      </c>
      <c r="R1277" s="36">
        <v>45232.0</v>
      </c>
      <c r="S1277" s="35" t="s">
        <v>86</v>
      </c>
      <c r="T1277" s="35">
        <v>0.0</v>
      </c>
      <c r="U1277" s="37" t="s">
        <v>67</v>
      </c>
      <c r="V1277" s="38"/>
      <c r="W1277" s="38"/>
      <c r="X1277" s="27"/>
      <c r="Y1277" s="39"/>
      <c r="Z1277" s="39"/>
      <c r="AA1277" s="39"/>
      <c r="AB1277" s="27"/>
      <c r="AC1277" s="27">
        <f t="shared" si="1016"/>
        <v>0</v>
      </c>
      <c r="AD1277" s="41">
        <f t="shared" si="1017"/>
        <v>3363</v>
      </c>
      <c r="AE1277" s="42"/>
      <c r="AF1277" s="59"/>
      <c r="AG1277" s="43">
        <f t="shared" si="1018"/>
        <v>5750.73</v>
      </c>
      <c r="AH1277" s="29"/>
      <c r="AI1277" s="29"/>
      <c r="AJ1277" s="29"/>
      <c r="AK1277" s="29"/>
      <c r="AL1277" s="27"/>
      <c r="AM1277" s="44"/>
      <c r="AN1277" s="47"/>
      <c r="AO1277" s="37"/>
      <c r="AP1277" s="47"/>
      <c r="AQ1277" s="43">
        <f t="shared" si="1019"/>
        <v>6053.4</v>
      </c>
      <c r="AR1277" s="43">
        <f t="shared" si="448"/>
        <v>302.67</v>
      </c>
      <c r="AS1277" s="43">
        <f t="shared" si="449"/>
        <v>1059.345</v>
      </c>
      <c r="AT1277" s="48">
        <f t="shared" si="753"/>
        <v>4691.385</v>
      </c>
      <c r="AU1277" s="49">
        <f t="shared" si="1020"/>
        <v>4691.385</v>
      </c>
      <c r="AV1277" s="48"/>
      <c r="AW1277" s="34">
        <f t="shared" si="1000"/>
        <v>20520.78</v>
      </c>
      <c r="AX1277" s="50">
        <f t="shared" si="811"/>
        <v>1328.385</v>
      </c>
      <c r="AY1277" s="43"/>
      <c r="AZ1277" s="27"/>
      <c r="BA1277" s="48">
        <f t="shared" si="1012"/>
        <v>4691.385</v>
      </c>
      <c r="BB1277" s="27"/>
      <c r="BC1277" s="27"/>
      <c r="BD1277" s="51"/>
      <c r="BE1277" s="52"/>
      <c r="BF1277" s="27" t="s">
        <v>4151</v>
      </c>
      <c r="BG1277" s="53" t="s">
        <v>4153</v>
      </c>
      <c r="BH1277" s="53" t="str">
        <f>'[1]2023'!Q118</f>
        <v>#REF!</v>
      </c>
      <c r="BI1277" s="27"/>
      <c r="BJ1277" s="27"/>
      <c r="BK1277" s="27" t="s">
        <v>76</v>
      </c>
      <c r="BL1277" s="27"/>
    </row>
    <row r="1278" ht="14.25" customHeight="1">
      <c r="A1278" s="26" t="s">
        <v>111</v>
      </c>
      <c r="B1278" s="26" t="s">
        <v>56</v>
      </c>
      <c r="C1278" s="26" t="s">
        <v>57</v>
      </c>
      <c r="D1278" s="26" t="s">
        <v>58</v>
      </c>
      <c r="E1278" s="27" t="s">
        <v>4154</v>
      </c>
      <c r="F1278" s="28" t="s">
        <v>4155</v>
      </c>
      <c r="G1278" s="29">
        <v>45232.0</v>
      </c>
      <c r="H1278" s="30">
        <v>45232.0</v>
      </c>
      <c r="I1278" s="30">
        <v>45597.0</v>
      </c>
      <c r="J1278" s="31" t="s">
        <v>2965</v>
      </c>
      <c r="K1278" s="26" t="s">
        <v>2374</v>
      </c>
      <c r="L1278" s="89">
        <v>45243.0</v>
      </c>
      <c r="M1278" s="33">
        <v>1474.81</v>
      </c>
      <c r="N1278" s="34">
        <v>1625.0</v>
      </c>
      <c r="O1278" s="27" t="s">
        <v>76</v>
      </c>
      <c r="P1278" s="35" t="s">
        <v>89</v>
      </c>
      <c r="Q1278" s="35" t="s">
        <v>108</v>
      </c>
      <c r="R1278" s="36">
        <v>45242.0</v>
      </c>
      <c r="S1278" s="35" t="s">
        <v>848</v>
      </c>
      <c r="T1278" s="35">
        <v>0.0</v>
      </c>
      <c r="U1278" s="37" t="s">
        <v>115</v>
      </c>
      <c r="V1278" s="38">
        <v>1200000.0</v>
      </c>
      <c r="W1278" s="38" t="s">
        <v>4156</v>
      </c>
      <c r="X1278" s="27">
        <v>2022.0</v>
      </c>
      <c r="Y1278" s="222" t="s">
        <v>276</v>
      </c>
      <c r="Z1278" s="222" t="s">
        <v>3760</v>
      </c>
      <c r="AA1278" s="39"/>
      <c r="AB1278" s="27"/>
      <c r="AC1278" s="27">
        <f t="shared" si="1016"/>
        <v>0</v>
      </c>
      <c r="AD1278" s="41">
        <f t="shared" ref="AD1278:AD1279" si="1022">IF(AND(S1278="0",O1278="Paid"),(M1278*15%)-AC1278,0)</f>
        <v>0</v>
      </c>
      <c r="AE1278" s="42"/>
      <c r="AF1278" s="27"/>
      <c r="AG1278" s="43">
        <f t="shared" si="1018"/>
        <v>350.267375</v>
      </c>
      <c r="AH1278" s="29" t="s">
        <v>4068</v>
      </c>
      <c r="AI1278" s="29" t="s">
        <v>3050</v>
      </c>
      <c r="AJ1278" s="29"/>
      <c r="AK1278" s="29" t="s">
        <v>2982</v>
      </c>
      <c r="AL1278" s="27"/>
      <c r="AM1278" s="44"/>
      <c r="AN1278" s="47"/>
      <c r="AO1278" s="46"/>
      <c r="AP1278" s="47"/>
      <c r="AQ1278" s="43">
        <f t="shared" ref="AQ1278:AQ1283" si="1023">IF(O1278="Paid",IF(U1278="Motor Plus",(M1278*27%),IF(U1278="Motor One",(M1278*22%),(IF(U1278="Golden",(M1278*25%),(IF(U1278="Classic",(M1278*15%),(IF(U1278="Wethaq",(M1278*28%),IF(U1278="Alwataniya",(M1278*21%))*0)))))))))</f>
        <v>368.7025</v>
      </c>
      <c r="AR1278" s="43">
        <f t="shared" si="448"/>
        <v>18.435125</v>
      </c>
      <c r="AS1278" s="43">
        <f t="shared" si="449"/>
        <v>64.5229375</v>
      </c>
      <c r="AT1278" s="48">
        <f t="shared" si="753"/>
        <v>285.7444375</v>
      </c>
      <c r="AU1278" s="49">
        <f t="shared" ref="AU1278:AU1283" si="1024">AQ1278-AR1278-AS1278-AC1278-AO1278</f>
        <v>285.7444375</v>
      </c>
      <c r="AV1278" s="48"/>
      <c r="AW1278" s="34">
        <f t="shared" si="1000"/>
        <v>1625</v>
      </c>
      <c r="AX1278" s="50">
        <f t="shared" si="811"/>
        <v>285.7444375</v>
      </c>
      <c r="AY1278" s="43"/>
      <c r="AZ1278" s="47"/>
      <c r="BA1278" s="48">
        <f t="shared" si="1012"/>
        <v>285.7444375</v>
      </c>
      <c r="BB1278" s="27"/>
      <c r="BC1278" s="27"/>
      <c r="BD1278" s="51"/>
      <c r="BE1278" s="52"/>
      <c r="BF1278" s="27"/>
      <c r="BG1278" s="53">
        <v>0.0</v>
      </c>
      <c r="BH1278" s="53" t="str">
        <f>'[1]2023'!Q1550</f>
        <v>#REF!</v>
      </c>
      <c r="BI1278" s="27"/>
      <c r="BJ1278" s="27"/>
      <c r="BK1278" s="27" t="s">
        <v>76</v>
      </c>
      <c r="BL1278" s="27"/>
    </row>
    <row r="1279" ht="14.25" customHeight="1">
      <c r="A1279" s="26" t="s">
        <v>55</v>
      </c>
      <c r="B1279" s="26" t="s">
        <v>56</v>
      </c>
      <c r="C1279" s="26" t="s">
        <v>57</v>
      </c>
      <c r="D1279" s="26" t="s">
        <v>58</v>
      </c>
      <c r="E1279" s="90" t="s">
        <v>4157</v>
      </c>
      <c r="F1279" s="28" t="s">
        <v>4158</v>
      </c>
      <c r="G1279" s="29">
        <v>45232.0</v>
      </c>
      <c r="H1279" s="30">
        <v>45232.0</v>
      </c>
      <c r="I1279" s="30">
        <v>45597.0</v>
      </c>
      <c r="J1279" s="31">
        <v>0.0</v>
      </c>
      <c r="K1279" s="26" t="s">
        <v>2374</v>
      </c>
      <c r="L1279" s="89">
        <v>45243.0</v>
      </c>
      <c r="M1279" s="33">
        <v>5749.33</v>
      </c>
      <c r="N1279" s="34">
        <v>6090.0</v>
      </c>
      <c r="O1279" s="27" t="s">
        <v>76</v>
      </c>
      <c r="P1279" s="35" t="s">
        <v>122</v>
      </c>
      <c r="Q1279" s="35" t="s">
        <v>90</v>
      </c>
      <c r="R1279" s="36">
        <v>45232.0</v>
      </c>
      <c r="S1279" s="35" t="s">
        <v>66</v>
      </c>
      <c r="T1279" s="35">
        <v>0.0</v>
      </c>
      <c r="U1279" s="37" t="s">
        <v>67</v>
      </c>
      <c r="V1279" s="38">
        <v>1600000.0</v>
      </c>
      <c r="W1279" s="78">
        <v>40438.0</v>
      </c>
      <c r="X1279" s="27">
        <v>2021.0</v>
      </c>
      <c r="Y1279" s="79" t="s">
        <v>208</v>
      </c>
      <c r="Z1279" s="39"/>
      <c r="AA1279" s="39"/>
      <c r="AB1279" s="27"/>
      <c r="AC1279" s="27">
        <f t="shared" si="1016"/>
        <v>0</v>
      </c>
      <c r="AD1279" s="41">
        <f t="shared" si="1022"/>
        <v>0</v>
      </c>
      <c r="AE1279" s="42"/>
      <c r="AF1279" s="27"/>
      <c r="AG1279" s="43">
        <f>IF(O1279="Paid",IF(A1279="Alwataniya",(M1279*21%)-((M1279*21%)*5%),IF((A1279="GIG"),(M1279*25%)-((M1279*25%)*5%),IF((A1279="Allianz"),(M1279*27%)-((M1279*27%)*5%),0))),(M1279*28%)-((M1279*28%)*5%))</f>
        <v>1474.703145</v>
      </c>
      <c r="AH1279" s="29"/>
      <c r="AI1279" s="29"/>
      <c r="AJ1279" s="29"/>
      <c r="AK1279" s="29"/>
      <c r="AL1279" s="27"/>
      <c r="AM1279" s="44"/>
      <c r="AN1279" s="47"/>
      <c r="AO1279" s="46"/>
      <c r="AP1279" s="47"/>
      <c r="AQ1279" s="43">
        <f t="shared" si="1023"/>
        <v>1552.3191</v>
      </c>
      <c r="AR1279" s="43">
        <f t="shared" si="448"/>
        <v>77.615955</v>
      </c>
      <c r="AS1279" s="43">
        <f t="shared" si="449"/>
        <v>271.6558425</v>
      </c>
      <c r="AT1279" s="48">
        <f t="shared" si="753"/>
        <v>1203.047303</v>
      </c>
      <c r="AU1279" s="49">
        <f t="shared" si="1024"/>
        <v>1203.047303</v>
      </c>
      <c r="AV1279" s="48"/>
      <c r="AW1279" s="34">
        <f t="shared" si="1000"/>
        <v>6090</v>
      </c>
      <c r="AX1279" s="50">
        <f t="shared" si="811"/>
        <v>1203.047303</v>
      </c>
      <c r="AY1279" s="43"/>
      <c r="AZ1279" s="47"/>
      <c r="BA1279" s="48">
        <f t="shared" si="1012"/>
        <v>1203.047303</v>
      </c>
      <c r="BB1279" s="27"/>
      <c r="BC1279" s="27"/>
      <c r="BD1279" s="51"/>
      <c r="BE1279" s="52"/>
      <c r="BF1279" s="27"/>
      <c r="BG1279" s="53">
        <v>0.0</v>
      </c>
      <c r="BH1279" s="53" t="str">
        <f>'[1]2023'!Q1552</f>
        <v>#REF!</v>
      </c>
      <c r="BI1279" s="27"/>
      <c r="BJ1279" s="27"/>
      <c r="BK1279" s="27" t="s">
        <v>76</v>
      </c>
      <c r="BL1279" s="27"/>
    </row>
    <row r="1280" ht="14.25" customHeight="1">
      <c r="A1280" s="26" t="s">
        <v>55</v>
      </c>
      <c r="B1280" s="26" t="s">
        <v>56</v>
      </c>
      <c r="C1280" s="26" t="s">
        <v>57</v>
      </c>
      <c r="D1280" s="26" t="s">
        <v>71</v>
      </c>
      <c r="E1280" s="27" t="s">
        <v>4159</v>
      </c>
      <c r="F1280" s="28" t="s">
        <v>4160</v>
      </c>
      <c r="G1280" s="29">
        <v>45232.0</v>
      </c>
      <c r="H1280" s="30">
        <v>45232.0</v>
      </c>
      <c r="I1280" s="30">
        <v>45597.0</v>
      </c>
      <c r="J1280" s="31" t="s">
        <v>4161</v>
      </c>
      <c r="K1280" s="26" t="s">
        <v>2374</v>
      </c>
      <c r="L1280" s="89">
        <v>45260.0</v>
      </c>
      <c r="M1280" s="33">
        <v>56400.0</v>
      </c>
      <c r="N1280" s="34">
        <v>60209.6</v>
      </c>
      <c r="O1280" s="27" t="s">
        <v>76</v>
      </c>
      <c r="P1280" s="35" t="s">
        <v>89</v>
      </c>
      <c r="Q1280" s="35" t="s">
        <v>65</v>
      </c>
      <c r="R1280" s="36">
        <v>45232.0</v>
      </c>
      <c r="S1280" s="35" t="s">
        <v>78</v>
      </c>
      <c r="T1280" s="35" t="s">
        <v>86</v>
      </c>
      <c r="U1280" s="37" t="s">
        <v>67</v>
      </c>
      <c r="V1280" s="38">
        <v>2000000.0</v>
      </c>
      <c r="W1280" s="78" t="s">
        <v>4162</v>
      </c>
      <c r="X1280" s="27">
        <v>2022.0</v>
      </c>
      <c r="Y1280" s="79" t="s">
        <v>4163</v>
      </c>
      <c r="Z1280" s="39"/>
      <c r="AA1280" s="39"/>
      <c r="AB1280" s="55">
        <v>0.15</v>
      </c>
      <c r="AC1280" s="27">
        <f t="shared" si="1016"/>
        <v>8460</v>
      </c>
      <c r="AD1280" s="41">
        <v>0.0</v>
      </c>
      <c r="AE1280" s="42"/>
      <c r="AF1280" s="27"/>
      <c r="AG1280" s="43">
        <f t="shared" ref="AG1280:AG1283" si="1025">IF(O1280="Paid",IF(A1280="Wethaq",(M1280*28%)-((M1280*28%)*5%),IF((A1280="GIG"),(M1280*25%)-((M1280*25%)*5%),IF((A1280="Allianz"),(M1280*27%)-((M1280*27%)*20%),0))),0)</f>
        <v>12182.4</v>
      </c>
      <c r="AH1280" s="29"/>
      <c r="AI1280" s="29"/>
      <c r="AJ1280" s="29"/>
      <c r="AK1280" s="29"/>
      <c r="AL1280" s="27"/>
      <c r="AM1280" s="44"/>
      <c r="AN1280" s="47"/>
      <c r="AO1280" s="46"/>
      <c r="AP1280" s="47"/>
      <c r="AQ1280" s="43">
        <f t="shared" si="1023"/>
        <v>15228</v>
      </c>
      <c r="AR1280" s="43">
        <f t="shared" si="448"/>
        <v>761.4</v>
      </c>
      <c r="AS1280" s="43">
        <f t="shared" si="449"/>
        <v>2664.9</v>
      </c>
      <c r="AT1280" s="48">
        <f t="shared" si="753"/>
        <v>11801.7</v>
      </c>
      <c r="AU1280" s="49">
        <f t="shared" si="1024"/>
        <v>3341.7</v>
      </c>
      <c r="AV1280" s="48"/>
      <c r="AW1280" s="34">
        <f t="shared" si="1000"/>
        <v>51749.6</v>
      </c>
      <c r="AX1280" s="50">
        <f t="shared" si="811"/>
        <v>9517.5</v>
      </c>
      <c r="AY1280" s="43"/>
      <c r="AZ1280" s="47"/>
      <c r="BA1280" s="48">
        <f t="shared" si="1012"/>
        <v>3341.7</v>
      </c>
      <c r="BB1280" s="27"/>
      <c r="BC1280" s="27"/>
      <c r="BD1280" s="51"/>
      <c r="BE1280" s="52"/>
      <c r="BF1280" s="27"/>
      <c r="BG1280" s="53">
        <v>0.0</v>
      </c>
      <c r="BH1280" s="53" t="str">
        <f t="shared" ref="BH1280:BH1281" si="1026">'[1]2023'!Q1578</f>
        <v>#REF!</v>
      </c>
      <c r="BI1280" s="27"/>
      <c r="BJ1280" s="27"/>
      <c r="BK1280" s="27" t="s">
        <v>76</v>
      </c>
      <c r="BL1280" s="27"/>
    </row>
    <row r="1281" ht="14.25" customHeight="1">
      <c r="A1281" s="26" t="s">
        <v>55</v>
      </c>
      <c r="B1281" s="26" t="s">
        <v>56</v>
      </c>
      <c r="C1281" s="26" t="s">
        <v>57</v>
      </c>
      <c r="D1281" s="26" t="s">
        <v>71</v>
      </c>
      <c r="E1281" s="27" t="s">
        <v>4164</v>
      </c>
      <c r="F1281" s="28" t="s">
        <v>4165</v>
      </c>
      <c r="G1281" s="29">
        <v>45232.0</v>
      </c>
      <c r="H1281" s="30">
        <v>45232.0</v>
      </c>
      <c r="I1281" s="30">
        <v>45597.0</v>
      </c>
      <c r="J1281" s="31" t="s">
        <v>4166</v>
      </c>
      <c r="K1281" s="26" t="s">
        <v>2374</v>
      </c>
      <c r="L1281" s="89">
        <v>45260.0</v>
      </c>
      <c r="M1281" s="33">
        <v>56400.0</v>
      </c>
      <c r="N1281" s="34">
        <v>60209.6</v>
      </c>
      <c r="O1281" s="27" t="s">
        <v>76</v>
      </c>
      <c r="P1281" s="35" t="s">
        <v>89</v>
      </c>
      <c r="Q1281" s="35" t="s">
        <v>65</v>
      </c>
      <c r="R1281" s="36">
        <v>45232.0</v>
      </c>
      <c r="S1281" s="35" t="s">
        <v>78</v>
      </c>
      <c r="T1281" s="35" t="s">
        <v>86</v>
      </c>
      <c r="U1281" s="37" t="s">
        <v>67</v>
      </c>
      <c r="V1281" s="38">
        <v>2000000.0</v>
      </c>
      <c r="W1281" s="78" t="s">
        <v>4167</v>
      </c>
      <c r="X1281" s="27">
        <v>2022.0</v>
      </c>
      <c r="Y1281" s="79" t="s">
        <v>4163</v>
      </c>
      <c r="Z1281" s="39"/>
      <c r="AA1281" s="39"/>
      <c r="AB1281" s="55">
        <v>0.15</v>
      </c>
      <c r="AC1281" s="27">
        <f t="shared" si="1016"/>
        <v>8460</v>
      </c>
      <c r="AD1281" s="41">
        <v>0.0</v>
      </c>
      <c r="AE1281" s="42"/>
      <c r="AF1281" s="27"/>
      <c r="AG1281" s="43">
        <f t="shared" si="1025"/>
        <v>12182.4</v>
      </c>
      <c r="AH1281" s="29"/>
      <c r="AI1281" s="29"/>
      <c r="AJ1281" s="29"/>
      <c r="AK1281" s="29"/>
      <c r="AL1281" s="27"/>
      <c r="AM1281" s="44"/>
      <c r="AN1281" s="47"/>
      <c r="AO1281" s="46"/>
      <c r="AP1281" s="47"/>
      <c r="AQ1281" s="43">
        <f t="shared" si="1023"/>
        <v>15228</v>
      </c>
      <c r="AR1281" s="43">
        <f t="shared" si="448"/>
        <v>761.4</v>
      </c>
      <c r="AS1281" s="43">
        <f t="shared" si="449"/>
        <v>2664.9</v>
      </c>
      <c r="AT1281" s="48">
        <f t="shared" si="753"/>
        <v>11801.7</v>
      </c>
      <c r="AU1281" s="49">
        <f t="shared" si="1024"/>
        <v>3341.7</v>
      </c>
      <c r="AV1281" s="48"/>
      <c r="AW1281" s="34">
        <f t="shared" si="1000"/>
        <v>51749.6</v>
      </c>
      <c r="AX1281" s="50">
        <f t="shared" si="811"/>
        <v>9517.5</v>
      </c>
      <c r="AY1281" s="43"/>
      <c r="AZ1281" s="47"/>
      <c r="BA1281" s="48">
        <f t="shared" si="1012"/>
        <v>3341.7</v>
      </c>
      <c r="BB1281" s="27"/>
      <c r="BC1281" s="27"/>
      <c r="BD1281" s="51"/>
      <c r="BE1281" s="52"/>
      <c r="BF1281" s="27"/>
      <c r="BG1281" s="53">
        <v>0.0</v>
      </c>
      <c r="BH1281" s="53" t="str">
        <f t="shared" si="1026"/>
        <v>#REF!</v>
      </c>
      <c r="BI1281" s="27"/>
      <c r="BJ1281" s="27"/>
      <c r="BK1281" s="27" t="s">
        <v>76</v>
      </c>
      <c r="BL1281" s="27"/>
    </row>
    <row r="1282" ht="14.25" customHeight="1">
      <c r="A1282" s="26" t="s">
        <v>55</v>
      </c>
      <c r="B1282" s="26" t="s">
        <v>56</v>
      </c>
      <c r="C1282" s="26" t="s">
        <v>57</v>
      </c>
      <c r="D1282" s="26" t="s">
        <v>81</v>
      </c>
      <c r="E1282" s="27" t="s">
        <v>4168</v>
      </c>
      <c r="F1282" s="28" t="s">
        <v>4169</v>
      </c>
      <c r="G1282" s="29">
        <v>45232.0</v>
      </c>
      <c r="H1282" s="30">
        <v>45232.0</v>
      </c>
      <c r="I1282" s="30">
        <v>45597.0</v>
      </c>
      <c r="J1282" s="31" t="s">
        <v>4170</v>
      </c>
      <c r="K1282" s="26" t="s">
        <v>2374</v>
      </c>
      <c r="L1282" s="89">
        <v>45235.0</v>
      </c>
      <c r="M1282" s="33">
        <v>26550.0</v>
      </c>
      <c r="N1282" s="34">
        <v>28390.2</v>
      </c>
      <c r="O1282" s="27" t="s">
        <v>76</v>
      </c>
      <c r="P1282" s="35" t="s">
        <v>89</v>
      </c>
      <c r="Q1282" s="35" t="s">
        <v>65</v>
      </c>
      <c r="R1282" s="36">
        <v>45232.0</v>
      </c>
      <c r="S1282" s="35" t="s">
        <v>86</v>
      </c>
      <c r="T1282" s="54" t="s">
        <v>163</v>
      </c>
      <c r="U1282" s="37" t="s">
        <v>67</v>
      </c>
      <c r="V1282" s="38">
        <v>1500000.0</v>
      </c>
      <c r="W1282" s="78">
        <v>3484.0</v>
      </c>
      <c r="X1282" s="27">
        <v>2021.0</v>
      </c>
      <c r="Y1282" s="79" t="s">
        <v>208</v>
      </c>
      <c r="Z1282" s="39"/>
      <c r="AA1282" s="39"/>
      <c r="AB1282" s="27"/>
      <c r="AC1282" s="27">
        <f t="shared" si="1016"/>
        <v>0</v>
      </c>
      <c r="AD1282" s="41"/>
      <c r="AE1282" s="42"/>
      <c r="AF1282" s="27"/>
      <c r="AG1282" s="43">
        <f t="shared" si="1025"/>
        <v>5734.8</v>
      </c>
      <c r="AH1282" s="29"/>
      <c r="AI1282" s="29"/>
      <c r="AJ1282" s="29"/>
      <c r="AK1282" s="29"/>
      <c r="AL1282" s="27"/>
      <c r="AM1282" s="44"/>
      <c r="AN1282" s="47"/>
      <c r="AO1282" s="70">
        <f t="shared" ref="AO1282:AO1283" si="1027">M1282*15%</f>
        <v>3982.5</v>
      </c>
      <c r="AP1282" s="71">
        <v>45267.0</v>
      </c>
      <c r="AQ1282" s="43">
        <f t="shared" si="1023"/>
        <v>7168.5</v>
      </c>
      <c r="AR1282" s="43">
        <f t="shared" si="448"/>
        <v>358.425</v>
      </c>
      <c r="AS1282" s="43">
        <f t="shared" si="449"/>
        <v>1254.4875</v>
      </c>
      <c r="AT1282" s="48">
        <f t="shared" si="753"/>
        <v>5555.5875</v>
      </c>
      <c r="AU1282" s="49">
        <f t="shared" si="1024"/>
        <v>1573.0875</v>
      </c>
      <c r="AV1282" s="48"/>
      <c r="AW1282" s="34">
        <f t="shared" si="1000"/>
        <v>28390.2</v>
      </c>
      <c r="AX1282" s="50">
        <f t="shared" si="811"/>
        <v>497.8125</v>
      </c>
      <c r="AY1282" s="43"/>
      <c r="AZ1282" s="47"/>
      <c r="BA1282" s="48">
        <f t="shared" si="1012"/>
        <v>-2409.4125</v>
      </c>
      <c r="BB1282" s="27"/>
      <c r="BC1282" s="27"/>
      <c r="BD1282" s="51"/>
      <c r="BE1282" s="52"/>
      <c r="BF1282" s="27"/>
      <c r="BG1282" s="53">
        <v>0.0</v>
      </c>
      <c r="BH1282" s="53" t="str">
        <f>'[1]2023'!Q1616</f>
        <v>#REF!</v>
      </c>
      <c r="BI1282" s="27"/>
      <c r="BJ1282" s="27"/>
      <c r="BK1282" s="27" t="s">
        <v>76</v>
      </c>
      <c r="BL1282" s="27"/>
    </row>
    <row r="1283" ht="14.25" customHeight="1">
      <c r="A1283" s="26" t="s">
        <v>55</v>
      </c>
      <c r="B1283" s="26" t="s">
        <v>56</v>
      </c>
      <c r="C1283" s="26" t="s">
        <v>57</v>
      </c>
      <c r="D1283" s="26" t="s">
        <v>81</v>
      </c>
      <c r="E1283" s="27" t="s">
        <v>4171</v>
      </c>
      <c r="F1283" s="198" t="s">
        <v>4172</v>
      </c>
      <c r="G1283" s="29">
        <v>45232.0</v>
      </c>
      <c r="H1283" s="30">
        <v>45232.0</v>
      </c>
      <c r="I1283" s="30">
        <v>45597.0</v>
      </c>
      <c r="J1283" s="31" t="s">
        <v>4173</v>
      </c>
      <c r="K1283" s="26" t="s">
        <v>2374</v>
      </c>
      <c r="L1283" s="89">
        <v>45264.0</v>
      </c>
      <c r="M1283" s="33">
        <v>28320.0</v>
      </c>
      <c r="N1283" s="34">
        <v>30273.48</v>
      </c>
      <c r="O1283" s="27" t="s">
        <v>76</v>
      </c>
      <c r="P1283" s="35" t="s">
        <v>95</v>
      </c>
      <c r="Q1283" s="35" t="s">
        <v>65</v>
      </c>
      <c r="R1283" s="36">
        <v>45232.0</v>
      </c>
      <c r="S1283" s="35" t="s">
        <v>86</v>
      </c>
      <c r="T1283" s="54" t="s">
        <v>163</v>
      </c>
      <c r="U1283" s="37" t="s">
        <v>67</v>
      </c>
      <c r="V1283" s="38"/>
      <c r="W1283" s="78"/>
      <c r="X1283" s="27"/>
      <c r="Y1283" s="39"/>
      <c r="Z1283" s="39"/>
      <c r="AA1283" s="39"/>
      <c r="AB1283" s="27"/>
      <c r="AC1283" s="27">
        <f t="shared" si="1016"/>
        <v>0</v>
      </c>
      <c r="AD1283" s="41"/>
      <c r="AE1283" s="42"/>
      <c r="AF1283" s="27"/>
      <c r="AG1283" s="43">
        <f t="shared" si="1025"/>
        <v>6117.12</v>
      </c>
      <c r="AH1283" s="29"/>
      <c r="AI1283" s="29"/>
      <c r="AJ1283" s="29"/>
      <c r="AK1283" s="29"/>
      <c r="AL1283" s="27"/>
      <c r="AM1283" s="44"/>
      <c r="AN1283" s="47"/>
      <c r="AO1283" s="70">
        <f t="shared" si="1027"/>
        <v>4248</v>
      </c>
      <c r="AP1283" s="71">
        <v>45267.0</v>
      </c>
      <c r="AQ1283" s="43">
        <f t="shared" si="1023"/>
        <v>7646.4</v>
      </c>
      <c r="AR1283" s="43">
        <f t="shared" si="448"/>
        <v>382.32</v>
      </c>
      <c r="AS1283" s="43">
        <f t="shared" si="449"/>
        <v>1338.12</v>
      </c>
      <c r="AT1283" s="48">
        <f t="shared" si="753"/>
        <v>5925.96</v>
      </c>
      <c r="AU1283" s="49">
        <f t="shared" si="1024"/>
        <v>1677.96</v>
      </c>
      <c r="AV1283" s="48"/>
      <c r="AW1283" s="34">
        <f t="shared" si="1000"/>
        <v>30273.48</v>
      </c>
      <c r="AX1283" s="50">
        <f t="shared" si="811"/>
        <v>531</v>
      </c>
      <c r="AY1283" s="43"/>
      <c r="AZ1283" s="47"/>
      <c r="BA1283" s="48">
        <f t="shared" si="1012"/>
        <v>-2570.04</v>
      </c>
      <c r="BB1283" s="27"/>
      <c r="BC1283" s="27"/>
      <c r="BD1283" s="51"/>
      <c r="BE1283" s="52"/>
      <c r="BF1283" s="27"/>
      <c r="BG1283" s="53">
        <v>0.0</v>
      </c>
      <c r="BH1283" s="53" t="str">
        <f>'[1]2023'!Q1622</f>
        <v>#REF!</v>
      </c>
      <c r="BI1283" s="27"/>
      <c r="BJ1283" s="27"/>
      <c r="BK1283" s="27" t="s">
        <v>76</v>
      </c>
      <c r="BL1283" s="27"/>
    </row>
    <row r="1284" ht="14.25" customHeight="1">
      <c r="A1284" s="26" t="s">
        <v>55</v>
      </c>
      <c r="B1284" s="26" t="s">
        <v>56</v>
      </c>
      <c r="C1284" s="26" t="s">
        <v>57</v>
      </c>
      <c r="D1284" s="26" t="s">
        <v>81</v>
      </c>
      <c r="E1284" s="27" t="s">
        <v>4174</v>
      </c>
      <c r="F1284" s="26" t="s">
        <v>4175</v>
      </c>
      <c r="G1284" s="29">
        <v>45233.0</v>
      </c>
      <c r="H1284" s="30">
        <v>45233.0</v>
      </c>
      <c r="I1284" s="30">
        <v>45598.0</v>
      </c>
      <c r="J1284" s="31" t="s">
        <v>384</v>
      </c>
      <c r="K1284" s="26" t="s">
        <v>352</v>
      </c>
      <c r="L1284" s="32" t="s">
        <v>75</v>
      </c>
      <c r="M1284" s="33">
        <v>25080.0</v>
      </c>
      <c r="N1284" s="34">
        <v>26700.72</v>
      </c>
      <c r="O1284" s="27" t="s">
        <v>76</v>
      </c>
      <c r="P1284" s="35" t="s">
        <v>122</v>
      </c>
      <c r="Q1284" s="35" t="s">
        <v>65</v>
      </c>
      <c r="R1284" s="36">
        <v>45233.0</v>
      </c>
      <c r="S1284" s="35" t="s">
        <v>86</v>
      </c>
      <c r="T1284" s="35">
        <v>0.0</v>
      </c>
      <c r="U1284" s="37" t="s">
        <v>67</v>
      </c>
      <c r="V1284" s="38"/>
      <c r="W1284" s="38"/>
      <c r="X1284" s="27"/>
      <c r="Y1284" s="39"/>
      <c r="Z1284" s="39"/>
      <c r="AA1284" s="39"/>
      <c r="AB1284" s="27"/>
      <c r="AC1284" s="27">
        <f t="shared" si="1016"/>
        <v>0</v>
      </c>
      <c r="AD1284" s="41"/>
      <c r="AE1284" s="42"/>
      <c r="AF1284" s="27"/>
      <c r="AG1284" s="43">
        <f t="shared" ref="AG1284:AG1288" si="1028">IF(O1284="Paid",IF(A1284="Alwataniya",(M1284*21%)-((M1284*21%)*5%),IF((A1284="GIG"),(M1284*25%)-((M1284*25%)*5%),IF((A1284="Allianz"),(M1284*27%)-((M1284*27%)*5%),0))),0)</f>
        <v>6433.02</v>
      </c>
      <c r="AH1284" s="29"/>
      <c r="AI1284" s="29"/>
      <c r="AJ1284" s="29"/>
      <c r="AK1284" s="29"/>
      <c r="AL1284" s="27"/>
      <c r="AM1284" s="44"/>
      <c r="AN1284" s="47"/>
      <c r="AO1284" s="46"/>
      <c r="AP1284" s="47"/>
      <c r="AQ1284" s="43">
        <f t="shared" ref="AQ1284:AQ1287" si="1029">IF(U1284="Motor Plus",(M1284*27%),IF(U1284="Motor One",(M1284*22%),(IF(U1284="Golden",(M1284*25%),(IF(U1284="Classic",(M1284*15%),(IF(U1284="Wethaq",(M1284*28%),IF(U1284="Alwataniya",(M1284*21%))*0))))))))</f>
        <v>6771.6</v>
      </c>
      <c r="AR1284" s="43">
        <f t="shared" si="448"/>
        <v>338.58</v>
      </c>
      <c r="AS1284" s="43">
        <f t="shared" si="449"/>
        <v>1185.03</v>
      </c>
      <c r="AT1284" s="48">
        <f t="shared" si="753"/>
        <v>5247.99</v>
      </c>
      <c r="AU1284" s="49">
        <f t="shared" ref="AU1284:AU1285" si="1030">AQ1284-AR1284-AS1284-AC1284</f>
        <v>5247.99</v>
      </c>
      <c r="AV1284" s="48"/>
      <c r="AW1284" s="34">
        <f t="shared" si="1000"/>
        <v>26700.72</v>
      </c>
      <c r="AX1284" s="50">
        <f t="shared" si="811"/>
        <v>5247.99</v>
      </c>
      <c r="AY1284" s="43"/>
      <c r="AZ1284" s="27"/>
      <c r="BA1284" s="48">
        <f t="shared" si="1012"/>
        <v>5247.99</v>
      </c>
      <c r="BB1284" s="27"/>
      <c r="BC1284" s="27"/>
      <c r="BD1284" s="51"/>
      <c r="BE1284" s="52"/>
      <c r="BF1284" s="27" t="s">
        <v>4174</v>
      </c>
      <c r="BG1284" s="53">
        <v>44929.0</v>
      </c>
      <c r="BH1284" s="53" t="str">
        <f>'[1]2023'!Q198</f>
        <v>#REF!</v>
      </c>
      <c r="BI1284" s="27"/>
      <c r="BJ1284" s="27"/>
      <c r="BK1284" s="27" t="s">
        <v>76</v>
      </c>
      <c r="BL1284" s="27"/>
    </row>
    <row r="1285" ht="14.25" customHeight="1">
      <c r="A1285" s="26" t="s">
        <v>55</v>
      </c>
      <c r="B1285" s="26" t="s">
        <v>56</v>
      </c>
      <c r="C1285" s="26" t="s">
        <v>57</v>
      </c>
      <c r="D1285" s="26" t="s">
        <v>81</v>
      </c>
      <c r="E1285" s="27" t="s">
        <v>4176</v>
      </c>
      <c r="F1285" s="26" t="s">
        <v>4177</v>
      </c>
      <c r="G1285" s="29">
        <v>45233.0</v>
      </c>
      <c r="H1285" s="30">
        <v>45233.0</v>
      </c>
      <c r="I1285" s="30">
        <v>45598.0</v>
      </c>
      <c r="J1285" s="31" t="s">
        <v>4178</v>
      </c>
      <c r="K1285" s="26" t="s">
        <v>352</v>
      </c>
      <c r="L1285" s="69">
        <v>45264.0</v>
      </c>
      <c r="M1285" s="33">
        <v>14160.0</v>
      </c>
      <c r="N1285" s="34">
        <v>15136.44</v>
      </c>
      <c r="O1285" s="27" t="s">
        <v>76</v>
      </c>
      <c r="P1285" s="35" t="s">
        <v>142</v>
      </c>
      <c r="Q1285" s="35" t="s">
        <v>90</v>
      </c>
      <c r="R1285" s="36">
        <v>45233.0</v>
      </c>
      <c r="S1285" s="35" t="s">
        <v>86</v>
      </c>
      <c r="T1285" s="35">
        <v>0.0</v>
      </c>
      <c r="U1285" s="37" t="s">
        <v>67</v>
      </c>
      <c r="V1285" s="38"/>
      <c r="W1285" s="38"/>
      <c r="X1285" s="27"/>
      <c r="Y1285" s="39"/>
      <c r="Z1285" s="39"/>
      <c r="AA1285" s="39"/>
      <c r="AB1285" s="40"/>
      <c r="AC1285" s="27">
        <f t="shared" si="1016"/>
        <v>0</v>
      </c>
      <c r="AD1285" s="41">
        <f>IF(AND(S1285="0",O1285="Paid"),M1285*15%,0)</f>
        <v>2124</v>
      </c>
      <c r="AE1285" s="42"/>
      <c r="AF1285" s="29">
        <v>45020.0</v>
      </c>
      <c r="AG1285" s="43">
        <f t="shared" si="1028"/>
        <v>3632.04</v>
      </c>
      <c r="AH1285" s="29"/>
      <c r="AI1285" s="29"/>
      <c r="AJ1285" s="29"/>
      <c r="AK1285" s="29"/>
      <c r="AL1285" s="27"/>
      <c r="AM1285" s="44"/>
      <c r="AN1285" s="47"/>
      <c r="AO1285" s="46"/>
      <c r="AP1285" s="47"/>
      <c r="AQ1285" s="43">
        <f t="shared" si="1029"/>
        <v>3823.2</v>
      </c>
      <c r="AR1285" s="43">
        <f t="shared" si="448"/>
        <v>191.16</v>
      </c>
      <c r="AS1285" s="43">
        <f t="shared" si="449"/>
        <v>669.06</v>
      </c>
      <c r="AT1285" s="48">
        <f t="shared" si="753"/>
        <v>2962.98</v>
      </c>
      <c r="AU1285" s="49">
        <f t="shared" si="1030"/>
        <v>2962.98</v>
      </c>
      <c r="AV1285" s="48"/>
      <c r="AW1285" s="34">
        <f t="shared" si="1000"/>
        <v>13012.44</v>
      </c>
      <c r="AX1285" s="50">
        <f t="shared" si="811"/>
        <v>838.98</v>
      </c>
      <c r="AY1285" s="43"/>
      <c r="AZ1285" s="27"/>
      <c r="BA1285" s="48">
        <f t="shared" si="1012"/>
        <v>2962.98</v>
      </c>
      <c r="BB1285" s="27"/>
      <c r="BC1285" s="27"/>
      <c r="BD1285" s="51"/>
      <c r="BE1285" s="52"/>
      <c r="BF1285" s="27" t="s">
        <v>4176</v>
      </c>
      <c r="BG1285" s="53">
        <v>45110.0</v>
      </c>
      <c r="BH1285" s="53" t="str">
        <f>'[1]2023'!Q280</f>
        <v>#REF!</v>
      </c>
      <c r="BI1285" s="27"/>
      <c r="BJ1285" s="27"/>
      <c r="BK1285" s="27" t="s">
        <v>76</v>
      </c>
      <c r="BL1285" s="27"/>
    </row>
    <row r="1286" ht="14.25" customHeight="1">
      <c r="A1286" s="26" t="s">
        <v>55</v>
      </c>
      <c r="B1286" s="26" t="s">
        <v>56</v>
      </c>
      <c r="C1286" s="26" t="s">
        <v>57</v>
      </c>
      <c r="D1286" s="26" t="s">
        <v>81</v>
      </c>
      <c r="E1286" s="27" t="s">
        <v>4179</v>
      </c>
      <c r="F1286" s="28" t="s">
        <v>4180</v>
      </c>
      <c r="G1286" s="29">
        <v>45233.0</v>
      </c>
      <c r="H1286" s="30">
        <v>45233.0</v>
      </c>
      <c r="I1286" s="30">
        <v>45598.0</v>
      </c>
      <c r="J1286" s="31" t="s">
        <v>4181</v>
      </c>
      <c r="K1286" s="26" t="s">
        <v>2374</v>
      </c>
      <c r="L1286" s="223" t="s">
        <v>63</v>
      </c>
      <c r="M1286" s="33">
        <v>35105.0</v>
      </c>
      <c r="N1286" s="34">
        <v>37494.73</v>
      </c>
      <c r="O1286" s="27" t="s">
        <v>76</v>
      </c>
      <c r="P1286" s="35" t="s">
        <v>142</v>
      </c>
      <c r="Q1286" s="35" t="s">
        <v>90</v>
      </c>
      <c r="R1286" s="36">
        <v>45233.0</v>
      </c>
      <c r="S1286" s="35" t="s">
        <v>86</v>
      </c>
      <c r="T1286" s="35">
        <v>0.0</v>
      </c>
      <c r="U1286" s="37" t="s">
        <v>67</v>
      </c>
      <c r="V1286" s="38">
        <v>1700000.0</v>
      </c>
      <c r="W1286" s="78" t="s">
        <v>4182</v>
      </c>
      <c r="X1286" s="27">
        <v>2022.0</v>
      </c>
      <c r="Y1286" s="79" t="s">
        <v>476</v>
      </c>
      <c r="Z1286" s="39"/>
      <c r="AA1286" s="39"/>
      <c r="AB1286" s="27"/>
      <c r="AC1286" s="27">
        <f t="shared" si="1016"/>
        <v>0</v>
      </c>
      <c r="AD1286" s="41">
        <f>IF(AND(S1286="0",O1286="Paid"),(M1286*15%)-AC1286,0)</f>
        <v>5265.75</v>
      </c>
      <c r="AE1286" s="42"/>
      <c r="AF1286" s="205">
        <v>45266.0</v>
      </c>
      <c r="AG1286" s="43">
        <f t="shared" si="1028"/>
        <v>9004.4325</v>
      </c>
      <c r="AH1286" s="29"/>
      <c r="AI1286" s="29"/>
      <c r="AJ1286" s="29"/>
      <c r="AK1286" s="29"/>
      <c r="AL1286" s="27"/>
      <c r="AM1286" s="44"/>
      <c r="AN1286" s="47"/>
      <c r="AO1286" s="76"/>
      <c r="AP1286" s="47"/>
      <c r="AQ1286" s="43">
        <f t="shared" si="1029"/>
        <v>9478.35</v>
      </c>
      <c r="AR1286" s="43">
        <f t="shared" si="448"/>
        <v>473.9175</v>
      </c>
      <c r="AS1286" s="43">
        <f t="shared" si="449"/>
        <v>1658.71125</v>
      </c>
      <c r="AT1286" s="48">
        <f t="shared" si="753"/>
        <v>7345.72125</v>
      </c>
      <c r="AU1286" s="49">
        <f t="shared" ref="AU1286:AU1290" si="1031">AQ1286-AR1286-AS1286-AC1286-AO1286</f>
        <v>7345.72125</v>
      </c>
      <c r="AV1286" s="48"/>
      <c r="AW1286" s="34">
        <f t="shared" si="1000"/>
        <v>32228.98</v>
      </c>
      <c r="AX1286" s="50">
        <f t="shared" si="811"/>
        <v>2079.97125</v>
      </c>
      <c r="AY1286" s="43"/>
      <c r="AZ1286" s="47"/>
      <c r="BA1286" s="48">
        <f t="shared" si="1012"/>
        <v>7345.72125</v>
      </c>
      <c r="BB1286" s="27"/>
      <c r="BC1286" s="27"/>
      <c r="BD1286" s="51"/>
      <c r="BE1286" s="52"/>
      <c r="BF1286" s="27"/>
      <c r="BG1286" s="53">
        <v>0.0</v>
      </c>
      <c r="BH1286" s="53" t="str">
        <f>'[1]2023'!Q1456</f>
        <v>#REF!</v>
      </c>
      <c r="BI1286" s="27"/>
      <c r="BJ1286" s="27"/>
      <c r="BK1286" s="27" t="s">
        <v>76</v>
      </c>
      <c r="BL1286" s="27"/>
    </row>
    <row r="1287" ht="14.25" customHeight="1">
      <c r="A1287" s="26" t="s">
        <v>55</v>
      </c>
      <c r="B1287" s="26" t="s">
        <v>56</v>
      </c>
      <c r="C1287" s="26" t="s">
        <v>57</v>
      </c>
      <c r="D1287" s="26" t="s">
        <v>81</v>
      </c>
      <c r="E1287" s="27" t="s">
        <v>4183</v>
      </c>
      <c r="F1287" s="28" t="s">
        <v>4184</v>
      </c>
      <c r="G1287" s="29">
        <v>45233.0</v>
      </c>
      <c r="H1287" s="30">
        <v>45233.0</v>
      </c>
      <c r="I1287" s="30">
        <v>45598.0</v>
      </c>
      <c r="J1287" s="31" t="s">
        <v>1364</v>
      </c>
      <c r="K1287" s="26" t="s">
        <v>2374</v>
      </c>
      <c r="L1287" s="89">
        <v>45217.0</v>
      </c>
      <c r="M1287" s="33">
        <v>14292.75</v>
      </c>
      <c r="N1287" s="34">
        <v>15348.49</v>
      </c>
      <c r="O1287" s="27" t="s">
        <v>76</v>
      </c>
      <c r="P1287" s="35" t="s">
        <v>89</v>
      </c>
      <c r="Q1287" s="35">
        <v>0.0</v>
      </c>
      <c r="R1287" s="36">
        <v>45233.0</v>
      </c>
      <c r="S1287" s="35" t="s">
        <v>86</v>
      </c>
      <c r="T1287" s="35">
        <v>0.0</v>
      </c>
      <c r="U1287" s="37" t="s">
        <v>67</v>
      </c>
      <c r="V1287" s="38">
        <v>850000.0</v>
      </c>
      <c r="W1287" s="78" t="s">
        <v>4185</v>
      </c>
      <c r="X1287" s="27">
        <v>2017.0</v>
      </c>
      <c r="Y1287" s="79" t="s">
        <v>407</v>
      </c>
      <c r="Z1287" s="39"/>
      <c r="AA1287" s="39"/>
      <c r="AB1287" s="27"/>
      <c r="AC1287" s="27">
        <f t="shared" si="1016"/>
        <v>0</v>
      </c>
      <c r="AD1287" s="41"/>
      <c r="AE1287" s="42"/>
      <c r="AF1287" s="27"/>
      <c r="AG1287" s="43">
        <f t="shared" si="1028"/>
        <v>3666.090375</v>
      </c>
      <c r="AH1287" s="29"/>
      <c r="AI1287" s="29"/>
      <c r="AJ1287" s="29"/>
      <c r="AK1287" s="29"/>
      <c r="AL1287" s="27"/>
      <c r="AM1287" s="44"/>
      <c r="AN1287" s="47"/>
      <c r="AO1287" s="46"/>
      <c r="AP1287" s="47"/>
      <c r="AQ1287" s="43">
        <f t="shared" si="1029"/>
        <v>3859.0425</v>
      </c>
      <c r="AR1287" s="43">
        <f t="shared" si="448"/>
        <v>192.952125</v>
      </c>
      <c r="AS1287" s="43">
        <f t="shared" si="449"/>
        <v>675.3324375</v>
      </c>
      <c r="AT1287" s="48">
        <f t="shared" si="753"/>
        <v>2990.757938</v>
      </c>
      <c r="AU1287" s="49">
        <f t="shared" si="1031"/>
        <v>2990.757938</v>
      </c>
      <c r="AV1287" s="48"/>
      <c r="AW1287" s="34">
        <f t="shared" si="1000"/>
        <v>15348.49</v>
      </c>
      <c r="AX1287" s="50">
        <f t="shared" si="811"/>
        <v>2990.757938</v>
      </c>
      <c r="AY1287" s="43"/>
      <c r="AZ1287" s="47"/>
      <c r="BA1287" s="48">
        <f t="shared" si="1012"/>
        <v>2990.757938</v>
      </c>
      <c r="BB1287" s="27"/>
      <c r="BC1287" s="27"/>
      <c r="BD1287" s="51"/>
      <c r="BE1287" s="52"/>
      <c r="BF1287" s="27"/>
      <c r="BG1287" s="53">
        <v>0.0</v>
      </c>
      <c r="BH1287" s="53" t="str">
        <f>'[1]2023'!Q1478</f>
        <v>#REF!</v>
      </c>
      <c r="BI1287" s="27"/>
      <c r="BJ1287" s="27"/>
      <c r="BK1287" s="27" t="s">
        <v>76</v>
      </c>
      <c r="BL1287" s="27"/>
    </row>
    <row r="1288" ht="14.25" customHeight="1">
      <c r="A1288" s="26" t="s">
        <v>55</v>
      </c>
      <c r="B1288" s="26" t="s">
        <v>56</v>
      </c>
      <c r="C1288" s="26" t="s">
        <v>57</v>
      </c>
      <c r="D1288" s="26" t="s">
        <v>81</v>
      </c>
      <c r="E1288" s="27" t="s">
        <v>4186</v>
      </c>
      <c r="F1288" s="28" t="s">
        <v>4187</v>
      </c>
      <c r="G1288" s="29">
        <v>45233.0</v>
      </c>
      <c r="H1288" s="30">
        <v>45233.0</v>
      </c>
      <c r="I1288" s="30">
        <v>45598.0</v>
      </c>
      <c r="J1288" s="31" t="s">
        <v>4188</v>
      </c>
      <c r="K1288" s="26" t="s">
        <v>2374</v>
      </c>
      <c r="L1288" s="223" t="s">
        <v>63</v>
      </c>
      <c r="M1288" s="33">
        <v>22275.0</v>
      </c>
      <c r="N1288" s="34">
        <v>23841.61</v>
      </c>
      <c r="O1288" s="27" t="s">
        <v>76</v>
      </c>
      <c r="P1288" s="35" t="s">
        <v>162</v>
      </c>
      <c r="Q1288" s="35" t="s">
        <v>65</v>
      </c>
      <c r="R1288" s="36">
        <v>45233.0</v>
      </c>
      <c r="S1288" s="35" t="s">
        <v>86</v>
      </c>
      <c r="T1288" s="35">
        <v>0.0</v>
      </c>
      <c r="U1288" s="37" t="s">
        <v>67</v>
      </c>
      <c r="V1288" s="38">
        <v>1350000.0</v>
      </c>
      <c r="W1288" s="78">
        <v>6505785.0</v>
      </c>
      <c r="X1288" s="27">
        <v>2021.0</v>
      </c>
      <c r="Y1288" s="79" t="s">
        <v>4189</v>
      </c>
      <c r="Z1288" s="39"/>
      <c r="AA1288" s="39"/>
      <c r="AB1288" s="55">
        <v>0.1</v>
      </c>
      <c r="AC1288" s="27">
        <v>2340.0</v>
      </c>
      <c r="AD1288" s="41"/>
      <c r="AE1288" s="42"/>
      <c r="AF1288" s="27"/>
      <c r="AG1288" s="43">
        <f t="shared" si="1028"/>
        <v>5713.5375</v>
      </c>
      <c r="AH1288" s="29"/>
      <c r="AI1288" s="29"/>
      <c r="AJ1288" s="29"/>
      <c r="AK1288" s="29"/>
      <c r="AL1288" s="27"/>
      <c r="AM1288" s="44"/>
      <c r="AN1288" s="47"/>
      <c r="AO1288" s="76"/>
      <c r="AP1288" s="47"/>
      <c r="AQ1288" s="43">
        <f t="shared" ref="AQ1288:AQ1290" si="1032">IF(O1288="Paid",IF(U1288="Motor Plus",(M1288*27%),IF(U1288="Motor One",(M1288*22%),(IF(U1288="Golden",(M1288*25%),(IF(U1288="Classic",(M1288*15%),(IF(U1288="Wethaq",(M1288*28%),IF(U1288="Alwataniya",(M1288*21%))*0)))))))))</f>
        <v>6014.25</v>
      </c>
      <c r="AR1288" s="43">
        <f t="shared" si="448"/>
        <v>300.7125</v>
      </c>
      <c r="AS1288" s="43">
        <f t="shared" si="449"/>
        <v>1052.49375</v>
      </c>
      <c r="AT1288" s="48">
        <f t="shared" si="753"/>
        <v>4661.04375</v>
      </c>
      <c r="AU1288" s="49">
        <f t="shared" si="1031"/>
        <v>2321.04375</v>
      </c>
      <c r="AV1288" s="48"/>
      <c r="AW1288" s="34">
        <f t="shared" si="1000"/>
        <v>21501.61</v>
      </c>
      <c r="AX1288" s="50">
        <f>IF(O1288="Paid",AG1288-AS1288-AM1288-AO1288-AD1288-AE1288-AV1288-AL1288-AC1288,0)</f>
        <v>2321.04375</v>
      </c>
      <c r="AY1288" s="43"/>
      <c r="AZ1288" s="47"/>
      <c r="BA1288" s="48">
        <f t="shared" si="1012"/>
        <v>2321.04375</v>
      </c>
      <c r="BB1288" s="27"/>
      <c r="BC1288" s="27"/>
      <c r="BD1288" s="51"/>
      <c r="BE1288" s="52"/>
      <c r="BF1288" s="27"/>
      <c r="BG1288" s="53">
        <v>0.0</v>
      </c>
      <c r="BH1288" s="53" t="str">
        <f>'[1]2023'!Q1538</f>
        <v>#REF!</v>
      </c>
      <c r="BI1288" s="27"/>
      <c r="BJ1288" s="27"/>
      <c r="BK1288" s="27" t="s">
        <v>76</v>
      </c>
      <c r="BL1288" s="27"/>
    </row>
    <row r="1289" ht="14.25" customHeight="1">
      <c r="A1289" s="26" t="s">
        <v>55</v>
      </c>
      <c r="B1289" s="26" t="s">
        <v>56</v>
      </c>
      <c r="C1289" s="26" t="s">
        <v>57</v>
      </c>
      <c r="D1289" s="26" t="s">
        <v>81</v>
      </c>
      <c r="E1289" s="27" t="s">
        <v>4190</v>
      </c>
      <c r="F1289" s="28" t="s">
        <v>4191</v>
      </c>
      <c r="G1289" s="29">
        <v>45233.0</v>
      </c>
      <c r="H1289" s="30">
        <v>45233.0</v>
      </c>
      <c r="I1289" s="30">
        <v>45598.0</v>
      </c>
      <c r="J1289" s="31" t="s">
        <v>4192</v>
      </c>
      <c r="K1289" s="26" t="s">
        <v>2374</v>
      </c>
      <c r="L1289" s="89">
        <v>45235.0</v>
      </c>
      <c r="M1289" s="33">
        <v>33187.5</v>
      </c>
      <c r="N1289" s="34">
        <v>35452.51</v>
      </c>
      <c r="O1289" s="27" t="s">
        <v>76</v>
      </c>
      <c r="P1289" s="35" t="s">
        <v>122</v>
      </c>
      <c r="Q1289" s="35" t="s">
        <v>90</v>
      </c>
      <c r="R1289" s="36">
        <v>45233.0</v>
      </c>
      <c r="S1289" s="35" t="s">
        <v>86</v>
      </c>
      <c r="T1289" s="35">
        <v>0.0</v>
      </c>
      <c r="U1289" s="37" t="s">
        <v>67</v>
      </c>
      <c r="V1289" s="38">
        <v>1500000.0</v>
      </c>
      <c r="W1289" s="78" t="s">
        <v>4193</v>
      </c>
      <c r="X1289" s="27">
        <v>2021.0</v>
      </c>
      <c r="Y1289" s="79" t="s">
        <v>208</v>
      </c>
      <c r="Z1289" s="39"/>
      <c r="AA1289" s="39"/>
      <c r="AB1289" s="27"/>
      <c r="AC1289" s="27">
        <f t="shared" ref="AC1289:AC1360" si="1033">M1289*AB1289</f>
        <v>0</v>
      </c>
      <c r="AD1289" s="41">
        <f>IF(AND(S1289="0",O1289="Paid"),(M1289*15%)-AC1289,0)</f>
        <v>4978.125</v>
      </c>
      <c r="AE1289" s="42"/>
      <c r="AF1289" s="27"/>
      <c r="AG1289" s="43">
        <f>IF(O1289="Paid",IF(A1289="Alwataniya",(M1289*21%)-((M1289*21%)*5%),IF((A1289="GIG"),(M1289*25%)-((M1289*25%)*5%),IF((A1289="Allianz"),(M1289*27%)-((M1289*27%)*5%),0))),(M1289*28%)-((M1289*28%)*5%))</f>
        <v>8512.59375</v>
      </c>
      <c r="AH1289" s="29"/>
      <c r="AI1289" s="29"/>
      <c r="AJ1289" s="29"/>
      <c r="AK1289" s="29"/>
      <c r="AL1289" s="27"/>
      <c r="AM1289" s="44"/>
      <c r="AN1289" s="47"/>
      <c r="AO1289" s="46"/>
      <c r="AP1289" s="47"/>
      <c r="AQ1289" s="43">
        <f t="shared" si="1032"/>
        <v>8960.625</v>
      </c>
      <c r="AR1289" s="43">
        <f t="shared" si="448"/>
        <v>448.03125</v>
      </c>
      <c r="AS1289" s="43">
        <f t="shared" si="449"/>
        <v>1568.109375</v>
      </c>
      <c r="AT1289" s="48">
        <f t="shared" si="753"/>
        <v>6944.484375</v>
      </c>
      <c r="AU1289" s="49">
        <f t="shared" si="1031"/>
        <v>6944.484375</v>
      </c>
      <c r="AV1289" s="48"/>
      <c r="AW1289" s="34">
        <f t="shared" si="1000"/>
        <v>30474.385</v>
      </c>
      <c r="AX1289" s="50">
        <f t="shared" ref="AX1289:AX1470" si="1034">IF(O1289="Paid",AG1289-AS1289-AM1289-AO1289-AD1289-AE1289-AV1289-AL1289,0)</f>
        <v>1966.359375</v>
      </c>
      <c r="AY1289" s="43"/>
      <c r="AZ1289" s="47"/>
      <c r="BA1289" s="48">
        <f t="shared" si="1012"/>
        <v>6944.484375</v>
      </c>
      <c r="BB1289" s="27"/>
      <c r="BC1289" s="27"/>
      <c r="BD1289" s="51"/>
      <c r="BE1289" s="52"/>
      <c r="BF1289" s="27"/>
      <c r="BG1289" s="53">
        <v>0.0</v>
      </c>
      <c r="BH1289" s="53" t="str">
        <f>'[1]2023'!Q1554</f>
        <v>#REF!</v>
      </c>
      <c r="BI1289" s="27"/>
      <c r="BJ1289" s="27"/>
      <c r="BK1289" s="27" t="s">
        <v>76</v>
      </c>
      <c r="BL1289" s="27"/>
    </row>
    <row r="1290" ht="14.25" customHeight="1">
      <c r="A1290" s="26" t="s">
        <v>55</v>
      </c>
      <c r="B1290" s="26" t="s">
        <v>56</v>
      </c>
      <c r="C1290" s="26" t="s">
        <v>57</v>
      </c>
      <c r="D1290" s="26" t="s">
        <v>81</v>
      </c>
      <c r="E1290" s="27" t="s">
        <v>1287</v>
      </c>
      <c r="F1290" s="28" t="s">
        <v>4194</v>
      </c>
      <c r="G1290" s="29">
        <v>45233.0</v>
      </c>
      <c r="H1290" s="30">
        <v>45233.0</v>
      </c>
      <c r="I1290" s="30">
        <v>45598.0</v>
      </c>
      <c r="J1290" s="31" t="s">
        <v>3159</v>
      </c>
      <c r="K1290" s="26" t="s">
        <v>2374</v>
      </c>
      <c r="L1290" s="89">
        <v>45236.0</v>
      </c>
      <c r="M1290" s="33">
        <v>5762.48</v>
      </c>
      <c r="N1290" s="34">
        <v>6272.27</v>
      </c>
      <c r="O1290" s="27" t="s">
        <v>76</v>
      </c>
      <c r="P1290" s="35" t="s">
        <v>122</v>
      </c>
      <c r="Q1290" s="35">
        <v>0.0</v>
      </c>
      <c r="R1290" s="36">
        <v>45233.0</v>
      </c>
      <c r="S1290" s="35" t="s">
        <v>86</v>
      </c>
      <c r="T1290" s="35">
        <v>0.0</v>
      </c>
      <c r="U1290" s="37" t="s">
        <v>812</v>
      </c>
      <c r="V1290" s="38">
        <v>350000.0</v>
      </c>
      <c r="W1290" s="78">
        <v>187396.0</v>
      </c>
      <c r="X1290" s="27">
        <v>2018.0</v>
      </c>
      <c r="Y1290" s="224" t="s">
        <v>4195</v>
      </c>
      <c r="Z1290" s="39"/>
      <c r="AA1290" s="39"/>
      <c r="AB1290" s="27"/>
      <c r="AC1290" s="27">
        <f t="shared" si="1033"/>
        <v>0</v>
      </c>
      <c r="AD1290" s="41"/>
      <c r="AE1290" s="42"/>
      <c r="AF1290" s="27"/>
      <c r="AG1290" s="43">
        <f>IF(O1290="Paid",IF(A1290="Wethaq",(M1290*28%)-((M1290*28%)*5%),IF((A1290="GIG"),(M1290*25%)-((M1290*25%)*5%),IF((A1290="Allianz"),(M1290*27%)-((M1290*27%)*20%),0))),0)</f>
        <v>1244.69568</v>
      </c>
      <c r="AH1290" s="29"/>
      <c r="AI1290" s="29"/>
      <c r="AJ1290" s="29"/>
      <c r="AK1290" s="75"/>
      <c r="AL1290" s="27"/>
      <c r="AM1290" s="44"/>
      <c r="AN1290" s="47"/>
      <c r="AO1290" s="46"/>
      <c r="AP1290" s="47"/>
      <c r="AQ1290" s="43">
        <f t="shared" si="1032"/>
        <v>0</v>
      </c>
      <c r="AR1290" s="43">
        <f t="shared" si="448"/>
        <v>0</v>
      </c>
      <c r="AS1290" s="43">
        <f t="shared" si="449"/>
        <v>0</v>
      </c>
      <c r="AT1290" s="48">
        <f t="shared" si="753"/>
        <v>0</v>
      </c>
      <c r="AU1290" s="49">
        <f t="shared" si="1031"/>
        <v>0</v>
      </c>
      <c r="AV1290" s="48"/>
      <c r="AW1290" s="34">
        <f t="shared" si="1000"/>
        <v>6272.27</v>
      </c>
      <c r="AX1290" s="50">
        <f t="shared" si="1034"/>
        <v>1244.69568</v>
      </c>
      <c r="AY1290" s="43"/>
      <c r="AZ1290" s="47"/>
      <c r="BA1290" s="48">
        <f t="shared" si="1012"/>
        <v>0</v>
      </c>
      <c r="BB1290" s="27"/>
      <c r="BC1290" s="27"/>
      <c r="BD1290" s="51"/>
      <c r="BE1290" s="52"/>
      <c r="BF1290" s="27"/>
      <c r="BG1290" s="53">
        <v>0.0</v>
      </c>
      <c r="BH1290" s="53" t="str">
        <f>'[1]2023'!Q1569</f>
        <v>#REF!</v>
      </c>
      <c r="BI1290" s="27"/>
      <c r="BJ1290" s="27"/>
      <c r="BK1290" s="27" t="s">
        <v>76</v>
      </c>
      <c r="BL1290" s="27"/>
    </row>
    <row r="1291" ht="14.25" customHeight="1">
      <c r="A1291" s="26" t="s">
        <v>55</v>
      </c>
      <c r="B1291" s="26" t="s">
        <v>56</v>
      </c>
      <c r="C1291" s="26" t="s">
        <v>57</v>
      </c>
      <c r="D1291" s="26" t="s">
        <v>81</v>
      </c>
      <c r="E1291" s="27" t="s">
        <v>4196</v>
      </c>
      <c r="F1291" s="26" t="s">
        <v>4197</v>
      </c>
      <c r="G1291" s="29">
        <v>45234.0</v>
      </c>
      <c r="H1291" s="30">
        <v>45234.0</v>
      </c>
      <c r="I1291" s="30">
        <v>45599.0</v>
      </c>
      <c r="J1291" s="31">
        <v>0.0</v>
      </c>
      <c r="K1291" s="26" t="s">
        <v>420</v>
      </c>
      <c r="L1291" s="32" t="s">
        <v>305</v>
      </c>
      <c r="M1291" s="33">
        <v>18880.0</v>
      </c>
      <c r="N1291" s="34">
        <v>20134.92</v>
      </c>
      <c r="O1291" s="27" t="s">
        <v>76</v>
      </c>
      <c r="P1291" s="35" t="s">
        <v>142</v>
      </c>
      <c r="Q1291" s="35" t="s">
        <v>90</v>
      </c>
      <c r="R1291" s="36">
        <v>45234.0</v>
      </c>
      <c r="S1291" s="35" t="s">
        <v>86</v>
      </c>
      <c r="T1291" s="35">
        <v>0.0</v>
      </c>
      <c r="U1291" s="37" t="s">
        <v>67</v>
      </c>
      <c r="V1291" s="38"/>
      <c r="W1291" s="38"/>
      <c r="X1291" s="27"/>
      <c r="Y1291" s="39"/>
      <c r="Z1291" s="39"/>
      <c r="AA1291" s="39"/>
      <c r="AB1291" s="40"/>
      <c r="AC1291" s="27">
        <f t="shared" si="1033"/>
        <v>0</v>
      </c>
      <c r="AD1291" s="41">
        <f t="shared" ref="AD1291:AD1294" si="1035">IF(AND(S1291="0",O1291="Paid"),M1291*15%,0)</f>
        <v>2832</v>
      </c>
      <c r="AE1291" s="42"/>
      <c r="AF1291" s="27" t="s">
        <v>306</v>
      </c>
      <c r="AG1291" s="43">
        <f t="shared" ref="AG1291:AG1298" si="1036">IF(O1291="Paid",IF(A1291="Alwataniya",(M1291*21%)-((M1291*21%)*5%),IF((A1291="GIG"),(M1291*25%)-((M1291*25%)*5%),IF((A1291="Allianz"),(M1291*27%)-((M1291*27%)*5%),0))),0)</f>
        <v>4842.72</v>
      </c>
      <c r="AH1291" s="29"/>
      <c r="AI1291" s="29"/>
      <c r="AJ1291" s="29"/>
      <c r="AK1291" s="29"/>
      <c r="AL1291" s="27"/>
      <c r="AM1291" s="44"/>
      <c r="AN1291" s="47"/>
      <c r="AO1291" s="46"/>
      <c r="AP1291" s="47"/>
      <c r="AQ1291" s="43">
        <f t="shared" ref="AQ1291:AQ1295" si="1037">IF(U1291="Motor Plus",(M1291*27%),IF(U1291="Motor One",(M1291*22%),(IF(U1291="Golden",(M1291*25%),(IF(U1291="Classic",(M1291*15%),(IF(U1291="Wethaq",(M1291*28%),IF(U1291="Alwataniya",(M1291*21%))*0))))))))</f>
        <v>5097.6</v>
      </c>
      <c r="AR1291" s="43">
        <f t="shared" si="448"/>
        <v>254.88</v>
      </c>
      <c r="AS1291" s="43">
        <f t="shared" si="449"/>
        <v>892.08</v>
      </c>
      <c r="AT1291" s="48">
        <f t="shared" si="753"/>
        <v>3950.64</v>
      </c>
      <c r="AU1291" s="49">
        <f t="shared" ref="AU1291:AU1295" si="1038">AQ1291-AR1291-AS1291-AC1291</f>
        <v>3950.64</v>
      </c>
      <c r="AV1291" s="48"/>
      <c r="AW1291" s="82">
        <f t="shared" si="1000"/>
        <v>17302.92</v>
      </c>
      <c r="AX1291" s="50">
        <f t="shared" si="1034"/>
        <v>1118.64</v>
      </c>
      <c r="AY1291" s="43"/>
      <c r="AZ1291" s="27"/>
      <c r="BA1291" s="48">
        <f t="shared" si="1012"/>
        <v>3950.64</v>
      </c>
      <c r="BB1291" s="27"/>
      <c r="BC1291" s="27"/>
      <c r="BD1291" s="51"/>
      <c r="BE1291" s="52"/>
      <c r="BF1291" s="27" t="s">
        <v>4196</v>
      </c>
      <c r="BG1291" s="53">
        <v>0.0</v>
      </c>
      <c r="BH1291" s="53" t="str">
        <f>'[1]2023'!Q446</f>
        <v>#REF!</v>
      </c>
      <c r="BI1291" s="27"/>
      <c r="BJ1291" s="27"/>
      <c r="BK1291" s="27" t="s">
        <v>76</v>
      </c>
      <c r="BL1291" s="27"/>
    </row>
    <row r="1292" ht="14.25" customHeight="1">
      <c r="A1292" s="26" t="s">
        <v>55</v>
      </c>
      <c r="B1292" s="26" t="s">
        <v>56</v>
      </c>
      <c r="C1292" s="26" t="s">
        <v>57</v>
      </c>
      <c r="D1292" s="26" t="s">
        <v>81</v>
      </c>
      <c r="E1292" s="27" t="s">
        <v>4198</v>
      </c>
      <c r="F1292" s="28" t="s">
        <v>4199</v>
      </c>
      <c r="G1292" s="29">
        <v>45234.0</v>
      </c>
      <c r="H1292" s="30">
        <v>45234.0</v>
      </c>
      <c r="I1292" s="30">
        <v>45599.0</v>
      </c>
      <c r="J1292" s="31">
        <v>0.0</v>
      </c>
      <c r="K1292" s="26" t="s">
        <v>420</v>
      </c>
      <c r="L1292" s="32" t="s">
        <v>305</v>
      </c>
      <c r="M1292" s="33">
        <v>16520.0</v>
      </c>
      <c r="N1292" s="34">
        <v>17635.68</v>
      </c>
      <c r="O1292" s="27" t="s">
        <v>76</v>
      </c>
      <c r="P1292" s="35" t="s">
        <v>142</v>
      </c>
      <c r="Q1292" s="35" t="s">
        <v>90</v>
      </c>
      <c r="R1292" s="36">
        <v>45234.0</v>
      </c>
      <c r="S1292" s="35" t="s">
        <v>86</v>
      </c>
      <c r="T1292" s="35">
        <v>0.0</v>
      </c>
      <c r="U1292" s="37" t="s">
        <v>67</v>
      </c>
      <c r="V1292" s="38"/>
      <c r="W1292" s="38"/>
      <c r="X1292" s="27"/>
      <c r="Y1292" s="39"/>
      <c r="Z1292" s="79" t="s">
        <v>208</v>
      </c>
      <c r="AA1292" s="39"/>
      <c r="AB1292" s="40"/>
      <c r="AC1292" s="27">
        <f t="shared" si="1033"/>
        <v>0</v>
      </c>
      <c r="AD1292" s="41">
        <f t="shared" si="1035"/>
        <v>2478</v>
      </c>
      <c r="AE1292" s="42"/>
      <c r="AF1292" s="27" t="s">
        <v>306</v>
      </c>
      <c r="AG1292" s="43">
        <f t="shared" si="1036"/>
        <v>4237.38</v>
      </c>
      <c r="AH1292" s="29"/>
      <c r="AI1292" s="29"/>
      <c r="AJ1292" s="29"/>
      <c r="AK1292" s="29"/>
      <c r="AL1292" s="27"/>
      <c r="AM1292" s="44"/>
      <c r="AN1292" s="93"/>
      <c r="AO1292" s="46"/>
      <c r="AP1292" s="47"/>
      <c r="AQ1292" s="43">
        <f t="shared" si="1037"/>
        <v>4460.4</v>
      </c>
      <c r="AR1292" s="43">
        <f t="shared" si="448"/>
        <v>223.02</v>
      </c>
      <c r="AS1292" s="43">
        <f t="shared" si="449"/>
        <v>780.57</v>
      </c>
      <c r="AT1292" s="48">
        <f t="shared" si="753"/>
        <v>3456.81</v>
      </c>
      <c r="AU1292" s="49">
        <f t="shared" si="1038"/>
        <v>3456.81</v>
      </c>
      <c r="AV1292" s="48"/>
      <c r="AW1292" s="82">
        <f t="shared" si="1000"/>
        <v>15157.68</v>
      </c>
      <c r="AX1292" s="50">
        <f t="shared" si="1034"/>
        <v>978.81</v>
      </c>
      <c r="AY1292" s="43"/>
      <c r="AZ1292" s="43"/>
      <c r="BA1292" s="48">
        <f t="shared" si="1012"/>
        <v>3456.81</v>
      </c>
      <c r="BB1292" s="27"/>
      <c r="BC1292" s="27"/>
      <c r="BD1292" s="51"/>
      <c r="BE1292" s="52"/>
      <c r="BF1292" s="27" t="s">
        <v>4198</v>
      </c>
      <c r="BG1292" s="53">
        <v>0.0</v>
      </c>
      <c r="BH1292" s="53" t="str">
        <f>'[1]2023'!Q481</f>
        <v>#REF!</v>
      </c>
      <c r="BI1292" s="27"/>
      <c r="BJ1292" s="27"/>
      <c r="BK1292" s="27" t="s">
        <v>76</v>
      </c>
      <c r="BL1292" s="27"/>
    </row>
    <row r="1293" ht="14.25" customHeight="1">
      <c r="A1293" s="26" t="s">
        <v>55</v>
      </c>
      <c r="B1293" s="26" t="s">
        <v>56</v>
      </c>
      <c r="C1293" s="26" t="s">
        <v>57</v>
      </c>
      <c r="D1293" s="26" t="s">
        <v>81</v>
      </c>
      <c r="E1293" s="27" t="s">
        <v>4200</v>
      </c>
      <c r="F1293" s="26" t="s">
        <v>4201</v>
      </c>
      <c r="G1293" s="29">
        <v>45234.0</v>
      </c>
      <c r="H1293" s="30">
        <v>45234.0</v>
      </c>
      <c r="I1293" s="30">
        <v>45599.0</v>
      </c>
      <c r="J1293" s="31">
        <v>0.0</v>
      </c>
      <c r="K1293" s="26" t="s">
        <v>420</v>
      </c>
      <c r="L1293" s="32" t="s">
        <v>75</v>
      </c>
      <c r="M1293" s="33">
        <v>38880.0</v>
      </c>
      <c r="N1293" s="34">
        <v>41314.92</v>
      </c>
      <c r="O1293" s="27" t="s">
        <v>76</v>
      </c>
      <c r="P1293" s="35" t="s">
        <v>95</v>
      </c>
      <c r="Q1293" s="35" t="s">
        <v>90</v>
      </c>
      <c r="R1293" s="36">
        <v>45234.0</v>
      </c>
      <c r="S1293" s="35" t="s">
        <v>86</v>
      </c>
      <c r="T1293" s="35">
        <v>0.0</v>
      </c>
      <c r="U1293" s="37" t="s">
        <v>67</v>
      </c>
      <c r="V1293" s="38"/>
      <c r="W1293" s="38"/>
      <c r="X1293" s="27"/>
      <c r="Y1293" s="39"/>
      <c r="Z1293" s="79" t="s">
        <v>476</v>
      </c>
      <c r="AA1293" s="39"/>
      <c r="AB1293" s="40"/>
      <c r="AC1293" s="27">
        <f t="shared" si="1033"/>
        <v>0</v>
      </c>
      <c r="AD1293" s="41">
        <f t="shared" si="1035"/>
        <v>5832</v>
      </c>
      <c r="AE1293" s="42"/>
      <c r="AF1293" s="27"/>
      <c r="AG1293" s="43">
        <f t="shared" si="1036"/>
        <v>9972.72</v>
      </c>
      <c r="AH1293" s="29"/>
      <c r="AI1293" s="29"/>
      <c r="AJ1293" s="29"/>
      <c r="AK1293" s="29"/>
      <c r="AL1293" s="27"/>
      <c r="AM1293" s="44"/>
      <c r="AN1293" s="93"/>
      <c r="AO1293" s="46"/>
      <c r="AP1293" s="47"/>
      <c r="AQ1293" s="43">
        <f t="shared" si="1037"/>
        <v>10497.6</v>
      </c>
      <c r="AR1293" s="43">
        <f t="shared" si="448"/>
        <v>524.88</v>
      </c>
      <c r="AS1293" s="43">
        <f t="shared" si="449"/>
        <v>1837.08</v>
      </c>
      <c r="AT1293" s="48">
        <f t="shared" si="753"/>
        <v>8135.64</v>
      </c>
      <c r="AU1293" s="49">
        <f t="shared" si="1038"/>
        <v>8135.64</v>
      </c>
      <c r="AV1293" s="48"/>
      <c r="AW1293" s="34">
        <f t="shared" si="1000"/>
        <v>35482.92</v>
      </c>
      <c r="AX1293" s="50">
        <f t="shared" si="1034"/>
        <v>2303.64</v>
      </c>
      <c r="AY1293" s="43"/>
      <c r="AZ1293" s="43"/>
      <c r="BA1293" s="48">
        <f t="shared" si="1012"/>
        <v>8135.64</v>
      </c>
      <c r="BB1293" s="27"/>
      <c r="BC1293" s="27"/>
      <c r="BD1293" s="51"/>
      <c r="BE1293" s="52"/>
      <c r="BF1293" s="27" t="s">
        <v>4200</v>
      </c>
      <c r="BG1293" s="58" t="s">
        <v>4202</v>
      </c>
      <c r="BH1293" s="53" t="str">
        <f>'[1]2023'!Q483</f>
        <v>#REF!</v>
      </c>
      <c r="BI1293" s="27"/>
      <c r="BJ1293" s="27"/>
      <c r="BK1293" s="27" t="s">
        <v>76</v>
      </c>
      <c r="BL1293" s="27"/>
    </row>
    <row r="1294" ht="14.25" customHeight="1">
      <c r="A1294" s="26" t="s">
        <v>55</v>
      </c>
      <c r="B1294" s="26" t="s">
        <v>56</v>
      </c>
      <c r="C1294" s="26" t="s">
        <v>57</v>
      </c>
      <c r="D1294" s="26" t="s">
        <v>81</v>
      </c>
      <c r="E1294" s="27" t="s">
        <v>4203</v>
      </c>
      <c r="F1294" s="28" t="s">
        <v>4204</v>
      </c>
      <c r="G1294" s="29">
        <v>45234.0</v>
      </c>
      <c r="H1294" s="30">
        <v>45234.0</v>
      </c>
      <c r="I1294" s="30">
        <v>45599.0</v>
      </c>
      <c r="J1294" s="31">
        <v>0.0</v>
      </c>
      <c r="K1294" s="26" t="s">
        <v>420</v>
      </c>
      <c r="L1294" s="32" t="s">
        <v>75</v>
      </c>
      <c r="M1294" s="33">
        <v>132591.4</v>
      </c>
      <c r="N1294" s="34">
        <v>140559.29</v>
      </c>
      <c r="O1294" s="27" t="s">
        <v>76</v>
      </c>
      <c r="P1294" s="35" t="s">
        <v>95</v>
      </c>
      <c r="Q1294" s="35" t="s">
        <v>108</v>
      </c>
      <c r="R1294" s="36">
        <v>45234.0</v>
      </c>
      <c r="S1294" s="35" t="s">
        <v>86</v>
      </c>
      <c r="T1294" s="35">
        <v>0.0</v>
      </c>
      <c r="U1294" s="37" t="s">
        <v>67</v>
      </c>
      <c r="V1294" s="38"/>
      <c r="W1294" s="38"/>
      <c r="X1294" s="27"/>
      <c r="Y1294" s="39"/>
      <c r="Z1294" s="39"/>
      <c r="AA1294" s="39"/>
      <c r="AB1294" s="40"/>
      <c r="AC1294" s="27">
        <f t="shared" si="1033"/>
        <v>0</v>
      </c>
      <c r="AD1294" s="41">
        <f t="shared" si="1035"/>
        <v>19888.71</v>
      </c>
      <c r="AE1294" s="42"/>
      <c r="AF1294" s="29">
        <v>45144.0</v>
      </c>
      <c r="AG1294" s="43">
        <f t="shared" si="1036"/>
        <v>34009.6941</v>
      </c>
      <c r="AH1294" s="29"/>
      <c r="AI1294" s="29"/>
      <c r="AJ1294" s="29"/>
      <c r="AK1294" s="75"/>
      <c r="AL1294" s="27"/>
      <c r="AM1294" s="44"/>
      <c r="AN1294" s="93"/>
      <c r="AO1294" s="46"/>
      <c r="AP1294" s="47"/>
      <c r="AQ1294" s="43">
        <f t="shared" si="1037"/>
        <v>35799.678</v>
      </c>
      <c r="AR1294" s="43">
        <f t="shared" si="448"/>
        <v>1789.9839</v>
      </c>
      <c r="AS1294" s="43">
        <f t="shared" si="449"/>
        <v>6264.94365</v>
      </c>
      <c r="AT1294" s="48">
        <f t="shared" si="753"/>
        <v>27744.75045</v>
      </c>
      <c r="AU1294" s="49">
        <f t="shared" si="1038"/>
        <v>27744.75045</v>
      </c>
      <c r="AV1294" s="48"/>
      <c r="AW1294" s="34">
        <f t="shared" si="1000"/>
        <v>120670.58</v>
      </c>
      <c r="AX1294" s="50">
        <f t="shared" si="1034"/>
        <v>7856.04045</v>
      </c>
      <c r="AY1294" s="43"/>
      <c r="AZ1294" s="43"/>
      <c r="BA1294" s="48">
        <f t="shared" si="1012"/>
        <v>27744.75045</v>
      </c>
      <c r="BB1294" s="27"/>
      <c r="BC1294" s="27"/>
      <c r="BD1294" s="51"/>
      <c r="BE1294" s="52"/>
      <c r="BF1294" s="27" t="s">
        <v>4203</v>
      </c>
      <c r="BG1294" s="53">
        <v>0.0</v>
      </c>
      <c r="BH1294" s="53" t="str">
        <f>'[1]2023'!Q564</f>
        <v>#REF!</v>
      </c>
      <c r="BI1294" s="27"/>
      <c r="BJ1294" s="27"/>
      <c r="BK1294" s="27" t="s">
        <v>76</v>
      </c>
      <c r="BL1294" s="27"/>
    </row>
    <row r="1295" ht="14.25" customHeight="1">
      <c r="A1295" s="26" t="s">
        <v>55</v>
      </c>
      <c r="B1295" s="26" t="s">
        <v>56</v>
      </c>
      <c r="C1295" s="26" t="s">
        <v>57</v>
      </c>
      <c r="D1295" s="26" t="s">
        <v>81</v>
      </c>
      <c r="E1295" s="27" t="s">
        <v>4205</v>
      </c>
      <c r="F1295" s="28" t="s">
        <v>4206</v>
      </c>
      <c r="G1295" s="29">
        <v>45234.0</v>
      </c>
      <c r="H1295" s="30">
        <v>45234.0</v>
      </c>
      <c r="I1295" s="30">
        <v>45599.0</v>
      </c>
      <c r="J1295" s="31">
        <v>0.0</v>
      </c>
      <c r="K1295" s="26" t="s">
        <v>420</v>
      </c>
      <c r="L1295" s="32" t="s">
        <v>75</v>
      </c>
      <c r="M1295" s="33">
        <v>30680.0</v>
      </c>
      <c r="N1295" s="34">
        <v>32631.12</v>
      </c>
      <c r="O1295" s="27" t="s">
        <v>76</v>
      </c>
      <c r="P1295" s="35" t="s">
        <v>430</v>
      </c>
      <c r="Q1295" s="35" t="s">
        <v>65</v>
      </c>
      <c r="R1295" s="36">
        <v>45234.0</v>
      </c>
      <c r="S1295" s="35" t="s">
        <v>78</v>
      </c>
      <c r="T1295" s="35" t="s">
        <v>416</v>
      </c>
      <c r="U1295" s="37" t="s">
        <v>67</v>
      </c>
      <c r="V1295" s="38"/>
      <c r="W1295" s="38"/>
      <c r="X1295" s="27"/>
      <c r="Y1295" s="39"/>
      <c r="Z1295" s="39"/>
      <c r="AA1295" s="39"/>
      <c r="AB1295" s="40"/>
      <c r="AC1295" s="27">
        <f t="shared" si="1033"/>
        <v>0</v>
      </c>
      <c r="AD1295" s="41"/>
      <c r="AE1295" s="42"/>
      <c r="AF1295" s="27"/>
      <c r="AG1295" s="43">
        <f t="shared" si="1036"/>
        <v>7869.42</v>
      </c>
      <c r="AH1295" s="29"/>
      <c r="AI1295" s="29"/>
      <c r="AJ1295" s="29"/>
      <c r="AK1295" s="29"/>
      <c r="AL1295" s="27"/>
      <c r="AM1295" s="44"/>
      <c r="AN1295" s="63"/>
      <c r="AO1295" s="46">
        <f>(M1295*15%)</f>
        <v>4602</v>
      </c>
      <c r="AP1295" s="47" t="s">
        <v>1108</v>
      </c>
      <c r="AQ1295" s="43">
        <f t="shared" si="1037"/>
        <v>8283.6</v>
      </c>
      <c r="AR1295" s="43">
        <f t="shared" si="448"/>
        <v>414.18</v>
      </c>
      <c r="AS1295" s="43">
        <f t="shared" si="449"/>
        <v>1449.63</v>
      </c>
      <c r="AT1295" s="48">
        <f t="shared" si="753"/>
        <v>6419.79</v>
      </c>
      <c r="AU1295" s="49">
        <f t="shared" si="1038"/>
        <v>6419.79</v>
      </c>
      <c r="AV1295" s="48"/>
      <c r="AW1295" s="34">
        <f t="shared" si="1000"/>
        <v>32631.12</v>
      </c>
      <c r="AX1295" s="50">
        <f t="shared" si="1034"/>
        <v>1817.79</v>
      </c>
      <c r="AY1295" s="43"/>
      <c r="AZ1295" s="43"/>
      <c r="BA1295" s="48">
        <f t="shared" si="1012"/>
        <v>1817.79</v>
      </c>
      <c r="BB1295" s="27"/>
      <c r="BC1295" s="27"/>
      <c r="BD1295" s="51"/>
      <c r="BE1295" s="52"/>
      <c r="BF1295" s="27" t="s">
        <v>4205</v>
      </c>
      <c r="BG1295" s="53">
        <v>0.0</v>
      </c>
      <c r="BH1295" s="53" t="str">
        <f>'[1]2023'!Q579</f>
        <v>#REF!</v>
      </c>
      <c r="BI1295" s="27"/>
      <c r="BJ1295" s="27"/>
      <c r="BK1295" s="27" t="s">
        <v>76</v>
      </c>
      <c r="BL1295" s="27"/>
    </row>
    <row r="1296" ht="14.25" customHeight="1">
      <c r="A1296" s="26" t="s">
        <v>55</v>
      </c>
      <c r="B1296" s="26" t="s">
        <v>56</v>
      </c>
      <c r="C1296" s="26" t="s">
        <v>57</v>
      </c>
      <c r="D1296" s="26" t="s">
        <v>81</v>
      </c>
      <c r="E1296" s="27" t="s">
        <v>4207</v>
      </c>
      <c r="F1296" s="28" t="s">
        <v>4208</v>
      </c>
      <c r="G1296" s="29">
        <v>45234.0</v>
      </c>
      <c r="H1296" s="30">
        <v>45234.0</v>
      </c>
      <c r="I1296" s="30">
        <v>45599.0</v>
      </c>
      <c r="J1296" s="31" t="s">
        <v>2999</v>
      </c>
      <c r="K1296" s="26" t="s">
        <v>475</v>
      </c>
      <c r="L1296" s="89">
        <v>45235.0</v>
      </c>
      <c r="M1296" s="33">
        <v>30975.0</v>
      </c>
      <c r="N1296" s="34">
        <v>33098.41</v>
      </c>
      <c r="O1296" s="27" t="s">
        <v>76</v>
      </c>
      <c r="P1296" s="35" t="s">
        <v>122</v>
      </c>
      <c r="Q1296" s="35" t="s">
        <v>90</v>
      </c>
      <c r="R1296" s="36">
        <v>45234.0</v>
      </c>
      <c r="S1296" s="35" t="s">
        <v>86</v>
      </c>
      <c r="T1296" s="35">
        <v>0.0</v>
      </c>
      <c r="U1296" s="37" t="s">
        <v>67</v>
      </c>
      <c r="V1296" s="38">
        <v>1500000.0</v>
      </c>
      <c r="W1296" s="38">
        <v>4635.0</v>
      </c>
      <c r="X1296" s="27">
        <v>2022.0</v>
      </c>
      <c r="Y1296" s="39"/>
      <c r="Z1296" s="79" t="s">
        <v>208</v>
      </c>
      <c r="AA1296" s="39"/>
      <c r="AB1296" s="27"/>
      <c r="AC1296" s="27">
        <f t="shared" si="1033"/>
        <v>0</v>
      </c>
      <c r="AD1296" s="41">
        <f t="shared" ref="AD1296:AD1304" si="1039">IF(AND(S1296="0",O1296="Paid"),(M1296*15%)-AC1296,0)</f>
        <v>4646.25</v>
      </c>
      <c r="AE1296" s="42"/>
      <c r="AF1296" s="27"/>
      <c r="AG1296" s="43">
        <f t="shared" si="1036"/>
        <v>7945.0875</v>
      </c>
      <c r="AH1296" s="29"/>
      <c r="AI1296" s="29"/>
      <c r="AJ1296" s="29"/>
      <c r="AK1296" s="29"/>
      <c r="AL1296" s="27"/>
      <c r="AM1296" s="44">
        <f>((M1296*25%)-AC1296-((M1296*25%)*22.5%))*30%</f>
        <v>1800.421875</v>
      </c>
      <c r="AN1296" s="179">
        <v>45148.0</v>
      </c>
      <c r="AO1296" s="46"/>
      <c r="AP1296" s="47"/>
      <c r="AQ1296" s="43">
        <f t="shared" ref="AQ1296:AQ1297" si="1040">IF(O1296="Paid",IF(U1296="Motor Plus",(M1296*27%),IF(U1296="Motor One",(M1296*22%),(IF(U1296="Golden",(M1296*25%),(IF(U1296="Classic",(M1296*15%),(IF(U1296="Wethaq",(M1296*28%),IF(U1296="Alwataniya",(M1296*21%))*0)))))))))</f>
        <v>8363.25</v>
      </c>
      <c r="AR1296" s="43">
        <f t="shared" si="448"/>
        <v>418.1625</v>
      </c>
      <c r="AS1296" s="43">
        <f t="shared" si="449"/>
        <v>1463.56875</v>
      </c>
      <c r="AT1296" s="48">
        <f t="shared" si="753"/>
        <v>6481.51875</v>
      </c>
      <c r="AU1296" s="49">
        <f t="shared" ref="AU1296:AU1303" si="1041">AQ1296-AR1296-AS1296-AC1296-AO1296</f>
        <v>6481.51875</v>
      </c>
      <c r="AV1296" s="48"/>
      <c r="AW1296" s="34">
        <f t="shared" si="1000"/>
        <v>28452.16</v>
      </c>
      <c r="AX1296" s="50">
        <f t="shared" si="1034"/>
        <v>34.846875</v>
      </c>
      <c r="AY1296" s="43"/>
      <c r="AZ1296" s="47"/>
      <c r="BA1296" s="48">
        <f t="shared" si="1012"/>
        <v>4681.096875</v>
      </c>
      <c r="BB1296" s="27"/>
      <c r="BC1296" s="27"/>
      <c r="BD1296" s="51"/>
      <c r="BE1296" s="52"/>
      <c r="BF1296" s="27"/>
      <c r="BG1296" s="53">
        <v>0.0</v>
      </c>
      <c r="BH1296" s="53" t="str">
        <f>'[1]2023'!Q1231</f>
        <v>#REF!</v>
      </c>
      <c r="BI1296" s="27"/>
      <c r="BJ1296" s="27"/>
      <c r="BK1296" s="27" t="s">
        <v>76</v>
      </c>
      <c r="BL1296" s="27"/>
    </row>
    <row r="1297" ht="14.25" customHeight="1">
      <c r="A1297" s="26" t="s">
        <v>55</v>
      </c>
      <c r="B1297" s="26" t="s">
        <v>56</v>
      </c>
      <c r="C1297" s="26" t="s">
        <v>57</v>
      </c>
      <c r="D1297" s="26" t="s">
        <v>81</v>
      </c>
      <c r="E1297" s="27" t="s">
        <v>4209</v>
      </c>
      <c r="F1297" s="28" t="s">
        <v>4210</v>
      </c>
      <c r="G1297" s="29">
        <v>45234.0</v>
      </c>
      <c r="H1297" s="30">
        <v>45234.0</v>
      </c>
      <c r="I1297" s="30">
        <v>45599.0</v>
      </c>
      <c r="J1297" s="31" t="s">
        <v>4211</v>
      </c>
      <c r="K1297" s="26" t="s">
        <v>2374</v>
      </c>
      <c r="L1297" s="89">
        <v>45225.0</v>
      </c>
      <c r="M1297" s="33">
        <v>29942.5</v>
      </c>
      <c r="N1297" s="34">
        <v>31999.83</v>
      </c>
      <c r="O1297" s="27" t="s">
        <v>76</v>
      </c>
      <c r="P1297" s="35" t="s">
        <v>122</v>
      </c>
      <c r="Q1297" s="35" t="s">
        <v>90</v>
      </c>
      <c r="R1297" s="36">
        <v>45234.0</v>
      </c>
      <c r="S1297" s="35" t="s">
        <v>86</v>
      </c>
      <c r="T1297" s="35">
        <v>0.0</v>
      </c>
      <c r="U1297" s="37" t="s">
        <v>67</v>
      </c>
      <c r="V1297" s="38">
        <v>1450000.0</v>
      </c>
      <c r="W1297" s="78">
        <v>3381.0</v>
      </c>
      <c r="X1297" s="27">
        <v>2021.0</v>
      </c>
      <c r="Y1297" s="79" t="s">
        <v>208</v>
      </c>
      <c r="Z1297" s="39"/>
      <c r="AA1297" s="39"/>
      <c r="AB1297" s="27"/>
      <c r="AC1297" s="27">
        <f t="shared" si="1033"/>
        <v>0</v>
      </c>
      <c r="AD1297" s="41">
        <f t="shared" si="1039"/>
        <v>4491.375</v>
      </c>
      <c r="AE1297" s="42"/>
      <c r="AF1297" s="27"/>
      <c r="AG1297" s="43">
        <f t="shared" si="1036"/>
        <v>7680.25125</v>
      </c>
      <c r="AH1297" s="29"/>
      <c r="AI1297" s="29"/>
      <c r="AJ1297" s="29"/>
      <c r="AK1297" s="29"/>
      <c r="AL1297" s="27"/>
      <c r="AM1297" s="44"/>
      <c r="AN1297" s="47"/>
      <c r="AO1297" s="46"/>
      <c r="AP1297" s="47"/>
      <c r="AQ1297" s="43">
        <f t="shared" si="1040"/>
        <v>8084.475</v>
      </c>
      <c r="AR1297" s="43">
        <f t="shared" si="448"/>
        <v>404.22375</v>
      </c>
      <c r="AS1297" s="43">
        <f t="shared" si="449"/>
        <v>1414.783125</v>
      </c>
      <c r="AT1297" s="48">
        <f t="shared" si="753"/>
        <v>6265.468125</v>
      </c>
      <c r="AU1297" s="49">
        <f t="shared" si="1041"/>
        <v>6265.468125</v>
      </c>
      <c r="AV1297" s="48"/>
      <c r="AW1297" s="34">
        <f t="shared" si="1000"/>
        <v>27508.455</v>
      </c>
      <c r="AX1297" s="50">
        <f t="shared" si="1034"/>
        <v>1774.093125</v>
      </c>
      <c r="AY1297" s="43"/>
      <c r="AZ1297" s="47"/>
      <c r="BA1297" s="48">
        <f t="shared" si="1012"/>
        <v>6265.468125</v>
      </c>
      <c r="BB1297" s="27"/>
      <c r="BC1297" s="27"/>
      <c r="BD1297" s="51"/>
      <c r="BE1297" s="52"/>
      <c r="BF1297" s="27"/>
      <c r="BG1297" s="53">
        <v>0.0</v>
      </c>
      <c r="BH1297" s="53" t="str">
        <f>'[1]2023'!Q1459</f>
        <v>#REF!</v>
      </c>
      <c r="BI1297" s="27"/>
      <c r="BJ1297" s="27"/>
      <c r="BK1297" s="27" t="s">
        <v>76</v>
      </c>
      <c r="BL1297" s="27"/>
    </row>
    <row r="1298" ht="14.25" customHeight="1">
      <c r="A1298" s="26" t="s">
        <v>55</v>
      </c>
      <c r="B1298" s="26" t="s">
        <v>1099</v>
      </c>
      <c r="C1298" s="26" t="s">
        <v>57</v>
      </c>
      <c r="D1298" s="26" t="s">
        <v>81</v>
      </c>
      <c r="E1298" s="27" t="s">
        <v>4212</v>
      </c>
      <c r="F1298" s="28" t="s">
        <v>4213</v>
      </c>
      <c r="G1298" s="29">
        <v>45234.0</v>
      </c>
      <c r="H1298" s="30">
        <v>45234.0</v>
      </c>
      <c r="I1298" s="30">
        <v>45599.0</v>
      </c>
      <c r="J1298" s="31" t="s">
        <v>3991</v>
      </c>
      <c r="K1298" s="26" t="s">
        <v>931</v>
      </c>
      <c r="L1298" s="32" t="s">
        <v>3486</v>
      </c>
      <c r="M1298" s="33">
        <v>10910.63</v>
      </c>
      <c r="N1298" s="34">
        <v>11218.37</v>
      </c>
      <c r="O1298" s="27" t="s">
        <v>76</v>
      </c>
      <c r="P1298" s="35" t="s">
        <v>89</v>
      </c>
      <c r="Q1298" s="35">
        <v>0.0</v>
      </c>
      <c r="R1298" s="36">
        <v>45234.0</v>
      </c>
      <c r="S1298" s="35" t="s">
        <v>86</v>
      </c>
      <c r="T1298" s="35">
        <v>0.0</v>
      </c>
      <c r="U1298" s="37" t="s">
        <v>1099</v>
      </c>
      <c r="V1298" s="38"/>
      <c r="W1298" s="78"/>
      <c r="X1298" s="27"/>
      <c r="Y1298" s="39"/>
      <c r="Z1298" s="39"/>
      <c r="AA1298" s="39"/>
      <c r="AB1298" s="27"/>
      <c r="AC1298" s="27">
        <f t="shared" si="1033"/>
        <v>0</v>
      </c>
      <c r="AD1298" s="41">
        <f t="shared" si="1039"/>
        <v>1636.5945</v>
      </c>
      <c r="AE1298" s="42"/>
      <c r="AF1298" s="27"/>
      <c r="AG1298" s="43">
        <f t="shared" si="1036"/>
        <v>2798.576595</v>
      </c>
      <c r="AH1298" s="29"/>
      <c r="AI1298" s="29"/>
      <c r="AJ1298" s="29"/>
      <c r="AK1298" s="29"/>
      <c r="AL1298" s="27"/>
      <c r="AM1298" s="44"/>
      <c r="AN1298" s="47"/>
      <c r="AO1298" s="46"/>
      <c r="AP1298" s="47"/>
      <c r="AQ1298" s="43">
        <f>IF(U1298="Motor Plus",(M1298*27%),IF(U1298="Motor One",(M1298*22%),(IF(U1298="Golden",(M1298*25%),(IF(U1298="Classic",(M1298*15%),(IF(U1298="Wethaq",(M1298*28%),IF(U1298="Alwataniya",(M1298*21%))*0))))))))</f>
        <v>0</v>
      </c>
      <c r="AR1298" s="43">
        <f t="shared" si="448"/>
        <v>0</v>
      </c>
      <c r="AS1298" s="43">
        <f t="shared" si="449"/>
        <v>0</v>
      </c>
      <c r="AT1298" s="48">
        <f t="shared" si="753"/>
        <v>0</v>
      </c>
      <c r="AU1298" s="49">
        <f t="shared" si="1041"/>
        <v>0</v>
      </c>
      <c r="AV1298" s="48"/>
      <c r="AW1298" s="34">
        <f t="shared" si="1000"/>
        <v>9581.7755</v>
      </c>
      <c r="AX1298" s="50">
        <f t="shared" si="1034"/>
        <v>1161.982095</v>
      </c>
      <c r="AY1298" s="43"/>
      <c r="AZ1298" s="47"/>
      <c r="BA1298" s="48">
        <f t="shared" si="1012"/>
        <v>0</v>
      </c>
      <c r="BB1298" s="27"/>
      <c r="BC1298" s="27"/>
      <c r="BD1298" s="51"/>
      <c r="BE1298" s="52"/>
      <c r="BF1298" s="27"/>
      <c r="BG1298" s="58" t="s">
        <v>4214</v>
      </c>
      <c r="BH1298" s="53" t="str">
        <f>'[1]2023'!Q1476</f>
        <v>#REF!</v>
      </c>
      <c r="BI1298" s="27"/>
      <c r="BJ1298" s="27"/>
      <c r="BK1298" s="27" t="s">
        <v>76</v>
      </c>
      <c r="BL1298" s="27"/>
    </row>
    <row r="1299" ht="14.25" customHeight="1">
      <c r="A1299" s="26" t="s">
        <v>55</v>
      </c>
      <c r="B1299" s="26" t="s">
        <v>56</v>
      </c>
      <c r="C1299" s="26" t="s">
        <v>57</v>
      </c>
      <c r="D1299" s="26" t="s">
        <v>81</v>
      </c>
      <c r="E1299" s="27" t="s">
        <v>4215</v>
      </c>
      <c r="F1299" s="28" t="s">
        <v>4216</v>
      </c>
      <c r="G1299" s="29">
        <v>45234.0</v>
      </c>
      <c r="H1299" s="30">
        <v>45234.0</v>
      </c>
      <c r="I1299" s="30">
        <v>45599.0</v>
      </c>
      <c r="J1299" s="31" t="s">
        <v>4217</v>
      </c>
      <c r="K1299" s="26" t="s">
        <v>2374</v>
      </c>
      <c r="L1299" s="89">
        <v>45246.0</v>
      </c>
      <c r="M1299" s="33">
        <v>21562.5</v>
      </c>
      <c r="N1299" s="34">
        <v>23083.51</v>
      </c>
      <c r="O1299" s="27" t="s">
        <v>76</v>
      </c>
      <c r="P1299" s="35" t="s">
        <v>95</v>
      </c>
      <c r="Q1299" s="35" t="s">
        <v>65</v>
      </c>
      <c r="R1299" s="36">
        <v>45234.0</v>
      </c>
      <c r="S1299" s="35" t="s">
        <v>86</v>
      </c>
      <c r="T1299" s="35">
        <v>0.0</v>
      </c>
      <c r="U1299" s="37" t="s">
        <v>67</v>
      </c>
      <c r="V1299" s="38">
        <v>575000.0</v>
      </c>
      <c r="W1299" s="78">
        <v>703787.0</v>
      </c>
      <c r="X1299" s="27">
        <v>2018.0</v>
      </c>
      <c r="Y1299" s="79" t="s">
        <v>4218</v>
      </c>
      <c r="Z1299" s="39"/>
      <c r="AA1299" s="39"/>
      <c r="AB1299" s="27"/>
      <c r="AC1299" s="27">
        <f t="shared" si="1033"/>
        <v>0</v>
      </c>
      <c r="AD1299" s="41">
        <f t="shared" si="1039"/>
        <v>3234.375</v>
      </c>
      <c r="AE1299" s="42"/>
      <c r="AF1299" s="27"/>
      <c r="AG1299" s="43">
        <f t="shared" ref="AG1299:AG1303" si="1042">IF(O1299="Paid",IF(A1299="Wethaq",(M1299*28%)-((M1299*28%)*5%),IF((A1299="GIG"),(M1299*25%)-((M1299*25%)*5%),IF((A1299="Allianz"),(M1299*27%)-((M1299*27%)*20%),0))),0)</f>
        <v>4657.5</v>
      </c>
      <c r="AH1299" s="29"/>
      <c r="AI1299" s="29"/>
      <c r="AJ1299" s="29"/>
      <c r="AK1299" s="29"/>
      <c r="AL1299" s="27"/>
      <c r="AM1299" s="44"/>
      <c r="AN1299" s="47"/>
      <c r="AO1299" s="46"/>
      <c r="AP1299" s="47"/>
      <c r="AQ1299" s="43">
        <f t="shared" ref="AQ1299:AQ1304" si="1043">IF(O1299="Paid",IF(U1299="Motor Plus",(M1299*27%),IF(U1299="Motor One",(M1299*22%),(IF(U1299="Golden",(M1299*25%),(IF(U1299="Classic",(M1299*15%),(IF(U1299="Wethaq",(M1299*28%),IF(U1299="Alwataniya",(M1299*21%))*0)))))))))</f>
        <v>5821.875</v>
      </c>
      <c r="AR1299" s="43">
        <f t="shared" si="448"/>
        <v>291.09375</v>
      </c>
      <c r="AS1299" s="43">
        <f t="shared" si="449"/>
        <v>1018.828125</v>
      </c>
      <c r="AT1299" s="48">
        <f t="shared" si="753"/>
        <v>4511.953125</v>
      </c>
      <c r="AU1299" s="49">
        <f t="shared" si="1041"/>
        <v>4511.953125</v>
      </c>
      <c r="AV1299" s="48"/>
      <c r="AW1299" s="34">
        <f t="shared" si="1000"/>
        <v>19849.135</v>
      </c>
      <c r="AX1299" s="50">
        <f t="shared" si="1034"/>
        <v>404.296875</v>
      </c>
      <c r="AY1299" s="43"/>
      <c r="AZ1299" s="47"/>
      <c r="BA1299" s="48">
        <f t="shared" si="1012"/>
        <v>4511.953125</v>
      </c>
      <c r="BB1299" s="27"/>
      <c r="BC1299" s="27"/>
      <c r="BD1299" s="51"/>
      <c r="BE1299" s="52"/>
      <c r="BF1299" s="27"/>
      <c r="BG1299" s="53">
        <v>0.0</v>
      </c>
      <c r="BH1299" s="53" t="str">
        <f>'[1]2023'!Q1596</f>
        <v>#REF!</v>
      </c>
      <c r="BI1299" s="27"/>
      <c r="BJ1299" s="27"/>
      <c r="BK1299" s="27" t="s">
        <v>76</v>
      </c>
      <c r="BL1299" s="27"/>
    </row>
    <row r="1300" ht="14.25" customHeight="1">
      <c r="A1300" s="26" t="s">
        <v>55</v>
      </c>
      <c r="B1300" s="26" t="s">
        <v>56</v>
      </c>
      <c r="C1300" s="26" t="s">
        <v>57</v>
      </c>
      <c r="D1300" s="26" t="s">
        <v>81</v>
      </c>
      <c r="E1300" s="27" t="s">
        <v>4219</v>
      </c>
      <c r="F1300" s="28" t="s">
        <v>4220</v>
      </c>
      <c r="G1300" s="29">
        <v>45234.0</v>
      </c>
      <c r="H1300" s="30">
        <v>45234.0</v>
      </c>
      <c r="I1300" s="30">
        <v>45599.0</v>
      </c>
      <c r="J1300" s="31" t="s">
        <v>4221</v>
      </c>
      <c r="K1300" s="26" t="s">
        <v>2374</v>
      </c>
      <c r="L1300" s="89">
        <v>45249.0</v>
      </c>
      <c r="M1300" s="33">
        <v>20208.83</v>
      </c>
      <c r="N1300" s="34">
        <v>21702.2</v>
      </c>
      <c r="O1300" s="27" t="s">
        <v>76</v>
      </c>
      <c r="P1300" s="35" t="s">
        <v>89</v>
      </c>
      <c r="Q1300" s="35" t="s">
        <v>65</v>
      </c>
      <c r="R1300" s="36">
        <v>45234.0</v>
      </c>
      <c r="S1300" s="35" t="s">
        <v>86</v>
      </c>
      <c r="T1300" s="35">
        <v>0.0</v>
      </c>
      <c r="U1300" s="37" t="s">
        <v>67</v>
      </c>
      <c r="V1300" s="38">
        <v>975000.0</v>
      </c>
      <c r="W1300" s="78" t="s">
        <v>4222</v>
      </c>
      <c r="X1300" s="27">
        <v>2019.0</v>
      </c>
      <c r="Y1300" s="79" t="s">
        <v>3556</v>
      </c>
      <c r="Z1300" s="39"/>
      <c r="AA1300" s="39"/>
      <c r="AB1300" s="27"/>
      <c r="AC1300" s="27">
        <f t="shared" si="1033"/>
        <v>0</v>
      </c>
      <c r="AD1300" s="41">
        <f t="shared" si="1039"/>
        <v>3031.3245</v>
      </c>
      <c r="AE1300" s="42"/>
      <c r="AF1300" s="27"/>
      <c r="AG1300" s="43">
        <f t="shared" si="1042"/>
        <v>4365.10728</v>
      </c>
      <c r="AH1300" s="29"/>
      <c r="AI1300" s="29"/>
      <c r="AJ1300" s="29"/>
      <c r="AK1300" s="29"/>
      <c r="AL1300" s="27"/>
      <c r="AM1300" s="44"/>
      <c r="AN1300" s="47"/>
      <c r="AO1300" s="46"/>
      <c r="AP1300" s="47"/>
      <c r="AQ1300" s="43">
        <f t="shared" si="1043"/>
        <v>5456.3841</v>
      </c>
      <c r="AR1300" s="43">
        <f t="shared" si="448"/>
        <v>272.819205</v>
      </c>
      <c r="AS1300" s="43">
        <f t="shared" si="449"/>
        <v>954.8672175</v>
      </c>
      <c r="AT1300" s="48">
        <f t="shared" si="753"/>
        <v>4228.697678</v>
      </c>
      <c r="AU1300" s="49">
        <f t="shared" si="1041"/>
        <v>4228.697678</v>
      </c>
      <c r="AV1300" s="48"/>
      <c r="AW1300" s="34">
        <f t="shared" si="1000"/>
        <v>18670.8755</v>
      </c>
      <c r="AX1300" s="50">
        <f t="shared" si="1034"/>
        <v>378.9155625</v>
      </c>
      <c r="AY1300" s="43"/>
      <c r="AZ1300" s="47"/>
      <c r="BA1300" s="48">
        <f t="shared" si="1012"/>
        <v>4228.697678</v>
      </c>
      <c r="BB1300" s="27"/>
      <c r="BC1300" s="27"/>
      <c r="BD1300" s="51"/>
      <c r="BE1300" s="52"/>
      <c r="BF1300" s="27"/>
      <c r="BG1300" s="53">
        <v>0.0</v>
      </c>
      <c r="BH1300" s="53" t="str">
        <f t="shared" ref="BH1300:BH1301" si="1044">'[1]2023'!Q1603</f>
        <v>#REF!</v>
      </c>
      <c r="BI1300" s="27"/>
      <c r="BJ1300" s="27"/>
      <c r="BK1300" s="27" t="s">
        <v>76</v>
      </c>
      <c r="BL1300" s="27"/>
    </row>
    <row r="1301" ht="14.25" customHeight="1">
      <c r="A1301" s="26" t="s">
        <v>55</v>
      </c>
      <c r="B1301" s="26" t="s">
        <v>56</v>
      </c>
      <c r="C1301" s="26" t="s">
        <v>57</v>
      </c>
      <c r="D1301" s="26" t="s">
        <v>81</v>
      </c>
      <c r="E1301" s="27" t="s">
        <v>4223</v>
      </c>
      <c r="F1301" s="28" t="s">
        <v>4224</v>
      </c>
      <c r="G1301" s="29">
        <v>45234.0</v>
      </c>
      <c r="H1301" s="30">
        <v>45234.0</v>
      </c>
      <c r="I1301" s="30">
        <v>45599.0</v>
      </c>
      <c r="J1301" s="31" t="s">
        <v>4225</v>
      </c>
      <c r="K1301" s="26" t="s">
        <v>2374</v>
      </c>
      <c r="L1301" s="89">
        <v>45249.0</v>
      </c>
      <c r="M1301" s="33">
        <v>30975.0</v>
      </c>
      <c r="N1301" s="34">
        <v>33098.41</v>
      </c>
      <c r="O1301" s="27" t="s">
        <v>76</v>
      </c>
      <c r="P1301" s="35" t="s">
        <v>89</v>
      </c>
      <c r="Q1301" s="35" t="s">
        <v>65</v>
      </c>
      <c r="R1301" s="36">
        <v>45234.0</v>
      </c>
      <c r="S1301" s="35" t="s">
        <v>86</v>
      </c>
      <c r="T1301" s="35">
        <v>0.0</v>
      </c>
      <c r="U1301" s="37" t="s">
        <v>67</v>
      </c>
      <c r="V1301" s="38">
        <v>1500000.0</v>
      </c>
      <c r="W1301" s="78">
        <v>501228.0</v>
      </c>
      <c r="X1301" s="27">
        <v>2022.0</v>
      </c>
      <c r="Y1301" s="79" t="s">
        <v>407</v>
      </c>
      <c r="Z1301" s="39"/>
      <c r="AA1301" s="39"/>
      <c r="AB1301" s="27"/>
      <c r="AC1301" s="27">
        <f t="shared" si="1033"/>
        <v>0</v>
      </c>
      <c r="AD1301" s="41">
        <f t="shared" si="1039"/>
        <v>4646.25</v>
      </c>
      <c r="AE1301" s="42"/>
      <c r="AF1301" s="27"/>
      <c r="AG1301" s="43">
        <f t="shared" si="1042"/>
        <v>6690.6</v>
      </c>
      <c r="AH1301" s="29"/>
      <c r="AI1301" s="29"/>
      <c r="AJ1301" s="29"/>
      <c r="AK1301" s="29"/>
      <c r="AL1301" s="27"/>
      <c r="AM1301" s="44"/>
      <c r="AN1301" s="47"/>
      <c r="AO1301" s="46"/>
      <c r="AP1301" s="47"/>
      <c r="AQ1301" s="43">
        <f t="shared" si="1043"/>
        <v>8363.25</v>
      </c>
      <c r="AR1301" s="43">
        <f t="shared" si="448"/>
        <v>418.1625</v>
      </c>
      <c r="AS1301" s="43">
        <f t="shared" si="449"/>
        <v>1463.56875</v>
      </c>
      <c r="AT1301" s="48">
        <f t="shared" si="753"/>
        <v>6481.51875</v>
      </c>
      <c r="AU1301" s="49">
        <f t="shared" si="1041"/>
        <v>6481.51875</v>
      </c>
      <c r="AV1301" s="48"/>
      <c r="AW1301" s="34">
        <f t="shared" si="1000"/>
        <v>28452.16</v>
      </c>
      <c r="AX1301" s="50">
        <f t="shared" si="1034"/>
        <v>580.78125</v>
      </c>
      <c r="AY1301" s="43"/>
      <c r="AZ1301" s="47"/>
      <c r="BA1301" s="48">
        <f t="shared" si="1012"/>
        <v>6481.51875</v>
      </c>
      <c r="BB1301" s="27"/>
      <c r="BC1301" s="27"/>
      <c r="BD1301" s="51"/>
      <c r="BE1301" s="52"/>
      <c r="BF1301" s="27"/>
      <c r="BG1301" s="53">
        <v>0.0</v>
      </c>
      <c r="BH1301" s="53" t="str">
        <f t="shared" si="1044"/>
        <v>#REF!</v>
      </c>
      <c r="BI1301" s="27"/>
      <c r="BJ1301" s="27"/>
      <c r="BK1301" s="27" t="s">
        <v>76</v>
      </c>
      <c r="BL1301" s="27"/>
    </row>
    <row r="1302" ht="14.25" customHeight="1">
      <c r="A1302" s="26" t="s">
        <v>55</v>
      </c>
      <c r="B1302" s="26" t="s">
        <v>56</v>
      </c>
      <c r="C1302" s="26" t="s">
        <v>57</v>
      </c>
      <c r="D1302" s="26" t="s">
        <v>81</v>
      </c>
      <c r="E1302" s="27" t="s">
        <v>4226</v>
      </c>
      <c r="F1302" s="28" t="s">
        <v>2998</v>
      </c>
      <c r="G1302" s="29">
        <v>45234.0</v>
      </c>
      <c r="H1302" s="30">
        <v>45234.0</v>
      </c>
      <c r="I1302" s="30">
        <v>45599.0</v>
      </c>
      <c r="J1302" s="31" t="s">
        <v>2999</v>
      </c>
      <c r="K1302" s="26" t="s">
        <v>2374</v>
      </c>
      <c r="L1302" s="89">
        <v>45235.0</v>
      </c>
      <c r="M1302" s="33">
        <v>30975.0</v>
      </c>
      <c r="N1302" s="34">
        <v>33098.41</v>
      </c>
      <c r="O1302" s="27" t="s">
        <v>76</v>
      </c>
      <c r="P1302" s="35" t="s">
        <v>122</v>
      </c>
      <c r="Q1302" s="35" t="s">
        <v>90</v>
      </c>
      <c r="R1302" s="36">
        <v>45234.0</v>
      </c>
      <c r="S1302" s="35" t="s">
        <v>86</v>
      </c>
      <c r="T1302" s="35">
        <v>0.0</v>
      </c>
      <c r="U1302" s="37" t="s">
        <v>67</v>
      </c>
      <c r="V1302" s="38">
        <v>1500000.0</v>
      </c>
      <c r="W1302" s="78">
        <v>4635.0</v>
      </c>
      <c r="X1302" s="27">
        <v>2022.0</v>
      </c>
      <c r="Y1302" s="79" t="s">
        <v>208</v>
      </c>
      <c r="Z1302" s="39"/>
      <c r="AA1302" s="39"/>
      <c r="AB1302" s="27"/>
      <c r="AC1302" s="27">
        <f t="shared" si="1033"/>
        <v>0</v>
      </c>
      <c r="AD1302" s="41">
        <f t="shared" si="1039"/>
        <v>4646.25</v>
      </c>
      <c r="AE1302" s="42"/>
      <c r="AF1302" s="27"/>
      <c r="AG1302" s="43">
        <f t="shared" si="1042"/>
        <v>6690.6</v>
      </c>
      <c r="AH1302" s="29"/>
      <c r="AI1302" s="29"/>
      <c r="AJ1302" s="29"/>
      <c r="AK1302" s="29"/>
      <c r="AL1302" s="27"/>
      <c r="AM1302" s="44"/>
      <c r="AN1302" s="47"/>
      <c r="AO1302" s="46"/>
      <c r="AP1302" s="47"/>
      <c r="AQ1302" s="43">
        <f t="shared" si="1043"/>
        <v>8363.25</v>
      </c>
      <c r="AR1302" s="43">
        <f t="shared" si="448"/>
        <v>418.1625</v>
      </c>
      <c r="AS1302" s="43">
        <f t="shared" si="449"/>
        <v>1463.56875</v>
      </c>
      <c r="AT1302" s="48">
        <f t="shared" si="753"/>
        <v>6481.51875</v>
      </c>
      <c r="AU1302" s="49">
        <f t="shared" si="1041"/>
        <v>6481.51875</v>
      </c>
      <c r="AV1302" s="48"/>
      <c r="AW1302" s="34">
        <f t="shared" si="1000"/>
        <v>28452.16</v>
      </c>
      <c r="AX1302" s="50">
        <f t="shared" si="1034"/>
        <v>580.78125</v>
      </c>
      <c r="AY1302" s="43"/>
      <c r="AZ1302" s="47"/>
      <c r="BA1302" s="48">
        <f t="shared" si="1012"/>
        <v>6481.51875</v>
      </c>
      <c r="BB1302" s="27"/>
      <c r="BC1302" s="27"/>
      <c r="BD1302" s="51"/>
      <c r="BE1302" s="52"/>
      <c r="BF1302" s="27"/>
      <c r="BG1302" s="53">
        <v>0.0</v>
      </c>
      <c r="BH1302" s="53" t="str">
        <f>'[1]2023'!Q1617</f>
        <v>#REF!</v>
      </c>
      <c r="BI1302" s="27"/>
      <c r="BJ1302" s="27"/>
      <c r="BK1302" s="27" t="s">
        <v>76</v>
      </c>
      <c r="BL1302" s="27"/>
    </row>
    <row r="1303" ht="14.25" customHeight="1">
      <c r="A1303" s="26" t="s">
        <v>55</v>
      </c>
      <c r="B1303" s="26" t="s">
        <v>56</v>
      </c>
      <c r="C1303" s="26" t="s">
        <v>57</v>
      </c>
      <c r="D1303" s="26" t="s">
        <v>81</v>
      </c>
      <c r="E1303" s="27" t="s">
        <v>4227</v>
      </c>
      <c r="F1303" s="28" t="s">
        <v>4228</v>
      </c>
      <c r="G1303" s="29">
        <v>45234.0</v>
      </c>
      <c r="H1303" s="30">
        <v>45234.0</v>
      </c>
      <c r="I1303" s="30">
        <v>45599.0</v>
      </c>
      <c r="J1303" s="31" t="s">
        <v>4229</v>
      </c>
      <c r="K1303" s="26" t="s">
        <v>2374</v>
      </c>
      <c r="L1303" s="32" t="s">
        <v>63</v>
      </c>
      <c r="M1303" s="33" t="s">
        <v>63</v>
      </c>
      <c r="N1303" s="34" t="s">
        <v>63</v>
      </c>
      <c r="O1303" s="27" t="s">
        <v>1102</v>
      </c>
      <c r="P1303" s="35">
        <v>0.0</v>
      </c>
      <c r="Q1303" s="35">
        <v>0.0</v>
      </c>
      <c r="R1303" s="36">
        <v>45234.0</v>
      </c>
      <c r="S1303" s="35" t="s">
        <v>86</v>
      </c>
      <c r="T1303" s="35">
        <v>0.0</v>
      </c>
      <c r="U1303" s="37" t="s">
        <v>67</v>
      </c>
      <c r="V1303" s="38"/>
      <c r="W1303" s="78"/>
      <c r="X1303" s="27"/>
      <c r="Y1303" s="39"/>
      <c r="Z1303" s="39"/>
      <c r="AA1303" s="39"/>
      <c r="AB1303" s="27"/>
      <c r="AC1303" s="27" t="str">
        <f t="shared" si="1033"/>
        <v>#VALUE!</v>
      </c>
      <c r="AD1303" s="41">
        <f t="shared" si="1039"/>
        <v>0</v>
      </c>
      <c r="AE1303" s="42"/>
      <c r="AF1303" s="27"/>
      <c r="AG1303" s="43">
        <f t="shared" si="1042"/>
        <v>0</v>
      </c>
      <c r="AH1303" s="29"/>
      <c r="AI1303" s="29"/>
      <c r="AJ1303" s="29"/>
      <c r="AK1303" s="29"/>
      <c r="AL1303" s="27"/>
      <c r="AM1303" s="44"/>
      <c r="AN1303" s="47"/>
      <c r="AO1303" s="76"/>
      <c r="AP1303" s="47"/>
      <c r="AQ1303" s="43" t="b">
        <f t="shared" si="1043"/>
        <v>0</v>
      </c>
      <c r="AR1303" s="43">
        <f t="shared" si="448"/>
        <v>0</v>
      </c>
      <c r="AS1303" s="43">
        <f t="shared" si="449"/>
        <v>0</v>
      </c>
      <c r="AT1303" s="48">
        <f t="shared" si="753"/>
        <v>0</v>
      </c>
      <c r="AU1303" s="49" t="str">
        <f t="shared" si="1041"/>
        <v>#VALUE!</v>
      </c>
      <c r="AV1303" s="48"/>
      <c r="AW1303" s="27" t="str">
        <f t="shared" si="1000"/>
        <v>#VALUE!</v>
      </c>
      <c r="AX1303" s="50">
        <f t="shared" si="1034"/>
        <v>0</v>
      </c>
      <c r="AY1303" s="43"/>
      <c r="AZ1303" s="47"/>
      <c r="BA1303" s="48" t="str">
        <f t="shared" si="1012"/>
        <v>#VALUE!</v>
      </c>
      <c r="BB1303" s="27"/>
      <c r="BC1303" s="27"/>
      <c r="BD1303" s="51"/>
      <c r="BE1303" s="52"/>
      <c r="BF1303" s="27"/>
      <c r="BG1303" s="53">
        <v>0.0</v>
      </c>
      <c r="BH1303" s="53" t="str">
        <f>'[1]2023'!Q1633</f>
        <v>#REF!</v>
      </c>
      <c r="BI1303" s="27"/>
      <c r="BJ1303" s="27"/>
      <c r="BK1303" s="27" t="s">
        <v>1102</v>
      </c>
      <c r="BL1303" s="27"/>
    </row>
    <row r="1304" ht="14.25" customHeight="1">
      <c r="A1304" s="26" t="s">
        <v>55</v>
      </c>
      <c r="B1304" s="26" t="s">
        <v>56</v>
      </c>
      <c r="C1304" s="26" t="s">
        <v>57</v>
      </c>
      <c r="D1304" s="26" t="s">
        <v>81</v>
      </c>
      <c r="E1304" s="27" t="s">
        <v>4230</v>
      </c>
      <c r="F1304" s="28" t="s">
        <v>4231</v>
      </c>
      <c r="G1304" s="29">
        <v>45235.0</v>
      </c>
      <c r="H1304" s="30">
        <v>45235.0</v>
      </c>
      <c r="I1304" s="30">
        <v>45600.0</v>
      </c>
      <c r="J1304" s="31">
        <v>0.0</v>
      </c>
      <c r="K1304" s="26" t="s">
        <v>427</v>
      </c>
      <c r="L1304" s="32" t="s">
        <v>63</v>
      </c>
      <c r="M1304" s="33">
        <v>0.0</v>
      </c>
      <c r="N1304" s="34">
        <v>0.0</v>
      </c>
      <c r="O1304" s="27" t="s">
        <v>64</v>
      </c>
      <c r="P1304" s="35">
        <v>0.0</v>
      </c>
      <c r="Q1304" s="35" t="s">
        <v>90</v>
      </c>
      <c r="R1304" s="36">
        <v>45235.0</v>
      </c>
      <c r="S1304" s="35" t="s">
        <v>86</v>
      </c>
      <c r="T1304" s="35">
        <v>0.0</v>
      </c>
      <c r="U1304" s="37" t="s">
        <v>67</v>
      </c>
      <c r="V1304" s="38"/>
      <c r="W1304" s="38"/>
      <c r="X1304" s="27"/>
      <c r="Y1304" s="39"/>
      <c r="Z1304" s="39"/>
      <c r="AA1304" s="39"/>
      <c r="AB1304" s="40"/>
      <c r="AC1304" s="27">
        <f t="shared" si="1033"/>
        <v>0</v>
      </c>
      <c r="AD1304" s="41">
        <f t="shared" si="1039"/>
        <v>0</v>
      </c>
      <c r="AE1304" s="42"/>
      <c r="AF1304" s="27"/>
      <c r="AG1304" s="43">
        <f>IF(O1304="Paid",IF(A1304="Alwataniya",(M1304*21%)-((M1304*21%)*5%),IF((A1304="GIG"),(M1304*25%)-((M1304*25%)*5%),IF((A1304="Allianz"),(M1304*27%)-((M1304*27%)*5%),0))),0)</f>
        <v>0</v>
      </c>
      <c r="AH1304" s="29"/>
      <c r="AI1304" s="29"/>
      <c r="AJ1304" s="29"/>
      <c r="AK1304" s="75"/>
      <c r="AL1304" s="27"/>
      <c r="AM1304" s="44"/>
      <c r="AN1304" s="93"/>
      <c r="AO1304" s="46"/>
      <c r="AP1304" s="47"/>
      <c r="AQ1304" s="43" t="b">
        <f t="shared" si="1043"/>
        <v>0</v>
      </c>
      <c r="AR1304" s="43">
        <f t="shared" si="448"/>
        <v>0</v>
      </c>
      <c r="AS1304" s="43">
        <f t="shared" si="449"/>
        <v>0</v>
      </c>
      <c r="AT1304" s="48">
        <f t="shared" si="753"/>
        <v>0</v>
      </c>
      <c r="AU1304" s="49">
        <f t="shared" ref="AU1304:AU1308" si="1045">AQ1304-AR1304-AS1304-AC1304</f>
        <v>0</v>
      </c>
      <c r="AV1304" s="48"/>
      <c r="AW1304" s="34">
        <f t="shared" si="1000"/>
        <v>0</v>
      </c>
      <c r="AX1304" s="50">
        <f t="shared" si="1034"/>
        <v>0</v>
      </c>
      <c r="AY1304" s="43"/>
      <c r="AZ1304" s="43"/>
      <c r="BA1304" s="48">
        <f t="shared" si="1012"/>
        <v>0</v>
      </c>
      <c r="BB1304" s="27"/>
      <c r="BC1304" s="27"/>
      <c r="BD1304" s="51"/>
      <c r="BE1304" s="52"/>
      <c r="BF1304" s="27" t="s">
        <v>4230</v>
      </c>
      <c r="BG1304" s="53">
        <v>0.0</v>
      </c>
      <c r="BH1304" s="53" t="str">
        <f>'[1]2023'!Q591</f>
        <v>#REF!</v>
      </c>
      <c r="BI1304" s="27"/>
      <c r="BJ1304" s="27"/>
      <c r="BK1304" s="27" t="s">
        <v>64</v>
      </c>
      <c r="BL1304" s="27"/>
    </row>
    <row r="1305" ht="14.25" customHeight="1">
      <c r="A1305" s="26" t="s">
        <v>111</v>
      </c>
      <c r="B1305" s="26" t="s">
        <v>56</v>
      </c>
      <c r="C1305" s="26" t="s">
        <v>57</v>
      </c>
      <c r="D1305" s="26" t="s">
        <v>71</v>
      </c>
      <c r="E1305" s="27" t="s">
        <v>4232</v>
      </c>
      <c r="F1305" s="28" t="s">
        <v>4233</v>
      </c>
      <c r="G1305" s="29">
        <v>45235.0</v>
      </c>
      <c r="H1305" s="30">
        <v>45235.0</v>
      </c>
      <c r="I1305" s="30">
        <v>45600.0</v>
      </c>
      <c r="J1305" s="31" t="s">
        <v>714</v>
      </c>
      <c r="K1305" s="26" t="s">
        <v>427</v>
      </c>
      <c r="L1305" s="32" t="s">
        <v>75</v>
      </c>
      <c r="M1305" s="33">
        <v>31675.35</v>
      </c>
      <c r="N1305" s="34">
        <v>33800.0</v>
      </c>
      <c r="O1305" s="27" t="s">
        <v>76</v>
      </c>
      <c r="P1305" s="35" t="s">
        <v>89</v>
      </c>
      <c r="Q1305" s="35" t="s">
        <v>114</v>
      </c>
      <c r="R1305" s="36">
        <v>45244.0</v>
      </c>
      <c r="S1305" s="35" t="s">
        <v>78</v>
      </c>
      <c r="T1305" s="54" t="s">
        <v>4234</v>
      </c>
      <c r="U1305" s="37" t="s">
        <v>115</v>
      </c>
      <c r="V1305" s="38">
        <v>1300000.0</v>
      </c>
      <c r="W1305" s="38"/>
      <c r="X1305" s="27"/>
      <c r="Y1305" s="39"/>
      <c r="Z1305" s="79" t="s">
        <v>1031</v>
      </c>
      <c r="AA1305" s="39"/>
      <c r="AB1305" s="40"/>
      <c r="AC1305" s="27">
        <f t="shared" si="1033"/>
        <v>0</v>
      </c>
      <c r="AD1305" s="41"/>
      <c r="AE1305" s="42"/>
      <c r="AF1305" s="27"/>
      <c r="AG1305" s="43">
        <f>IF(O1305="Paid",IF(A1305="Alwataniya",(M1305*21%)-((M1305*21%)*5%),IF((A1305="GIG"),(M1305*25%)-((M1305*25%)*5%),IF((A1305="Allianz"),(M1305*27%)-((M1305*27%)*20%),0))),0)</f>
        <v>7522.895625</v>
      </c>
      <c r="AH1305" s="29" t="s">
        <v>1392</v>
      </c>
      <c r="AI1305" s="61" t="s">
        <v>1393</v>
      </c>
      <c r="AJ1305" s="40"/>
      <c r="AK1305" s="62" t="s">
        <v>63</v>
      </c>
      <c r="AL1305" s="27"/>
      <c r="AM1305" s="44"/>
      <c r="AN1305" s="63"/>
      <c r="AO1305" s="46">
        <f>M1305*15%</f>
        <v>4751.3025</v>
      </c>
      <c r="AP1305" s="47" t="s">
        <v>4235</v>
      </c>
      <c r="AQ1305" s="43">
        <f>IF(U1305="Motor Plus",(M1305*27%),IF(U1305="Motor One",(M1305*22%),(IF(U1305="Golden",(M1305*25%),(IF(U1305="Classic",(M1305*15%),(IF(U1305="Wethaq",(M1305*28%),IF(U1305="Alwataniya",(M1305*21%))*0))))))))</f>
        <v>7918.8375</v>
      </c>
      <c r="AR1305" s="43">
        <f t="shared" si="448"/>
        <v>395.941875</v>
      </c>
      <c r="AS1305" s="43">
        <f t="shared" si="449"/>
        <v>1385.796563</v>
      </c>
      <c r="AT1305" s="48">
        <f t="shared" si="753"/>
        <v>6137.099063</v>
      </c>
      <c r="AU1305" s="49">
        <f t="shared" si="1045"/>
        <v>6137.099063</v>
      </c>
      <c r="AV1305" s="48"/>
      <c r="AW1305" s="34">
        <f t="shared" si="1000"/>
        <v>33800</v>
      </c>
      <c r="AX1305" s="50">
        <f t="shared" si="1034"/>
        <v>1385.796563</v>
      </c>
      <c r="AY1305" s="43"/>
      <c r="AZ1305" s="43"/>
      <c r="BA1305" s="48">
        <f t="shared" si="1012"/>
        <v>1385.796563</v>
      </c>
      <c r="BB1305" s="27"/>
      <c r="BC1305" s="27"/>
      <c r="BD1305" s="51"/>
      <c r="BE1305" s="52"/>
      <c r="BF1305" s="27" t="s">
        <v>4232</v>
      </c>
      <c r="BG1305" s="58" t="s">
        <v>4236</v>
      </c>
      <c r="BH1305" s="53" t="str">
        <f>'[1]2023'!Q626</f>
        <v>#REF!</v>
      </c>
      <c r="BI1305" s="27"/>
      <c r="BJ1305" s="27"/>
      <c r="BK1305" s="27" t="s">
        <v>76</v>
      </c>
      <c r="BL1305" s="27"/>
    </row>
    <row r="1306" ht="14.25" customHeight="1">
      <c r="A1306" s="26" t="s">
        <v>68</v>
      </c>
      <c r="B1306" s="26" t="s">
        <v>56</v>
      </c>
      <c r="C1306" s="26" t="s">
        <v>57</v>
      </c>
      <c r="D1306" s="26" t="s">
        <v>71</v>
      </c>
      <c r="E1306" s="27" t="s">
        <v>4237</v>
      </c>
      <c r="F1306" s="28" t="s">
        <v>1560</v>
      </c>
      <c r="G1306" s="29">
        <v>45235.0</v>
      </c>
      <c r="H1306" s="30">
        <v>45235.0</v>
      </c>
      <c r="I1306" s="30">
        <v>45600.0</v>
      </c>
      <c r="J1306" s="31" t="s">
        <v>1321</v>
      </c>
      <c r="K1306" s="26" t="s">
        <v>427</v>
      </c>
      <c r="L1306" s="32" t="s">
        <v>63</v>
      </c>
      <c r="M1306" s="33">
        <v>23503.08</v>
      </c>
      <c r="N1306" s="34">
        <v>25000.0</v>
      </c>
      <c r="O1306" s="27" t="s">
        <v>64</v>
      </c>
      <c r="P1306" s="35" t="s">
        <v>162</v>
      </c>
      <c r="Q1306" s="35" t="s">
        <v>114</v>
      </c>
      <c r="R1306" s="36">
        <v>45254.0</v>
      </c>
      <c r="S1306" s="35" t="s">
        <v>78</v>
      </c>
      <c r="T1306" s="54" t="s">
        <v>1322</v>
      </c>
      <c r="U1306" s="37" t="s">
        <v>68</v>
      </c>
      <c r="V1306" s="38">
        <v>1250000.0</v>
      </c>
      <c r="W1306" s="38"/>
      <c r="X1306" s="27"/>
      <c r="Y1306" s="39"/>
      <c r="Z1306" s="79" t="s">
        <v>4238</v>
      </c>
      <c r="AA1306" s="39"/>
      <c r="AB1306" s="40"/>
      <c r="AC1306" s="27">
        <f t="shared" si="1033"/>
        <v>0</v>
      </c>
      <c r="AD1306" s="41">
        <f t="shared" ref="AD1306:AD1317" si="1046">IF(AND(S1306="0",O1306="Paid"),(M1306*15%)-AC1306,0)</f>
        <v>0</v>
      </c>
      <c r="AE1306" s="42"/>
      <c r="AF1306" s="27"/>
      <c r="AG1306" s="43" t="b">
        <f>IF(O1306="Paid",IF(A1306="Wethaq",(M1306*28%)-((M1306*28%)*5%)))</f>
        <v>0</v>
      </c>
      <c r="AH1306" s="29"/>
      <c r="AI1306" s="29"/>
      <c r="AJ1306" s="40"/>
      <c r="AK1306" s="29"/>
      <c r="AL1306" s="27"/>
      <c r="AM1306" s="44"/>
      <c r="AN1306" s="63"/>
      <c r="AO1306" s="48"/>
      <c r="AP1306" s="43"/>
      <c r="AQ1306" s="43" t="b">
        <f t="shared" ref="AQ1306:AQ1307" si="1047">IF(O1306="Paid",IF(U1306="Motor Plus",(M1306*27%),IF(U1306="Motor One",(M1306*22%),(IF(U1306="Golden",(M1306*25%),(IF(U1306="Classic",(M1306*15%),(IF(U1306="Wethaq",(M1306*28%),IF(U1306="Alwataniya",(M1306*21%))*0)))))))))</f>
        <v>0</v>
      </c>
      <c r="AR1306" s="43">
        <f t="shared" si="448"/>
        <v>0</v>
      </c>
      <c r="AS1306" s="43">
        <f t="shared" si="449"/>
        <v>0</v>
      </c>
      <c r="AT1306" s="48">
        <f t="shared" si="753"/>
        <v>0</v>
      </c>
      <c r="AU1306" s="49">
        <f t="shared" si="1045"/>
        <v>0</v>
      </c>
      <c r="AV1306" s="48"/>
      <c r="AW1306" s="34">
        <f t="shared" si="1000"/>
        <v>25000</v>
      </c>
      <c r="AX1306" s="50">
        <f t="shared" si="1034"/>
        <v>0</v>
      </c>
      <c r="AY1306" s="43"/>
      <c r="AZ1306" s="43"/>
      <c r="BA1306" s="48">
        <f t="shared" si="1012"/>
        <v>0</v>
      </c>
      <c r="BB1306" s="27"/>
      <c r="BC1306" s="27"/>
      <c r="BD1306" s="51"/>
      <c r="BE1306" s="52"/>
      <c r="BF1306" s="27" t="s">
        <v>4237</v>
      </c>
      <c r="BG1306" s="58" t="s">
        <v>562</v>
      </c>
      <c r="BH1306" s="53" t="str">
        <f>'[1]2023'!Q642</f>
        <v>#REF!</v>
      </c>
      <c r="BI1306" s="27"/>
      <c r="BJ1306" s="27"/>
      <c r="BK1306" s="27" t="s">
        <v>64</v>
      </c>
      <c r="BL1306" s="27"/>
    </row>
    <row r="1307" ht="14.25" customHeight="1">
      <c r="A1307" s="26" t="s">
        <v>181</v>
      </c>
      <c r="B1307" s="26" t="s">
        <v>56</v>
      </c>
      <c r="C1307" s="26" t="s">
        <v>57</v>
      </c>
      <c r="D1307" s="26" t="s">
        <v>71</v>
      </c>
      <c r="E1307" s="27" t="s">
        <v>4239</v>
      </c>
      <c r="F1307" s="28" t="s">
        <v>4240</v>
      </c>
      <c r="G1307" s="29">
        <v>45235.0</v>
      </c>
      <c r="H1307" s="30">
        <v>45235.0</v>
      </c>
      <c r="I1307" s="30">
        <v>45600.0</v>
      </c>
      <c r="J1307" s="31" t="s">
        <v>4241</v>
      </c>
      <c r="K1307" s="26" t="s">
        <v>427</v>
      </c>
      <c r="L1307" s="32" t="s">
        <v>63</v>
      </c>
      <c r="M1307" s="33">
        <v>6967.04</v>
      </c>
      <c r="N1307" s="34">
        <v>7560.0</v>
      </c>
      <c r="O1307" s="27" t="s">
        <v>64</v>
      </c>
      <c r="P1307" s="35">
        <v>0.0</v>
      </c>
      <c r="Q1307" s="35">
        <v>0.0</v>
      </c>
      <c r="R1307" s="36">
        <v>45235.0</v>
      </c>
      <c r="S1307" s="35" t="s">
        <v>676</v>
      </c>
      <c r="T1307" s="35">
        <v>0.0</v>
      </c>
      <c r="U1307" s="37">
        <v>0.0</v>
      </c>
      <c r="V1307" s="38"/>
      <c r="W1307" s="38"/>
      <c r="X1307" s="27"/>
      <c r="Y1307" s="39"/>
      <c r="Z1307" s="39"/>
      <c r="AA1307" s="39"/>
      <c r="AB1307" s="40"/>
      <c r="AC1307" s="27">
        <f t="shared" si="1033"/>
        <v>0</v>
      </c>
      <c r="AD1307" s="41">
        <f t="shared" si="1046"/>
        <v>0</v>
      </c>
      <c r="AE1307" s="42"/>
      <c r="AF1307" s="27"/>
      <c r="AG1307" s="43">
        <f>IF(O1307="Paid",IF(A1307="Alwataniya",(M1307*21%)-((M1307*21%)*5%),IF((A1307="GIG"),(M1307*25%)-((M1307*25%)*5%),IF((A1307="Allianz"),(M1307*27%)-((M1307*27%)*20%),0))),0)</f>
        <v>0</v>
      </c>
      <c r="AH1307" s="29"/>
      <c r="AI1307" s="29"/>
      <c r="AJ1307" s="29"/>
      <c r="AK1307" s="75"/>
      <c r="AL1307" s="27"/>
      <c r="AM1307" s="44"/>
      <c r="AN1307" s="63"/>
      <c r="AO1307" s="43"/>
      <c r="AP1307" s="47"/>
      <c r="AQ1307" s="43" t="b">
        <f t="shared" si="1047"/>
        <v>0</v>
      </c>
      <c r="AR1307" s="43">
        <f t="shared" si="448"/>
        <v>0</v>
      </c>
      <c r="AS1307" s="43">
        <f t="shared" si="449"/>
        <v>0</v>
      </c>
      <c r="AT1307" s="48">
        <f t="shared" si="753"/>
        <v>0</v>
      </c>
      <c r="AU1307" s="49">
        <f t="shared" si="1045"/>
        <v>0</v>
      </c>
      <c r="AV1307" s="48"/>
      <c r="AW1307" s="34">
        <f t="shared" si="1000"/>
        <v>7560</v>
      </c>
      <c r="AX1307" s="50">
        <f t="shared" si="1034"/>
        <v>0</v>
      </c>
      <c r="AY1307" s="43"/>
      <c r="AZ1307" s="43"/>
      <c r="BA1307" s="48">
        <f t="shared" si="1012"/>
        <v>0</v>
      </c>
      <c r="BB1307" s="27"/>
      <c r="BC1307" s="27"/>
      <c r="BD1307" s="51"/>
      <c r="BE1307" s="52"/>
      <c r="BF1307" s="27" t="s">
        <v>4239</v>
      </c>
      <c r="BG1307" s="58" t="s">
        <v>4242</v>
      </c>
      <c r="BH1307" s="53" t="str">
        <f>'[1]2023'!Q645</f>
        <v>#REF!</v>
      </c>
      <c r="BI1307" s="27"/>
      <c r="BJ1307" s="27"/>
      <c r="BK1307" s="27" t="s">
        <v>64</v>
      </c>
      <c r="BL1307" s="27"/>
    </row>
    <row r="1308" ht="14.25" customHeight="1">
      <c r="A1308" s="26" t="s">
        <v>55</v>
      </c>
      <c r="B1308" s="26" t="s">
        <v>56</v>
      </c>
      <c r="C1308" s="26" t="s">
        <v>57</v>
      </c>
      <c r="D1308" s="26" t="s">
        <v>58</v>
      </c>
      <c r="E1308" s="27" t="s">
        <v>4243</v>
      </c>
      <c r="F1308" s="28" t="s">
        <v>4244</v>
      </c>
      <c r="G1308" s="29">
        <v>45235.0</v>
      </c>
      <c r="H1308" s="30">
        <v>45235.0</v>
      </c>
      <c r="I1308" s="30">
        <v>45600.0</v>
      </c>
      <c r="J1308" s="31" t="s">
        <v>4245</v>
      </c>
      <c r="K1308" s="26" t="s">
        <v>427</v>
      </c>
      <c r="L1308" s="32" t="s">
        <v>75</v>
      </c>
      <c r="M1308" s="33">
        <v>0.0</v>
      </c>
      <c r="N1308" s="34">
        <v>6710.28</v>
      </c>
      <c r="O1308" s="27" t="s">
        <v>76</v>
      </c>
      <c r="P1308" s="35" t="s">
        <v>122</v>
      </c>
      <c r="Q1308" s="35">
        <v>0.0</v>
      </c>
      <c r="R1308" s="36">
        <v>45235.0</v>
      </c>
      <c r="S1308" s="35" t="s">
        <v>86</v>
      </c>
      <c r="T1308" s="35">
        <v>0.0</v>
      </c>
      <c r="U1308" s="37" t="s">
        <v>67</v>
      </c>
      <c r="V1308" s="38"/>
      <c r="W1308" s="38"/>
      <c r="X1308" s="27"/>
      <c r="Y1308" s="39"/>
      <c r="Z1308" s="39"/>
      <c r="AA1308" s="39"/>
      <c r="AB1308" s="40"/>
      <c r="AC1308" s="27">
        <f t="shared" si="1033"/>
        <v>0</v>
      </c>
      <c r="AD1308" s="41">
        <f t="shared" si="1046"/>
        <v>0</v>
      </c>
      <c r="AE1308" s="42"/>
      <c r="AF1308" s="27"/>
      <c r="AG1308" s="43">
        <f>IF(O1308="Paid",IF(A1308="Alwataniya",(M1308*21%)-((M1308*21%)*5%),IF((A1308="GIG"),(M1308*25%)-((M1308*25%)*5%),IF((A1308="Allianz"),(M1308*27%)-((M1308*27%)*5%),0))),0)</f>
        <v>0</v>
      </c>
      <c r="AH1308" s="29"/>
      <c r="AI1308" s="29"/>
      <c r="AJ1308" s="29"/>
      <c r="AK1308" s="29"/>
      <c r="AL1308" s="27"/>
      <c r="AM1308" s="44"/>
      <c r="AN1308" s="93"/>
      <c r="AO1308" s="46"/>
      <c r="AP1308" s="47"/>
      <c r="AQ1308" s="43">
        <f>IF(U1308="Motor Plus",(M1308*27%),IF(U1308="Motor One",(M1308*22%),(IF(U1308="Golden",(M1308*25%),(IF(U1308="Classic",(M1308*15%),(IF(U1308="Wethaq",(M1308*28%),IF(U1308="Alwataniya",(M1308*21%))*0))))))))</f>
        <v>0</v>
      </c>
      <c r="AR1308" s="43">
        <f t="shared" si="448"/>
        <v>0</v>
      </c>
      <c r="AS1308" s="43">
        <f t="shared" si="449"/>
        <v>0</v>
      </c>
      <c r="AT1308" s="48">
        <f t="shared" si="753"/>
        <v>0</v>
      </c>
      <c r="AU1308" s="49">
        <f t="shared" si="1045"/>
        <v>0</v>
      </c>
      <c r="AV1308" s="48"/>
      <c r="AW1308" s="34">
        <f t="shared" si="1000"/>
        <v>6710.28</v>
      </c>
      <c r="AX1308" s="50">
        <f t="shared" si="1034"/>
        <v>0</v>
      </c>
      <c r="AY1308" s="43"/>
      <c r="AZ1308" s="43"/>
      <c r="BA1308" s="48">
        <f t="shared" si="1012"/>
        <v>0</v>
      </c>
      <c r="BB1308" s="27"/>
      <c r="BC1308" s="27"/>
      <c r="BD1308" s="51"/>
      <c r="BE1308" s="52"/>
      <c r="BF1308" s="27" t="s">
        <v>4243</v>
      </c>
      <c r="BG1308" s="53">
        <v>0.0</v>
      </c>
      <c r="BH1308" s="53" t="str">
        <f>'[1]2023'!Q691</f>
        <v>#REF!</v>
      </c>
      <c r="BI1308" s="27"/>
      <c r="BJ1308" s="27"/>
      <c r="BK1308" s="27" t="s">
        <v>76</v>
      </c>
      <c r="BL1308" s="27"/>
    </row>
    <row r="1309" ht="14.25" customHeight="1">
      <c r="A1309" s="26" t="s">
        <v>1634</v>
      </c>
      <c r="B1309" s="26" t="s">
        <v>69</v>
      </c>
      <c r="C1309" s="26" t="s">
        <v>70</v>
      </c>
      <c r="D1309" s="26" t="s">
        <v>58</v>
      </c>
      <c r="E1309" s="27" t="s">
        <v>4246</v>
      </c>
      <c r="F1309" s="28" t="s">
        <v>1656</v>
      </c>
      <c r="G1309" s="29">
        <v>45235.0</v>
      </c>
      <c r="H1309" s="30">
        <v>45235.0</v>
      </c>
      <c r="I1309" s="30">
        <v>45600.0</v>
      </c>
      <c r="J1309" s="31">
        <v>0.0</v>
      </c>
      <c r="K1309" s="26" t="s">
        <v>2374</v>
      </c>
      <c r="L1309" s="89">
        <v>45263.0</v>
      </c>
      <c r="M1309" s="33">
        <v>47.62</v>
      </c>
      <c r="N1309" s="34">
        <v>105.0</v>
      </c>
      <c r="O1309" s="27" t="s">
        <v>76</v>
      </c>
      <c r="P1309" s="35" t="s">
        <v>162</v>
      </c>
      <c r="Q1309" s="35">
        <v>0.0</v>
      </c>
      <c r="R1309" s="36">
        <v>45235.0</v>
      </c>
      <c r="S1309" s="35" t="s">
        <v>78</v>
      </c>
      <c r="T1309" s="54" t="s">
        <v>79</v>
      </c>
      <c r="U1309" s="37" t="s">
        <v>69</v>
      </c>
      <c r="V1309" s="38"/>
      <c r="W1309" s="38"/>
      <c r="X1309" s="27"/>
      <c r="Y1309" s="39"/>
      <c r="Z1309" s="39"/>
      <c r="AA1309" s="39"/>
      <c r="AB1309" s="40"/>
      <c r="AC1309" s="27">
        <f t="shared" si="1033"/>
        <v>0</v>
      </c>
      <c r="AD1309" s="41">
        <f t="shared" si="1046"/>
        <v>0</v>
      </c>
      <c r="AE1309" s="42"/>
      <c r="AF1309" s="27"/>
      <c r="AG1309" s="43">
        <f>IF(O1309="Paid",IF(A1309="Alwataniya",(M1309*21%)-((M1309*21%)*5%),IF((A1309="GIG"),(M1309*25%)-((M1309*25%)*5%),IF((A1309="Allianz"),(M1309*27%)-((M1309*27%)*20%),0))),0)</f>
        <v>0</v>
      </c>
      <c r="AH1309" s="29"/>
      <c r="AI1309" s="29"/>
      <c r="AJ1309" s="55"/>
      <c r="AK1309" s="29"/>
      <c r="AL1309" s="27"/>
      <c r="AM1309" s="44"/>
      <c r="AN1309" s="47"/>
      <c r="AO1309" s="149">
        <f>((AF1309*AJ1309)-((AF1309*AJ1309)*22.5%))*80%</f>
        <v>0</v>
      </c>
      <c r="AP1309" s="47"/>
      <c r="AQ1309" s="43">
        <f>IF(O1309="Paid",IF(U1309="Motor Plus",(M1309*27%),IF(U1309="Motor One",(M1309*22%),(IF(U1309="Golden",(M1309*25%),(IF(U1309="Classic",(M1309*15%),(IF(U1309="Wethaq",(M1309*28%),IF(U1309="Alwataniya",(M1309*21%))*0)))))))))</f>
        <v>0</v>
      </c>
      <c r="AR1309" s="43">
        <f t="shared" si="448"/>
        <v>0</v>
      </c>
      <c r="AS1309" s="43">
        <f t="shared" si="449"/>
        <v>0</v>
      </c>
      <c r="AT1309" s="48">
        <f t="shared" si="753"/>
        <v>0</v>
      </c>
      <c r="AU1309" s="49">
        <f t="shared" ref="AU1309:AU1317" si="1048">AQ1309-AR1309-AS1309-AC1309-AO1309</f>
        <v>0</v>
      </c>
      <c r="AV1309" s="48"/>
      <c r="AW1309" s="34">
        <f t="shared" si="1000"/>
        <v>105</v>
      </c>
      <c r="AX1309" s="50">
        <f t="shared" si="1034"/>
        <v>0</v>
      </c>
      <c r="AY1309" s="43"/>
      <c r="AZ1309" s="47"/>
      <c r="BA1309" s="48">
        <f t="shared" si="1012"/>
        <v>0</v>
      </c>
      <c r="BB1309" s="27"/>
      <c r="BC1309" s="27"/>
      <c r="BD1309" s="51"/>
      <c r="BE1309" s="52"/>
      <c r="BF1309" s="27" t="s">
        <v>3967</v>
      </c>
      <c r="BG1309" s="58" t="s">
        <v>4247</v>
      </c>
      <c r="BH1309" s="53" t="str">
        <f>'[1]2023'!Q1010</f>
        <v>#REF!</v>
      </c>
      <c r="BI1309" s="27"/>
      <c r="BJ1309" s="27"/>
      <c r="BK1309" s="27" t="s">
        <v>76</v>
      </c>
      <c r="BL1309" s="27"/>
    </row>
    <row r="1310" ht="14.25" customHeight="1">
      <c r="A1310" s="26" t="s">
        <v>55</v>
      </c>
      <c r="B1310" s="26" t="s">
        <v>56</v>
      </c>
      <c r="C1310" s="26" t="s">
        <v>57</v>
      </c>
      <c r="D1310" s="26" t="s">
        <v>81</v>
      </c>
      <c r="E1310" s="27" t="s">
        <v>4248</v>
      </c>
      <c r="F1310" s="28" t="s">
        <v>4249</v>
      </c>
      <c r="G1310" s="29">
        <v>45235.0</v>
      </c>
      <c r="H1310" s="30">
        <v>45235.0</v>
      </c>
      <c r="I1310" s="30">
        <v>45600.0</v>
      </c>
      <c r="J1310" s="31" t="s">
        <v>4250</v>
      </c>
      <c r="K1310" s="26" t="s">
        <v>2374</v>
      </c>
      <c r="L1310" s="89">
        <v>45217.0</v>
      </c>
      <c r="M1310" s="33">
        <v>28674.0</v>
      </c>
      <c r="N1310" s="34">
        <v>30650.13</v>
      </c>
      <c r="O1310" s="27" t="s">
        <v>76</v>
      </c>
      <c r="P1310" s="35" t="s">
        <v>89</v>
      </c>
      <c r="Q1310" s="35" t="s">
        <v>90</v>
      </c>
      <c r="R1310" s="36">
        <v>45235.0</v>
      </c>
      <c r="S1310" s="35" t="s">
        <v>86</v>
      </c>
      <c r="T1310" s="35">
        <v>0.0</v>
      </c>
      <c r="U1310" s="37" t="s">
        <v>67</v>
      </c>
      <c r="V1310" s="38">
        <v>1215000.0</v>
      </c>
      <c r="W1310" s="225">
        <v>26671.0</v>
      </c>
      <c r="X1310" s="44">
        <v>2019.0</v>
      </c>
      <c r="Y1310" s="226" t="s">
        <v>208</v>
      </c>
      <c r="Z1310" s="227"/>
      <c r="AA1310" s="39"/>
      <c r="AB1310" s="27"/>
      <c r="AC1310" s="27">
        <f t="shared" si="1033"/>
        <v>0</v>
      </c>
      <c r="AD1310" s="41">
        <f t="shared" si="1046"/>
        <v>4301.1</v>
      </c>
      <c r="AE1310" s="42"/>
      <c r="AF1310" s="27"/>
      <c r="AG1310" s="43">
        <f t="shared" ref="AG1310:AG1311" si="1049">IF(O1310="Paid",IF(A1310="Alwataniya",(M1310*21%)-((M1310*21%)*5%),IF((A1310="GIG"),(M1310*25%)-((M1310*25%)*5%),IF((A1310="Allianz"),(M1310*27%)-((M1310*27%)*5%),0))),0)</f>
        <v>7354.881</v>
      </c>
      <c r="AH1310" s="29"/>
      <c r="AI1310" s="29"/>
      <c r="AJ1310" s="29"/>
      <c r="AK1310" s="29"/>
      <c r="AL1310" s="27"/>
      <c r="AM1310" s="44"/>
      <c r="AN1310" s="47"/>
      <c r="AO1310" s="46"/>
      <c r="AP1310" s="47"/>
      <c r="AQ1310" s="43">
        <f>IF(U1310="Motor Plus",(M1310*27%),IF(U1310="Motor One",(M1310*22%),(IF(U1310="Golden",(M1310*25%),(IF(U1310="Classic",(M1310*15%),(IF(U1310="Wethaq",(M1310*28%),IF(U1310="Alwataniya",(M1310*21%))*0))))))))</f>
        <v>7741.98</v>
      </c>
      <c r="AR1310" s="43">
        <f t="shared" si="448"/>
        <v>387.099</v>
      </c>
      <c r="AS1310" s="43">
        <f t="shared" si="449"/>
        <v>1354.8465</v>
      </c>
      <c r="AT1310" s="48">
        <f t="shared" si="753"/>
        <v>6000.0345</v>
      </c>
      <c r="AU1310" s="49">
        <f t="shared" si="1048"/>
        <v>6000.0345</v>
      </c>
      <c r="AV1310" s="48"/>
      <c r="AW1310" s="34">
        <f t="shared" si="1000"/>
        <v>26349.03</v>
      </c>
      <c r="AX1310" s="50">
        <f t="shared" si="1034"/>
        <v>1698.9345</v>
      </c>
      <c r="AY1310" s="43"/>
      <c r="AZ1310" s="47"/>
      <c r="BA1310" s="48">
        <f t="shared" si="1012"/>
        <v>6000.0345</v>
      </c>
      <c r="BB1310" s="27"/>
      <c r="BC1310" s="27"/>
      <c r="BD1310" s="51"/>
      <c r="BE1310" s="52"/>
      <c r="BF1310" s="27"/>
      <c r="BG1310" s="53">
        <v>0.0</v>
      </c>
      <c r="BH1310" s="53" t="str">
        <f>'[1]2023'!Q1470</f>
        <v>#REF!</v>
      </c>
      <c r="BI1310" s="27"/>
      <c r="BJ1310" s="27"/>
      <c r="BK1310" s="27" t="s">
        <v>76</v>
      </c>
      <c r="BL1310" s="27"/>
    </row>
    <row r="1311" ht="14.25" customHeight="1">
      <c r="A1311" s="26" t="s">
        <v>111</v>
      </c>
      <c r="B1311" s="26" t="s">
        <v>56</v>
      </c>
      <c r="C1311" s="26" t="s">
        <v>57</v>
      </c>
      <c r="D1311" s="26" t="s">
        <v>71</v>
      </c>
      <c r="E1311" s="27" t="s">
        <v>4251</v>
      </c>
      <c r="F1311" s="28" t="s">
        <v>4252</v>
      </c>
      <c r="G1311" s="29">
        <v>45235.0</v>
      </c>
      <c r="H1311" s="30">
        <v>45235.0</v>
      </c>
      <c r="I1311" s="30">
        <v>45600.0</v>
      </c>
      <c r="J1311" s="31" t="s">
        <v>4253</v>
      </c>
      <c r="K1311" s="26" t="s">
        <v>2374</v>
      </c>
      <c r="L1311" s="89">
        <v>45239.0</v>
      </c>
      <c r="M1311" s="33">
        <v>54740.79</v>
      </c>
      <c r="N1311" s="34">
        <v>58500.0</v>
      </c>
      <c r="O1311" s="27" t="s">
        <v>76</v>
      </c>
      <c r="P1311" s="35" t="s">
        <v>430</v>
      </c>
      <c r="Q1311" s="35" t="s">
        <v>114</v>
      </c>
      <c r="R1311" s="36">
        <v>45245.0</v>
      </c>
      <c r="S1311" s="35" t="s">
        <v>78</v>
      </c>
      <c r="T1311" s="54" t="s">
        <v>510</v>
      </c>
      <c r="U1311" s="37" t="s">
        <v>115</v>
      </c>
      <c r="V1311" s="38">
        <v>2250000.0</v>
      </c>
      <c r="W1311" s="78">
        <v>351470.0</v>
      </c>
      <c r="X1311" s="27"/>
      <c r="Y1311" s="79" t="s">
        <v>4254</v>
      </c>
      <c r="Z1311" s="39"/>
      <c r="AA1311" s="39"/>
      <c r="AB1311" s="27"/>
      <c r="AC1311" s="27">
        <f t="shared" si="1033"/>
        <v>0</v>
      </c>
      <c r="AD1311" s="41">
        <f t="shared" si="1046"/>
        <v>0</v>
      </c>
      <c r="AE1311" s="42"/>
      <c r="AF1311" s="27">
        <v>5460.0</v>
      </c>
      <c r="AG1311" s="103">
        <f t="shared" si="1049"/>
        <v>13000.93763</v>
      </c>
      <c r="AH1311" s="27"/>
      <c r="AI1311" s="200" t="s">
        <v>4255</v>
      </c>
      <c r="AJ1311" s="145">
        <v>0.25</v>
      </c>
      <c r="AK1311" s="217" t="s">
        <v>1181</v>
      </c>
      <c r="AL1311" s="156">
        <f>AG1311-5460</f>
        <v>7540.937625</v>
      </c>
      <c r="AM1311" s="44">
        <f>M1311*AJ1311-((M1311*AJ1311)*22.5%)</f>
        <v>10606.02806</v>
      </c>
      <c r="AN1311" s="47">
        <v>5460.0</v>
      </c>
      <c r="AO1311" s="228">
        <f>((M1311*AJ1311)/2)-(((M1311*AJ1311)/2)*22.5%)</f>
        <v>5303.014031</v>
      </c>
      <c r="AP1311" s="57">
        <v>45306.0</v>
      </c>
      <c r="AQ1311" s="43">
        <f t="shared" ref="AQ1311:AQ1317" si="1050">IF(O1311="Paid",IF(U1311="Motor Plus",(M1311*27%),IF(U1311="Motor One",(M1311*22%),(IF(U1311="Golden",(M1311*25%),(IF(U1311="Classic",(M1311*15%),(IF(U1311="Wethaq",(M1311*28%),IF(U1311="Alwataniya",(M1311*21%))*0)))))))))</f>
        <v>13685.1975</v>
      </c>
      <c r="AR1311" s="43">
        <f t="shared" si="448"/>
        <v>684.259875</v>
      </c>
      <c r="AS1311" s="43">
        <f t="shared" si="449"/>
        <v>2394.909563</v>
      </c>
      <c r="AT1311" s="48">
        <f t="shared" si="753"/>
        <v>10606.02806</v>
      </c>
      <c r="AU1311" s="49">
        <f t="shared" si="1048"/>
        <v>5303.014031</v>
      </c>
      <c r="AV1311" s="48"/>
      <c r="AW1311" s="34">
        <f t="shared" si="1000"/>
        <v>58500</v>
      </c>
      <c r="AX1311" s="50">
        <f t="shared" si="1034"/>
        <v>-12843.95166</v>
      </c>
      <c r="AY1311" s="43"/>
      <c r="AZ1311" s="47"/>
      <c r="BA1311" s="48">
        <f t="shared" si="1012"/>
        <v>-10606.02806</v>
      </c>
      <c r="BB1311" s="27"/>
      <c r="BC1311" s="27"/>
      <c r="BD1311" s="51"/>
      <c r="BE1311" s="52"/>
      <c r="BF1311" s="27"/>
      <c r="BG1311" s="53">
        <v>0.0</v>
      </c>
      <c r="BH1311" s="53" t="str">
        <f>'[1]2023'!Q1547</f>
        <v>#REF!</v>
      </c>
      <c r="BI1311" s="27"/>
      <c r="BJ1311" s="27"/>
      <c r="BK1311" s="27" t="s">
        <v>76</v>
      </c>
      <c r="BL1311" s="27"/>
    </row>
    <row r="1312" ht="14.25" customHeight="1">
      <c r="A1312" s="26" t="s">
        <v>68</v>
      </c>
      <c r="B1312" s="26" t="s">
        <v>56</v>
      </c>
      <c r="C1312" s="26" t="s">
        <v>57</v>
      </c>
      <c r="D1312" s="26" t="s">
        <v>71</v>
      </c>
      <c r="E1312" s="27" t="s">
        <v>4256</v>
      </c>
      <c r="F1312" s="28" t="s">
        <v>4257</v>
      </c>
      <c r="G1312" s="29">
        <v>45235.0</v>
      </c>
      <c r="H1312" s="30">
        <v>45235.0</v>
      </c>
      <c r="I1312" s="30">
        <v>45600.0</v>
      </c>
      <c r="J1312" s="31" t="s">
        <v>4258</v>
      </c>
      <c r="K1312" s="26" t="s">
        <v>2374</v>
      </c>
      <c r="L1312" s="89">
        <v>45238.0</v>
      </c>
      <c r="M1312" s="33">
        <v>18787.38</v>
      </c>
      <c r="N1312" s="34">
        <v>20200.0</v>
      </c>
      <c r="O1312" s="27" t="s">
        <v>76</v>
      </c>
      <c r="P1312" s="35" t="s">
        <v>89</v>
      </c>
      <c r="Q1312" s="35">
        <v>0.0</v>
      </c>
      <c r="R1312" s="36">
        <v>45254.0</v>
      </c>
      <c r="S1312" s="35" t="s">
        <v>676</v>
      </c>
      <c r="T1312" s="35">
        <v>0.0</v>
      </c>
      <c r="U1312" s="37" t="s">
        <v>68</v>
      </c>
      <c r="V1312" s="38">
        <v>1010000.0</v>
      </c>
      <c r="W1312" s="78">
        <v>4156520.0</v>
      </c>
      <c r="X1312" s="27"/>
      <c r="Y1312" s="79" t="s">
        <v>4259</v>
      </c>
      <c r="Z1312" s="39"/>
      <c r="AA1312" s="39"/>
      <c r="AB1312" s="27"/>
      <c r="AC1312" s="27">
        <f t="shared" si="1033"/>
        <v>0</v>
      </c>
      <c r="AD1312" s="41">
        <f t="shared" si="1046"/>
        <v>0</v>
      </c>
      <c r="AE1312" s="42"/>
      <c r="AF1312" s="27"/>
      <c r="AG1312" s="43">
        <f t="shared" ref="AG1312:AG1313" si="1051">M1312*28%-((M1312*28%)*5%)</f>
        <v>4997.44308</v>
      </c>
      <c r="AH1312" s="29"/>
      <c r="AI1312" s="29" t="s">
        <v>3049</v>
      </c>
      <c r="AJ1312" s="29"/>
      <c r="AK1312" s="29" t="s">
        <v>3050</v>
      </c>
      <c r="AL1312" s="27"/>
      <c r="AM1312" s="215">
        <f>AU1312*10%</f>
        <v>407.686146</v>
      </c>
      <c r="AN1312" s="71">
        <v>45654.0</v>
      </c>
      <c r="AO1312" s="46"/>
      <c r="AP1312" s="47"/>
      <c r="AQ1312" s="43">
        <f t="shared" si="1050"/>
        <v>5260.4664</v>
      </c>
      <c r="AR1312" s="43">
        <f t="shared" si="448"/>
        <v>263.02332</v>
      </c>
      <c r="AS1312" s="43">
        <f t="shared" si="449"/>
        <v>920.58162</v>
      </c>
      <c r="AT1312" s="48">
        <f t="shared" si="753"/>
        <v>4076.86146</v>
      </c>
      <c r="AU1312" s="49">
        <f t="shared" si="1048"/>
        <v>4076.86146</v>
      </c>
      <c r="AV1312" s="106">
        <f t="shared" ref="AV1312:AV1313" si="1052">(AU1312-AM1312)*10%</f>
        <v>366.9175314</v>
      </c>
      <c r="AW1312" s="34">
        <f t="shared" si="1000"/>
        <v>20200</v>
      </c>
      <c r="AX1312" s="50">
        <f t="shared" si="1034"/>
        <v>3302.257783</v>
      </c>
      <c r="AY1312" s="43"/>
      <c r="AZ1312" s="47"/>
      <c r="BA1312" s="48">
        <f t="shared" si="1012"/>
        <v>3669.175314</v>
      </c>
      <c r="BB1312" s="27"/>
      <c r="BC1312" s="27"/>
      <c r="BD1312" s="51"/>
      <c r="BE1312" s="52"/>
      <c r="BF1312" s="27"/>
      <c r="BG1312" s="53">
        <v>0.0</v>
      </c>
      <c r="BH1312" s="53" t="str">
        <f t="shared" ref="BH1312:BH1313" si="1053">'[1]2023'!Q1558</f>
        <v>#REF!</v>
      </c>
      <c r="BI1312" s="27"/>
      <c r="BJ1312" s="27"/>
      <c r="BK1312" s="27" t="s">
        <v>76</v>
      </c>
      <c r="BL1312" s="27"/>
    </row>
    <row r="1313" ht="14.25" customHeight="1">
      <c r="A1313" s="26" t="s">
        <v>68</v>
      </c>
      <c r="B1313" s="26" t="s">
        <v>56</v>
      </c>
      <c r="C1313" s="26" t="s">
        <v>57</v>
      </c>
      <c r="D1313" s="26" t="s">
        <v>71</v>
      </c>
      <c r="E1313" s="27" t="s">
        <v>4260</v>
      </c>
      <c r="F1313" s="28" t="s">
        <v>4261</v>
      </c>
      <c r="G1313" s="29">
        <v>45235.0</v>
      </c>
      <c r="H1313" s="30">
        <v>45235.0</v>
      </c>
      <c r="I1313" s="30">
        <v>45600.0</v>
      </c>
      <c r="J1313" s="31" t="s">
        <v>4262</v>
      </c>
      <c r="K1313" s="26" t="s">
        <v>2374</v>
      </c>
      <c r="L1313" s="89">
        <v>45246.0</v>
      </c>
      <c r="M1313" s="33">
        <v>18601.37</v>
      </c>
      <c r="N1313" s="34">
        <v>20000.0</v>
      </c>
      <c r="O1313" s="27" t="s">
        <v>76</v>
      </c>
      <c r="P1313" s="35" t="s">
        <v>430</v>
      </c>
      <c r="Q1313" s="35">
        <v>0.0</v>
      </c>
      <c r="R1313" s="36">
        <v>45255.0</v>
      </c>
      <c r="S1313" s="35" t="s">
        <v>676</v>
      </c>
      <c r="T1313" s="54" t="s">
        <v>2391</v>
      </c>
      <c r="U1313" s="37" t="s">
        <v>68</v>
      </c>
      <c r="V1313" s="38">
        <v>1000000.0</v>
      </c>
      <c r="W1313" s="78">
        <v>1639.0</v>
      </c>
      <c r="X1313" s="27"/>
      <c r="Y1313" s="79" t="s">
        <v>4139</v>
      </c>
      <c r="Z1313" s="39"/>
      <c r="AA1313" s="39"/>
      <c r="AB1313" s="27"/>
      <c r="AC1313" s="27">
        <f t="shared" si="1033"/>
        <v>0</v>
      </c>
      <c r="AD1313" s="41">
        <f t="shared" si="1046"/>
        <v>0</v>
      </c>
      <c r="AE1313" s="42"/>
      <c r="AF1313" s="27"/>
      <c r="AG1313" s="43">
        <f t="shared" si="1051"/>
        <v>4947.96442</v>
      </c>
      <c r="AH1313" s="29"/>
      <c r="AI1313" s="29" t="s">
        <v>3049</v>
      </c>
      <c r="AJ1313" s="29"/>
      <c r="AK1313" s="29" t="s">
        <v>3050</v>
      </c>
      <c r="AL1313" s="27"/>
      <c r="AM1313" s="215">
        <f>AU1313*30%</f>
        <v>373.887537</v>
      </c>
      <c r="AN1313" s="71">
        <v>45654.0</v>
      </c>
      <c r="AO1313" s="46">
        <f>M1313*15%</f>
        <v>2790.2055</v>
      </c>
      <c r="AP1313" s="57">
        <v>45028.0</v>
      </c>
      <c r="AQ1313" s="43">
        <f t="shared" si="1050"/>
        <v>5208.3836</v>
      </c>
      <c r="AR1313" s="43">
        <f t="shared" si="448"/>
        <v>260.41918</v>
      </c>
      <c r="AS1313" s="43">
        <f t="shared" si="449"/>
        <v>911.46713</v>
      </c>
      <c r="AT1313" s="48">
        <f t="shared" si="753"/>
        <v>4036.49729</v>
      </c>
      <c r="AU1313" s="49">
        <f t="shared" si="1048"/>
        <v>1246.29179</v>
      </c>
      <c r="AV1313" s="106">
        <f t="shared" si="1052"/>
        <v>87.2404253</v>
      </c>
      <c r="AW1313" s="34">
        <f t="shared" si="1000"/>
        <v>20000</v>
      </c>
      <c r="AX1313" s="50">
        <f t="shared" si="1034"/>
        <v>785.1638277</v>
      </c>
      <c r="AY1313" s="43"/>
      <c r="AZ1313" s="47"/>
      <c r="BA1313" s="48">
        <f t="shared" si="1012"/>
        <v>-1917.801247</v>
      </c>
      <c r="BB1313" s="27"/>
      <c r="BC1313" s="27"/>
      <c r="BD1313" s="51"/>
      <c r="BE1313" s="52"/>
      <c r="BF1313" s="27"/>
      <c r="BG1313" s="53">
        <v>0.0</v>
      </c>
      <c r="BH1313" s="53" t="str">
        <f t="shared" si="1053"/>
        <v>#REF!</v>
      </c>
      <c r="BI1313" s="27"/>
      <c r="BJ1313" s="27"/>
      <c r="BK1313" s="27" t="s">
        <v>76</v>
      </c>
      <c r="BL1313" s="27"/>
    </row>
    <row r="1314" ht="14.25" customHeight="1">
      <c r="A1314" s="26" t="s">
        <v>1634</v>
      </c>
      <c r="B1314" s="26" t="s">
        <v>69</v>
      </c>
      <c r="C1314" s="26" t="s">
        <v>70</v>
      </c>
      <c r="D1314" s="26" t="s">
        <v>58</v>
      </c>
      <c r="E1314" s="99" t="s">
        <v>4263</v>
      </c>
      <c r="F1314" s="26" t="s">
        <v>4264</v>
      </c>
      <c r="G1314" s="29">
        <v>45235.0</v>
      </c>
      <c r="H1314" s="30">
        <v>45235.0</v>
      </c>
      <c r="I1314" s="30">
        <v>45600.0</v>
      </c>
      <c r="J1314" s="31">
        <v>0.0</v>
      </c>
      <c r="K1314" s="26" t="s">
        <v>2374</v>
      </c>
      <c r="L1314" s="32" t="s">
        <v>63</v>
      </c>
      <c r="M1314" s="33">
        <v>0.0</v>
      </c>
      <c r="N1314" s="34">
        <v>0.0</v>
      </c>
      <c r="O1314" s="27" t="s">
        <v>64</v>
      </c>
      <c r="P1314" s="35">
        <v>0.0</v>
      </c>
      <c r="Q1314" s="35">
        <v>0.0</v>
      </c>
      <c r="R1314" s="36">
        <v>45235.0</v>
      </c>
      <c r="S1314" s="35" t="s">
        <v>78</v>
      </c>
      <c r="T1314" s="54" t="s">
        <v>79</v>
      </c>
      <c r="U1314" s="37" t="s">
        <v>69</v>
      </c>
      <c r="V1314" s="38"/>
      <c r="W1314" s="78"/>
      <c r="X1314" s="27"/>
      <c r="Y1314" s="39"/>
      <c r="Z1314" s="39"/>
      <c r="AA1314" s="39"/>
      <c r="AB1314" s="27"/>
      <c r="AC1314" s="27">
        <f t="shared" si="1033"/>
        <v>0</v>
      </c>
      <c r="AD1314" s="41">
        <f t="shared" si="1046"/>
        <v>0</v>
      </c>
      <c r="AE1314" s="42"/>
      <c r="AF1314" s="27"/>
      <c r="AG1314" s="43">
        <f t="shared" ref="AG1314:AG1317" si="1054">IF(O1314="Paid",IF(A1314="Wethaq",(M1314*28%)-((M1314*28%)*5%),IF((A1314="GIG"),(M1314*25%)-((M1314*25%)*5%),IF((A1314="Allianz"),(M1314*27%)-((M1314*27%)*20%),0))),0)</f>
        <v>0</v>
      </c>
      <c r="AH1314" s="29"/>
      <c r="AI1314" s="29"/>
      <c r="AJ1314" s="29"/>
      <c r="AK1314" s="29"/>
      <c r="AL1314" s="27"/>
      <c r="AM1314" s="44"/>
      <c r="AN1314" s="47"/>
      <c r="AO1314" s="46"/>
      <c r="AP1314" s="47"/>
      <c r="AQ1314" s="43" t="b">
        <f t="shared" si="1050"/>
        <v>0</v>
      </c>
      <c r="AR1314" s="43">
        <f t="shared" si="448"/>
        <v>0</v>
      </c>
      <c r="AS1314" s="43">
        <f t="shared" si="449"/>
        <v>0</v>
      </c>
      <c r="AT1314" s="48">
        <f t="shared" si="753"/>
        <v>0</v>
      </c>
      <c r="AU1314" s="49">
        <f t="shared" si="1048"/>
        <v>0</v>
      </c>
      <c r="AV1314" s="48"/>
      <c r="AW1314" s="34">
        <f t="shared" si="1000"/>
        <v>0</v>
      </c>
      <c r="AX1314" s="50">
        <f t="shared" si="1034"/>
        <v>0</v>
      </c>
      <c r="AY1314" s="43"/>
      <c r="AZ1314" s="47"/>
      <c r="BA1314" s="48">
        <f t="shared" si="1012"/>
        <v>0</v>
      </c>
      <c r="BB1314" s="27"/>
      <c r="BC1314" s="27"/>
      <c r="BD1314" s="51"/>
      <c r="BE1314" s="52"/>
      <c r="BF1314" s="27"/>
      <c r="BG1314" s="58" t="s">
        <v>4265</v>
      </c>
      <c r="BH1314" s="53" t="str">
        <f>'[1]2023'!Q1565</f>
        <v>#REF!</v>
      </c>
      <c r="BI1314" s="27"/>
      <c r="BJ1314" s="27"/>
      <c r="BK1314" s="27" t="s">
        <v>64</v>
      </c>
      <c r="BL1314" s="27"/>
    </row>
    <row r="1315" ht="14.25" customHeight="1">
      <c r="A1315" s="26" t="s">
        <v>1634</v>
      </c>
      <c r="B1315" s="26" t="s">
        <v>69</v>
      </c>
      <c r="C1315" s="26" t="s">
        <v>70</v>
      </c>
      <c r="D1315" s="26" t="s">
        <v>58</v>
      </c>
      <c r="E1315" s="27" t="s">
        <v>4266</v>
      </c>
      <c r="F1315" s="26" t="s">
        <v>4103</v>
      </c>
      <c r="G1315" s="29">
        <v>45235.0</v>
      </c>
      <c r="H1315" s="30">
        <v>45235.0</v>
      </c>
      <c r="I1315" s="30">
        <v>45600.0</v>
      </c>
      <c r="J1315" s="31">
        <v>0.0</v>
      </c>
      <c r="K1315" s="26" t="s">
        <v>2374</v>
      </c>
      <c r="L1315" s="89">
        <v>45303.0</v>
      </c>
      <c r="M1315" s="33">
        <v>4650.0</v>
      </c>
      <c r="N1315" s="34">
        <v>5000.0</v>
      </c>
      <c r="O1315" s="27" t="s">
        <v>76</v>
      </c>
      <c r="P1315" s="35" t="s">
        <v>77</v>
      </c>
      <c r="Q1315" s="35">
        <v>0.0</v>
      </c>
      <c r="R1315" s="36">
        <v>45235.0</v>
      </c>
      <c r="S1315" s="35" t="s">
        <v>78</v>
      </c>
      <c r="T1315" s="54" t="s">
        <v>79</v>
      </c>
      <c r="U1315" s="37" t="s">
        <v>69</v>
      </c>
      <c r="V1315" s="38"/>
      <c r="W1315" s="78"/>
      <c r="X1315" s="27"/>
      <c r="Y1315" s="39"/>
      <c r="Z1315" s="39"/>
      <c r="AA1315" s="39"/>
      <c r="AB1315" s="27"/>
      <c r="AC1315" s="27">
        <f t="shared" si="1033"/>
        <v>0</v>
      </c>
      <c r="AD1315" s="41">
        <f t="shared" si="1046"/>
        <v>0</v>
      </c>
      <c r="AE1315" s="42"/>
      <c r="AF1315" s="27"/>
      <c r="AG1315" s="43">
        <f t="shared" si="1054"/>
        <v>0</v>
      </c>
      <c r="AH1315" s="29"/>
      <c r="AI1315" s="29"/>
      <c r="AJ1315" s="29"/>
      <c r="AK1315" s="29"/>
      <c r="AL1315" s="27"/>
      <c r="AM1315" s="44"/>
      <c r="AN1315" s="47"/>
      <c r="AO1315" s="149">
        <f>((AF1315*AJ1315)-((AF1315*AJ1315)*22.5%))*80%</f>
        <v>0</v>
      </c>
      <c r="AP1315" s="47"/>
      <c r="AQ1315" s="43">
        <f t="shared" si="1050"/>
        <v>0</v>
      </c>
      <c r="AR1315" s="43">
        <f t="shared" si="448"/>
        <v>0</v>
      </c>
      <c r="AS1315" s="43">
        <f t="shared" si="449"/>
        <v>0</v>
      </c>
      <c r="AT1315" s="48">
        <f t="shared" si="753"/>
        <v>0</v>
      </c>
      <c r="AU1315" s="49">
        <f t="shared" si="1048"/>
        <v>0</v>
      </c>
      <c r="AV1315" s="48"/>
      <c r="AW1315" s="34">
        <f t="shared" si="1000"/>
        <v>5000</v>
      </c>
      <c r="AX1315" s="50">
        <f t="shared" si="1034"/>
        <v>0</v>
      </c>
      <c r="AY1315" s="43"/>
      <c r="AZ1315" s="47"/>
      <c r="BA1315" s="48">
        <f t="shared" si="1012"/>
        <v>0</v>
      </c>
      <c r="BB1315" s="27"/>
      <c r="BC1315" s="27"/>
      <c r="BD1315" s="51"/>
      <c r="BE1315" s="52"/>
      <c r="BF1315" s="27"/>
      <c r="BG1315" s="53">
        <v>0.0</v>
      </c>
      <c r="BH1315" s="53" t="str">
        <f>'[1]2023'!Q1594</f>
        <v>#REF!</v>
      </c>
      <c r="BI1315" s="27"/>
      <c r="BJ1315" s="27"/>
      <c r="BK1315" s="27" t="s">
        <v>1102</v>
      </c>
      <c r="BL1315" s="27"/>
    </row>
    <row r="1316" ht="14.25" customHeight="1">
      <c r="A1316" s="26" t="s">
        <v>55</v>
      </c>
      <c r="B1316" s="26" t="s">
        <v>56</v>
      </c>
      <c r="C1316" s="26" t="s">
        <v>57</v>
      </c>
      <c r="D1316" s="26" t="s">
        <v>81</v>
      </c>
      <c r="E1316" s="27" t="s">
        <v>4267</v>
      </c>
      <c r="F1316" s="28" t="s">
        <v>4268</v>
      </c>
      <c r="G1316" s="29">
        <v>45235.0</v>
      </c>
      <c r="H1316" s="30">
        <v>45235.0</v>
      </c>
      <c r="I1316" s="30">
        <v>45600.0</v>
      </c>
      <c r="J1316" s="31" t="s">
        <v>4269</v>
      </c>
      <c r="K1316" s="26" t="s">
        <v>2374</v>
      </c>
      <c r="L1316" s="89">
        <v>45225.0</v>
      </c>
      <c r="M1316" s="33">
        <v>19500.0</v>
      </c>
      <c r="N1316" s="34">
        <v>20889.0</v>
      </c>
      <c r="O1316" s="27" t="s">
        <v>76</v>
      </c>
      <c r="P1316" s="35" t="s">
        <v>430</v>
      </c>
      <c r="Q1316" s="35" t="s">
        <v>65</v>
      </c>
      <c r="R1316" s="36">
        <v>45235.0</v>
      </c>
      <c r="S1316" s="35" t="s">
        <v>86</v>
      </c>
      <c r="T1316" s="35">
        <v>0.0</v>
      </c>
      <c r="U1316" s="37" t="s">
        <v>67</v>
      </c>
      <c r="V1316" s="38">
        <v>1000000.0</v>
      </c>
      <c r="W1316" s="78">
        <v>797.0</v>
      </c>
      <c r="X1316" s="27">
        <v>2019.0</v>
      </c>
      <c r="Y1316" s="79" t="s">
        <v>3331</v>
      </c>
      <c r="Z1316" s="39"/>
      <c r="AA1316" s="39"/>
      <c r="AB1316" s="27"/>
      <c r="AC1316" s="27">
        <f t="shared" si="1033"/>
        <v>0</v>
      </c>
      <c r="AD1316" s="41">
        <f t="shared" si="1046"/>
        <v>2925</v>
      </c>
      <c r="AE1316" s="42"/>
      <c r="AF1316" s="27"/>
      <c r="AG1316" s="43">
        <f t="shared" si="1054"/>
        <v>4212</v>
      </c>
      <c r="AH1316" s="29"/>
      <c r="AI1316" s="29"/>
      <c r="AJ1316" s="29"/>
      <c r="AK1316" s="29"/>
      <c r="AL1316" s="27"/>
      <c r="AM1316" s="44"/>
      <c r="AN1316" s="47"/>
      <c r="AO1316" s="46"/>
      <c r="AP1316" s="47"/>
      <c r="AQ1316" s="43">
        <f t="shared" si="1050"/>
        <v>5265</v>
      </c>
      <c r="AR1316" s="43">
        <f t="shared" si="448"/>
        <v>263.25</v>
      </c>
      <c r="AS1316" s="43">
        <f t="shared" si="449"/>
        <v>921.375</v>
      </c>
      <c r="AT1316" s="48">
        <f t="shared" si="753"/>
        <v>4080.375</v>
      </c>
      <c r="AU1316" s="49">
        <f t="shared" si="1048"/>
        <v>4080.375</v>
      </c>
      <c r="AV1316" s="48"/>
      <c r="AW1316" s="34">
        <f t="shared" si="1000"/>
        <v>17964</v>
      </c>
      <c r="AX1316" s="50">
        <f t="shared" si="1034"/>
        <v>365.625</v>
      </c>
      <c r="AY1316" s="43"/>
      <c r="AZ1316" s="47"/>
      <c r="BA1316" s="48">
        <f t="shared" si="1012"/>
        <v>4080.375</v>
      </c>
      <c r="BB1316" s="27"/>
      <c r="BC1316" s="27"/>
      <c r="BD1316" s="51"/>
      <c r="BE1316" s="52"/>
      <c r="BF1316" s="27"/>
      <c r="BG1316" s="53">
        <v>0.0</v>
      </c>
      <c r="BH1316" s="53" t="str">
        <f>'[1]2023'!Q1614</f>
        <v>#REF!</v>
      </c>
      <c r="BI1316" s="27"/>
      <c r="BJ1316" s="27"/>
      <c r="BK1316" s="27" t="s">
        <v>76</v>
      </c>
      <c r="BL1316" s="27"/>
    </row>
    <row r="1317" ht="14.25" customHeight="1">
      <c r="A1317" s="26" t="s">
        <v>55</v>
      </c>
      <c r="B1317" s="26" t="s">
        <v>56</v>
      </c>
      <c r="C1317" s="26" t="s">
        <v>57</v>
      </c>
      <c r="D1317" s="26" t="s">
        <v>81</v>
      </c>
      <c r="E1317" s="27" t="s">
        <v>4270</v>
      </c>
      <c r="F1317" s="198" t="s">
        <v>4271</v>
      </c>
      <c r="G1317" s="29">
        <v>45235.0</v>
      </c>
      <c r="H1317" s="30">
        <v>45235.0</v>
      </c>
      <c r="I1317" s="30">
        <v>45600.0</v>
      </c>
      <c r="J1317" s="31" t="s">
        <v>4272</v>
      </c>
      <c r="K1317" s="26" t="s">
        <v>2374</v>
      </c>
      <c r="L1317" s="89">
        <v>45264.0</v>
      </c>
      <c r="M1317" s="33">
        <v>29426.25</v>
      </c>
      <c r="N1317" s="34">
        <v>31450.53</v>
      </c>
      <c r="O1317" s="27" t="s">
        <v>76</v>
      </c>
      <c r="P1317" s="35" t="s">
        <v>430</v>
      </c>
      <c r="Q1317" s="35" t="s">
        <v>90</v>
      </c>
      <c r="R1317" s="36">
        <v>45235.0</v>
      </c>
      <c r="S1317" s="35" t="s">
        <v>86</v>
      </c>
      <c r="T1317" s="35">
        <v>0.0</v>
      </c>
      <c r="U1317" s="37" t="s">
        <v>67</v>
      </c>
      <c r="V1317" s="38"/>
      <c r="W1317" s="78"/>
      <c r="X1317" s="27"/>
      <c r="Y1317" s="39"/>
      <c r="Z1317" s="39"/>
      <c r="AA1317" s="39"/>
      <c r="AB1317" s="27"/>
      <c r="AC1317" s="27">
        <f t="shared" si="1033"/>
        <v>0</v>
      </c>
      <c r="AD1317" s="41">
        <f t="shared" si="1046"/>
        <v>4413.9375</v>
      </c>
      <c r="AE1317" s="42"/>
      <c r="AF1317" s="27"/>
      <c r="AG1317" s="43">
        <f t="shared" si="1054"/>
        <v>6356.07</v>
      </c>
      <c r="AH1317" s="29"/>
      <c r="AI1317" s="29"/>
      <c r="AJ1317" s="29"/>
      <c r="AK1317" s="75"/>
      <c r="AL1317" s="27"/>
      <c r="AM1317" s="44"/>
      <c r="AN1317" s="47"/>
      <c r="AO1317" s="46"/>
      <c r="AP1317" s="47"/>
      <c r="AQ1317" s="43">
        <f t="shared" si="1050"/>
        <v>7945.0875</v>
      </c>
      <c r="AR1317" s="43">
        <f t="shared" si="448"/>
        <v>397.254375</v>
      </c>
      <c r="AS1317" s="43">
        <f t="shared" si="449"/>
        <v>1390.390313</v>
      </c>
      <c r="AT1317" s="48">
        <f t="shared" si="753"/>
        <v>6157.442813</v>
      </c>
      <c r="AU1317" s="49">
        <f t="shared" si="1048"/>
        <v>6157.442813</v>
      </c>
      <c r="AV1317" s="48"/>
      <c r="AW1317" s="34">
        <f t="shared" si="1000"/>
        <v>27036.5925</v>
      </c>
      <c r="AX1317" s="50">
        <f t="shared" si="1034"/>
        <v>551.7421875</v>
      </c>
      <c r="AY1317" s="43"/>
      <c r="AZ1317" s="47"/>
      <c r="BA1317" s="48">
        <f t="shared" si="1012"/>
        <v>6157.442813</v>
      </c>
      <c r="BB1317" s="27"/>
      <c r="BC1317" s="27"/>
      <c r="BD1317" s="51"/>
      <c r="BE1317" s="52"/>
      <c r="BF1317" s="27"/>
      <c r="BG1317" s="53">
        <v>0.0</v>
      </c>
      <c r="BH1317" s="53" t="str">
        <f>'[1]2023'!Q1623</f>
        <v>#REF!</v>
      </c>
      <c r="BI1317" s="27"/>
      <c r="BJ1317" s="27"/>
      <c r="BK1317" s="27" t="s">
        <v>76</v>
      </c>
      <c r="BL1317" s="27"/>
    </row>
    <row r="1318" ht="14.25" customHeight="1">
      <c r="A1318" s="26" t="s">
        <v>55</v>
      </c>
      <c r="B1318" s="26" t="s">
        <v>56</v>
      </c>
      <c r="C1318" s="26" t="s">
        <v>57</v>
      </c>
      <c r="D1318" s="26" t="s">
        <v>81</v>
      </c>
      <c r="E1318" s="27" t="s">
        <v>4273</v>
      </c>
      <c r="F1318" s="28" t="s">
        <v>4274</v>
      </c>
      <c r="G1318" s="29">
        <v>45236.0</v>
      </c>
      <c r="H1318" s="30">
        <v>45236.0</v>
      </c>
      <c r="I1318" s="30">
        <v>45601.0</v>
      </c>
      <c r="J1318" s="31">
        <v>0.0</v>
      </c>
      <c r="K1318" s="26" t="s">
        <v>440</v>
      </c>
      <c r="L1318" s="32" t="s">
        <v>75</v>
      </c>
      <c r="M1318" s="33">
        <v>15015.0</v>
      </c>
      <c r="N1318" s="34">
        <v>16041.89</v>
      </c>
      <c r="O1318" s="27" t="s">
        <v>76</v>
      </c>
      <c r="P1318" s="35" t="s">
        <v>430</v>
      </c>
      <c r="Q1318" s="35" t="s">
        <v>108</v>
      </c>
      <c r="R1318" s="36">
        <v>45236.0</v>
      </c>
      <c r="S1318" s="35" t="s">
        <v>86</v>
      </c>
      <c r="T1318" s="35">
        <v>0.0</v>
      </c>
      <c r="U1318" s="37" t="s">
        <v>67</v>
      </c>
      <c r="V1318" s="38"/>
      <c r="W1318" s="38"/>
      <c r="X1318" s="27"/>
      <c r="Y1318" s="39"/>
      <c r="Z1318" s="39"/>
      <c r="AA1318" s="39"/>
      <c r="AB1318" s="40"/>
      <c r="AC1318" s="27">
        <f t="shared" si="1033"/>
        <v>0</v>
      </c>
      <c r="AD1318" s="41">
        <f t="shared" ref="AD1318:AD1320" si="1055">IF(AND(S1318="0",O1318="Paid"),M1318*15%,0)</f>
        <v>2252.25</v>
      </c>
      <c r="AE1318" s="42"/>
      <c r="AF1318" s="27" t="s">
        <v>305</v>
      </c>
      <c r="AG1318" s="43">
        <f t="shared" ref="AG1318:AG1320" si="1056">IF(O1318="Paid",IF(A1318="Alwataniya",(M1318*21%)-((M1318*21%)*5%),IF((A1318="GIG"),(M1318*25%)-((M1318*25%)*5%),IF((A1318="Allianz"),(M1318*27%)-((M1318*27%)*5%),0))),0)</f>
        <v>3851.3475</v>
      </c>
      <c r="AH1318" s="29"/>
      <c r="AI1318" s="29"/>
      <c r="AJ1318" s="29"/>
      <c r="AK1318" s="29"/>
      <c r="AL1318" s="27"/>
      <c r="AM1318" s="44"/>
      <c r="AN1318" s="93"/>
      <c r="AO1318" s="46"/>
      <c r="AP1318" s="47"/>
      <c r="AQ1318" s="43">
        <f t="shared" ref="AQ1318:AQ1324" si="1057">IF(U1318="Motor Plus",(M1318*27%),IF(U1318="Motor One",(M1318*22%),(IF(U1318="Golden",(M1318*25%),(IF(U1318="Classic",(M1318*15%),(IF(U1318="Wethaq",(M1318*28%),IF(U1318="Alwataniya",(M1318*21%))*0))))))))</f>
        <v>4054.05</v>
      </c>
      <c r="AR1318" s="43">
        <f t="shared" si="448"/>
        <v>202.7025</v>
      </c>
      <c r="AS1318" s="43">
        <f t="shared" si="449"/>
        <v>709.45875</v>
      </c>
      <c r="AT1318" s="48">
        <f t="shared" si="753"/>
        <v>3141.88875</v>
      </c>
      <c r="AU1318" s="49">
        <f t="shared" ref="AU1318:AU1327" si="1058">AQ1318-AR1318-AS1318-AC1318</f>
        <v>3141.88875</v>
      </c>
      <c r="AV1318" s="48"/>
      <c r="AW1318" s="34">
        <f t="shared" si="1000"/>
        <v>13789.64</v>
      </c>
      <c r="AX1318" s="50">
        <f t="shared" si="1034"/>
        <v>889.63875</v>
      </c>
      <c r="AY1318" s="43"/>
      <c r="AZ1318" s="43"/>
      <c r="BA1318" s="48">
        <f t="shared" si="1012"/>
        <v>3141.88875</v>
      </c>
      <c r="BB1318" s="27"/>
      <c r="BC1318" s="27"/>
      <c r="BD1318" s="51"/>
      <c r="BE1318" s="52"/>
      <c r="BF1318" s="27" t="s">
        <v>4273</v>
      </c>
      <c r="BG1318" s="58" t="s">
        <v>562</v>
      </c>
      <c r="BH1318" s="53" t="str">
        <f>'[1]2023'!Q589</f>
        <v>#REF!</v>
      </c>
      <c r="BI1318" s="27"/>
      <c r="BJ1318" s="27"/>
      <c r="BK1318" s="27" t="s">
        <v>76</v>
      </c>
      <c r="BL1318" s="27"/>
    </row>
    <row r="1319" ht="14.25" customHeight="1">
      <c r="A1319" s="26" t="s">
        <v>55</v>
      </c>
      <c r="B1319" s="26" t="s">
        <v>56</v>
      </c>
      <c r="C1319" s="26" t="s">
        <v>57</v>
      </c>
      <c r="D1319" s="26" t="s">
        <v>81</v>
      </c>
      <c r="E1319" s="27" t="s">
        <v>4275</v>
      </c>
      <c r="F1319" s="28" t="s">
        <v>4276</v>
      </c>
      <c r="G1319" s="29">
        <v>45236.0</v>
      </c>
      <c r="H1319" s="30">
        <v>45236.0</v>
      </c>
      <c r="I1319" s="30">
        <v>45601.0</v>
      </c>
      <c r="J1319" s="31">
        <v>0.0</v>
      </c>
      <c r="K1319" s="26" t="s">
        <v>440</v>
      </c>
      <c r="L1319" s="32" t="s">
        <v>75</v>
      </c>
      <c r="M1319" s="33">
        <v>10725.0</v>
      </c>
      <c r="N1319" s="34">
        <v>11499.78</v>
      </c>
      <c r="O1319" s="27" t="s">
        <v>76</v>
      </c>
      <c r="P1319" s="35" t="s">
        <v>122</v>
      </c>
      <c r="Q1319" s="35" t="s">
        <v>90</v>
      </c>
      <c r="R1319" s="36">
        <v>45236.0</v>
      </c>
      <c r="S1319" s="35" t="s">
        <v>86</v>
      </c>
      <c r="T1319" s="35">
        <v>0.0</v>
      </c>
      <c r="U1319" s="37" t="s">
        <v>67</v>
      </c>
      <c r="V1319" s="38"/>
      <c r="W1319" s="38"/>
      <c r="X1319" s="27"/>
      <c r="Y1319" s="39"/>
      <c r="Z1319" s="79" t="s">
        <v>764</v>
      </c>
      <c r="AA1319" s="39"/>
      <c r="AB1319" s="40"/>
      <c r="AC1319" s="27">
        <f t="shared" si="1033"/>
        <v>0</v>
      </c>
      <c r="AD1319" s="41">
        <f t="shared" si="1055"/>
        <v>1608.75</v>
      </c>
      <c r="AE1319" s="42"/>
      <c r="AF1319" s="27"/>
      <c r="AG1319" s="43">
        <f t="shared" si="1056"/>
        <v>2750.9625</v>
      </c>
      <c r="AH1319" s="29"/>
      <c r="AI1319" s="29"/>
      <c r="AJ1319" s="29"/>
      <c r="AK1319" s="29"/>
      <c r="AL1319" s="27"/>
      <c r="AM1319" s="44"/>
      <c r="AN1319" s="93"/>
      <c r="AO1319" s="46"/>
      <c r="AP1319" s="47"/>
      <c r="AQ1319" s="43">
        <f t="shared" si="1057"/>
        <v>2895.75</v>
      </c>
      <c r="AR1319" s="43">
        <f t="shared" si="448"/>
        <v>144.7875</v>
      </c>
      <c r="AS1319" s="43">
        <f t="shared" si="449"/>
        <v>506.75625</v>
      </c>
      <c r="AT1319" s="48">
        <f t="shared" si="753"/>
        <v>2244.20625</v>
      </c>
      <c r="AU1319" s="49">
        <f t="shared" si="1058"/>
        <v>2244.20625</v>
      </c>
      <c r="AV1319" s="48"/>
      <c r="AW1319" s="34">
        <f t="shared" si="1000"/>
        <v>9891.03</v>
      </c>
      <c r="AX1319" s="50">
        <f t="shared" si="1034"/>
        <v>635.45625</v>
      </c>
      <c r="AY1319" s="43"/>
      <c r="AZ1319" s="43"/>
      <c r="BA1319" s="48">
        <f t="shared" si="1012"/>
        <v>2244.20625</v>
      </c>
      <c r="BB1319" s="27"/>
      <c r="BC1319" s="27"/>
      <c r="BD1319" s="51"/>
      <c r="BE1319" s="52"/>
      <c r="BF1319" s="27" t="s">
        <v>4275</v>
      </c>
      <c r="BG1319" s="53">
        <v>0.0</v>
      </c>
      <c r="BH1319" s="53" t="str">
        <f>'[1]2023'!Q619</f>
        <v>#REF!</v>
      </c>
      <c r="BI1319" s="27"/>
      <c r="BJ1319" s="27"/>
      <c r="BK1319" s="27" t="s">
        <v>76</v>
      </c>
      <c r="BL1319" s="27"/>
    </row>
    <row r="1320" ht="14.25" customHeight="1">
      <c r="A1320" s="26" t="s">
        <v>55</v>
      </c>
      <c r="B1320" s="26" t="s">
        <v>56</v>
      </c>
      <c r="C1320" s="26" t="s">
        <v>57</v>
      </c>
      <c r="D1320" s="26" t="s">
        <v>58</v>
      </c>
      <c r="E1320" s="27" t="s">
        <v>4277</v>
      </c>
      <c r="F1320" s="28" t="s">
        <v>4278</v>
      </c>
      <c r="G1320" s="29">
        <v>45236.0</v>
      </c>
      <c r="H1320" s="30">
        <v>45236.0</v>
      </c>
      <c r="I1320" s="30">
        <v>45601.0</v>
      </c>
      <c r="J1320" s="31" t="s">
        <v>4279</v>
      </c>
      <c r="K1320" s="26" t="s">
        <v>440</v>
      </c>
      <c r="L1320" s="32" t="s">
        <v>75</v>
      </c>
      <c r="M1320" s="33">
        <v>3333.91</v>
      </c>
      <c r="N1320" s="34">
        <v>3530.61</v>
      </c>
      <c r="O1320" s="27" t="s">
        <v>76</v>
      </c>
      <c r="P1320" s="35" t="s">
        <v>122</v>
      </c>
      <c r="Q1320" s="35">
        <v>0.0</v>
      </c>
      <c r="R1320" s="36">
        <v>45236.0</v>
      </c>
      <c r="S1320" s="35" t="s">
        <v>86</v>
      </c>
      <c r="T1320" s="35">
        <v>0.0</v>
      </c>
      <c r="U1320" s="37" t="s">
        <v>67</v>
      </c>
      <c r="V1320" s="38"/>
      <c r="W1320" s="38"/>
      <c r="X1320" s="27"/>
      <c r="Y1320" s="39"/>
      <c r="Z1320" s="39"/>
      <c r="AA1320" s="39"/>
      <c r="AB1320" s="40"/>
      <c r="AC1320" s="27">
        <f t="shared" si="1033"/>
        <v>0</v>
      </c>
      <c r="AD1320" s="41">
        <f t="shared" si="1055"/>
        <v>500.0865</v>
      </c>
      <c r="AE1320" s="42"/>
      <c r="AF1320" s="27"/>
      <c r="AG1320" s="43">
        <f t="shared" si="1056"/>
        <v>855.147915</v>
      </c>
      <c r="AH1320" s="29"/>
      <c r="AI1320" s="29"/>
      <c r="AJ1320" s="29"/>
      <c r="AK1320" s="29"/>
      <c r="AL1320" s="27"/>
      <c r="AM1320" s="44"/>
      <c r="AN1320" s="63"/>
      <c r="AO1320" s="46"/>
      <c r="AP1320" s="47"/>
      <c r="AQ1320" s="43">
        <f t="shared" si="1057"/>
        <v>900.1557</v>
      </c>
      <c r="AR1320" s="43">
        <f t="shared" si="448"/>
        <v>45.007785</v>
      </c>
      <c r="AS1320" s="43">
        <f t="shared" si="449"/>
        <v>157.5272475</v>
      </c>
      <c r="AT1320" s="48">
        <f t="shared" si="753"/>
        <v>697.6206675</v>
      </c>
      <c r="AU1320" s="49">
        <f t="shared" si="1058"/>
        <v>697.6206675</v>
      </c>
      <c r="AV1320" s="48"/>
      <c r="AW1320" s="34">
        <f t="shared" si="1000"/>
        <v>3030.5235</v>
      </c>
      <c r="AX1320" s="50">
        <f t="shared" si="1034"/>
        <v>197.5341675</v>
      </c>
      <c r="AY1320" s="43"/>
      <c r="AZ1320" s="43"/>
      <c r="BA1320" s="48">
        <f t="shared" si="1012"/>
        <v>697.6206675</v>
      </c>
      <c r="BB1320" s="27"/>
      <c r="BC1320" s="27"/>
      <c r="BD1320" s="51"/>
      <c r="BE1320" s="52"/>
      <c r="BF1320" s="27" t="s">
        <v>4277</v>
      </c>
      <c r="BG1320" s="53">
        <v>0.0</v>
      </c>
      <c r="BH1320" s="53" t="str">
        <f>'[1]2023'!Q808</f>
        <v>#REF!</v>
      </c>
      <c r="BI1320" s="27"/>
      <c r="BJ1320" s="27"/>
      <c r="BK1320" s="27" t="s">
        <v>76</v>
      </c>
      <c r="BL1320" s="27"/>
    </row>
    <row r="1321" ht="14.25" customHeight="1">
      <c r="A1321" s="26" t="s">
        <v>111</v>
      </c>
      <c r="B1321" s="26" t="s">
        <v>56</v>
      </c>
      <c r="C1321" s="26" t="s">
        <v>57</v>
      </c>
      <c r="D1321" s="26" t="s">
        <v>71</v>
      </c>
      <c r="E1321" s="27" t="s">
        <v>4280</v>
      </c>
      <c r="F1321" s="28" t="s">
        <v>4281</v>
      </c>
      <c r="G1321" s="29">
        <v>45236.0</v>
      </c>
      <c r="H1321" s="30">
        <v>45236.0</v>
      </c>
      <c r="I1321" s="30">
        <v>45601.0</v>
      </c>
      <c r="J1321" s="31" t="s">
        <v>4282</v>
      </c>
      <c r="K1321" s="26" t="s">
        <v>440</v>
      </c>
      <c r="L1321" s="32" t="s">
        <v>75</v>
      </c>
      <c r="M1321" s="33">
        <v>73412.84</v>
      </c>
      <c r="N1321" s="34">
        <v>78000.0</v>
      </c>
      <c r="O1321" s="27" t="s">
        <v>76</v>
      </c>
      <c r="P1321" s="35" t="s">
        <v>162</v>
      </c>
      <c r="Q1321" s="35" t="s">
        <v>114</v>
      </c>
      <c r="R1321" s="36">
        <v>45245.0</v>
      </c>
      <c r="S1321" s="35" t="s">
        <v>78</v>
      </c>
      <c r="T1321" s="54" t="s">
        <v>510</v>
      </c>
      <c r="U1321" s="37" t="s">
        <v>115</v>
      </c>
      <c r="V1321" s="38">
        <v>3000000.0</v>
      </c>
      <c r="W1321" s="38"/>
      <c r="X1321" s="27"/>
      <c r="Y1321" s="39"/>
      <c r="Z1321" s="79" t="s">
        <v>4283</v>
      </c>
      <c r="AA1321" s="39"/>
      <c r="AB1321" s="40"/>
      <c r="AC1321" s="27">
        <f t="shared" si="1033"/>
        <v>0</v>
      </c>
      <c r="AD1321" s="41"/>
      <c r="AE1321" s="42"/>
      <c r="AF1321" s="27"/>
      <c r="AG1321" s="43">
        <f>IF(O1321="Paid",IF(A1321="Alwataniya",(M1321*21%)-((M1321*21%)*5%),IF((A1321="GIG"),(M1321*25%)-((M1321*25%)*5%),IF((A1321="Allianz"),(M1321*27%)-((M1321*27%)*20%),0))),0)</f>
        <v>17435.5495</v>
      </c>
      <c r="AH1321" s="29" t="s">
        <v>905</v>
      </c>
      <c r="AI1321" s="29" t="s">
        <v>905</v>
      </c>
      <c r="AJ1321" s="40">
        <v>0.25</v>
      </c>
      <c r="AK1321" s="62" t="s">
        <v>63</v>
      </c>
      <c r="AL1321" s="27"/>
      <c r="AM1321" s="44"/>
      <c r="AN1321" s="56"/>
      <c r="AO1321" s="95">
        <f>M1321*AJ1321-((M1321*AJ1321)*22.5%)</f>
        <v>14223.73775</v>
      </c>
      <c r="AP1321" s="47" t="s">
        <v>905</v>
      </c>
      <c r="AQ1321" s="43">
        <f t="shared" si="1057"/>
        <v>18353.21</v>
      </c>
      <c r="AR1321" s="43">
        <f t="shared" si="448"/>
        <v>917.6605</v>
      </c>
      <c r="AS1321" s="43">
        <f t="shared" si="449"/>
        <v>3211.81175</v>
      </c>
      <c r="AT1321" s="48">
        <f t="shared" si="753"/>
        <v>14223.73775</v>
      </c>
      <c r="AU1321" s="49">
        <f t="shared" si="1058"/>
        <v>14223.73775</v>
      </c>
      <c r="AV1321" s="48"/>
      <c r="AW1321" s="34">
        <f t="shared" si="1000"/>
        <v>78000</v>
      </c>
      <c r="AX1321" s="50">
        <f t="shared" si="1034"/>
        <v>0</v>
      </c>
      <c r="AY1321" s="43"/>
      <c r="AZ1321" s="43"/>
      <c r="BA1321" s="48" t="str">
        <f>IF(S1321&lt;&gt;0,AU1321-#REF!-AM1321,(AG1321-AD1321-AE1321-AS1321))</f>
        <v>#REF!</v>
      </c>
      <c r="BB1321" s="27"/>
      <c r="BC1321" s="27"/>
      <c r="BD1321" s="51"/>
      <c r="BE1321" s="52"/>
      <c r="BF1321" s="27" t="s">
        <v>4280</v>
      </c>
      <c r="BG1321" s="58" t="s">
        <v>4284</v>
      </c>
      <c r="BH1321" s="53" t="str">
        <f>'[1]2023'!Q810</f>
        <v>#REF!</v>
      </c>
      <c r="BI1321" s="27"/>
      <c r="BJ1321" s="27"/>
      <c r="BK1321" s="27" t="s">
        <v>76</v>
      </c>
      <c r="BL1321" s="64" t="s">
        <v>906</v>
      </c>
    </row>
    <row r="1322" ht="14.25" customHeight="1">
      <c r="A1322" s="26" t="s">
        <v>55</v>
      </c>
      <c r="B1322" s="26" t="s">
        <v>56</v>
      </c>
      <c r="C1322" s="26" t="s">
        <v>57</v>
      </c>
      <c r="D1322" s="26" t="s">
        <v>58</v>
      </c>
      <c r="E1322" s="27" t="s">
        <v>4285</v>
      </c>
      <c r="F1322" s="28" t="s">
        <v>4286</v>
      </c>
      <c r="G1322" s="29">
        <v>45236.0</v>
      </c>
      <c r="H1322" s="30">
        <v>45236.0</v>
      </c>
      <c r="I1322" s="30">
        <v>45601.0</v>
      </c>
      <c r="J1322" s="31" t="s">
        <v>4287</v>
      </c>
      <c r="K1322" s="26" t="s">
        <v>440</v>
      </c>
      <c r="L1322" s="32" t="s">
        <v>75</v>
      </c>
      <c r="M1322" s="33">
        <v>6798.9</v>
      </c>
      <c r="N1322" s="34">
        <v>7200.04</v>
      </c>
      <c r="O1322" s="27" t="s">
        <v>76</v>
      </c>
      <c r="P1322" s="35" t="s">
        <v>430</v>
      </c>
      <c r="Q1322" s="35">
        <v>0.0</v>
      </c>
      <c r="R1322" s="36">
        <v>45236.0</v>
      </c>
      <c r="S1322" s="35" t="s">
        <v>86</v>
      </c>
      <c r="T1322" s="35">
        <v>0.0</v>
      </c>
      <c r="U1322" s="37" t="s">
        <v>67</v>
      </c>
      <c r="V1322" s="38"/>
      <c r="W1322" s="38"/>
      <c r="X1322" s="27"/>
      <c r="Y1322" s="39"/>
      <c r="Z1322" s="39"/>
      <c r="AA1322" s="39"/>
      <c r="AB1322" s="40"/>
      <c r="AC1322" s="27">
        <f t="shared" si="1033"/>
        <v>0</v>
      </c>
      <c r="AD1322" s="41">
        <f t="shared" ref="AD1322:AD1323" si="1059">IF(AND(S1322="0",O1322="Paid"),M1322*15%,0)</f>
        <v>1019.835</v>
      </c>
      <c r="AE1322" s="42"/>
      <c r="AF1322" s="27"/>
      <c r="AG1322" s="43">
        <f t="shared" ref="AG1322:AG1327" si="1060">IF(O1322="Paid",IF(A1322="Alwataniya",(M1322*21%)-((M1322*21%)*5%),IF((A1322="GIG"),(M1322*25%)-((M1322*25%)*5%),IF((A1322="Allianz"),(M1322*27%)-((M1322*27%)*5%),0))),0)</f>
        <v>1743.91785</v>
      </c>
      <c r="AH1322" s="29"/>
      <c r="AI1322" s="29"/>
      <c r="AJ1322" s="29"/>
      <c r="AK1322" s="29"/>
      <c r="AL1322" s="27"/>
      <c r="AM1322" s="44"/>
      <c r="AN1322" s="63"/>
      <c r="AO1322" s="46"/>
      <c r="AP1322" s="47"/>
      <c r="AQ1322" s="43">
        <f t="shared" si="1057"/>
        <v>1835.703</v>
      </c>
      <c r="AR1322" s="43">
        <f t="shared" si="448"/>
        <v>91.78515</v>
      </c>
      <c r="AS1322" s="43">
        <f t="shared" si="449"/>
        <v>321.248025</v>
      </c>
      <c r="AT1322" s="48">
        <f t="shared" si="753"/>
        <v>1422.669825</v>
      </c>
      <c r="AU1322" s="49">
        <f t="shared" si="1058"/>
        <v>1422.669825</v>
      </c>
      <c r="AV1322" s="48"/>
      <c r="AW1322" s="34">
        <f t="shared" si="1000"/>
        <v>6180.205</v>
      </c>
      <c r="AX1322" s="50">
        <f t="shared" si="1034"/>
        <v>402.834825</v>
      </c>
      <c r="AY1322" s="43"/>
      <c r="AZ1322" s="43"/>
      <c r="BA1322" s="48">
        <f t="shared" ref="BA1322:BA1334" si="1061">IF(S1322&lt;&gt;0,AU1322-AO1322-AM1322,(AG1322-AD1322-AE1322-AS1322))</f>
        <v>1422.669825</v>
      </c>
      <c r="BB1322" s="27"/>
      <c r="BC1322" s="27"/>
      <c r="BD1322" s="51"/>
      <c r="BE1322" s="52"/>
      <c r="BF1322" s="27" t="s">
        <v>4288</v>
      </c>
      <c r="BG1322" s="58" t="s">
        <v>4289</v>
      </c>
      <c r="BH1322" s="53" t="str">
        <f t="shared" ref="BH1322:BH1323" si="1062">'[1]2023'!Q814</f>
        <v>#REF!</v>
      </c>
      <c r="BI1322" s="27"/>
      <c r="BJ1322" s="27"/>
      <c r="BK1322" s="27" t="s">
        <v>76</v>
      </c>
      <c r="BL1322" s="27"/>
    </row>
    <row r="1323" ht="14.25" customHeight="1">
      <c r="A1323" s="26" t="s">
        <v>55</v>
      </c>
      <c r="B1323" s="26" t="s">
        <v>56</v>
      </c>
      <c r="C1323" s="26" t="s">
        <v>57</v>
      </c>
      <c r="D1323" s="26" t="s">
        <v>58</v>
      </c>
      <c r="E1323" s="27" t="s">
        <v>4290</v>
      </c>
      <c r="F1323" s="28" t="s">
        <v>4291</v>
      </c>
      <c r="G1323" s="29">
        <v>45236.0</v>
      </c>
      <c r="H1323" s="30">
        <v>45236.0</v>
      </c>
      <c r="I1323" s="30">
        <v>45601.0</v>
      </c>
      <c r="J1323" s="31">
        <v>0.0</v>
      </c>
      <c r="K1323" s="26" t="s">
        <v>440</v>
      </c>
      <c r="L1323" s="32" t="s">
        <v>75</v>
      </c>
      <c r="M1323" s="33">
        <v>1953.78</v>
      </c>
      <c r="N1323" s="34">
        <v>2069.05</v>
      </c>
      <c r="O1323" s="27" t="s">
        <v>76</v>
      </c>
      <c r="P1323" s="35" t="s">
        <v>89</v>
      </c>
      <c r="Q1323" s="35" t="s">
        <v>90</v>
      </c>
      <c r="R1323" s="36">
        <v>45236.0</v>
      </c>
      <c r="S1323" s="35" t="s">
        <v>86</v>
      </c>
      <c r="T1323" s="35">
        <v>0.0</v>
      </c>
      <c r="U1323" s="37" t="s">
        <v>67</v>
      </c>
      <c r="V1323" s="38"/>
      <c r="W1323" s="38"/>
      <c r="X1323" s="27"/>
      <c r="Y1323" s="39"/>
      <c r="Z1323" s="39"/>
      <c r="AA1323" s="39"/>
      <c r="AB1323" s="40"/>
      <c r="AC1323" s="27">
        <f t="shared" si="1033"/>
        <v>0</v>
      </c>
      <c r="AD1323" s="41">
        <f t="shared" si="1059"/>
        <v>293.067</v>
      </c>
      <c r="AE1323" s="42"/>
      <c r="AF1323" s="27"/>
      <c r="AG1323" s="43">
        <f t="shared" si="1060"/>
        <v>501.14457</v>
      </c>
      <c r="AH1323" s="29"/>
      <c r="AI1323" s="29"/>
      <c r="AJ1323" s="29"/>
      <c r="AK1323" s="29"/>
      <c r="AL1323" s="27"/>
      <c r="AM1323" s="44"/>
      <c r="AN1323" s="63"/>
      <c r="AO1323" s="46"/>
      <c r="AP1323" s="47"/>
      <c r="AQ1323" s="43">
        <f t="shared" si="1057"/>
        <v>527.5206</v>
      </c>
      <c r="AR1323" s="43">
        <f t="shared" si="448"/>
        <v>26.37603</v>
      </c>
      <c r="AS1323" s="43">
        <f t="shared" si="449"/>
        <v>92.316105</v>
      </c>
      <c r="AT1323" s="48">
        <f t="shared" si="753"/>
        <v>408.828465</v>
      </c>
      <c r="AU1323" s="49">
        <f t="shared" si="1058"/>
        <v>408.828465</v>
      </c>
      <c r="AV1323" s="48"/>
      <c r="AW1323" s="34">
        <f t="shared" si="1000"/>
        <v>1775.983</v>
      </c>
      <c r="AX1323" s="50">
        <f t="shared" si="1034"/>
        <v>115.761465</v>
      </c>
      <c r="AY1323" s="43"/>
      <c r="AZ1323" s="43"/>
      <c r="BA1323" s="48">
        <f t="shared" si="1061"/>
        <v>408.828465</v>
      </c>
      <c r="BB1323" s="27"/>
      <c r="BC1323" s="27"/>
      <c r="BD1323" s="51"/>
      <c r="BE1323" s="52"/>
      <c r="BF1323" s="27" t="s">
        <v>4292</v>
      </c>
      <c r="BG1323" s="53">
        <v>0.0</v>
      </c>
      <c r="BH1323" s="53" t="str">
        <f t="shared" si="1062"/>
        <v>#REF!</v>
      </c>
      <c r="BI1323" s="27"/>
      <c r="BJ1323" s="27"/>
      <c r="BK1323" s="27" t="s">
        <v>76</v>
      </c>
      <c r="BL1323" s="27"/>
    </row>
    <row r="1324" ht="14.25" customHeight="1">
      <c r="A1324" s="26" t="s">
        <v>55</v>
      </c>
      <c r="B1324" s="26" t="s">
        <v>56</v>
      </c>
      <c r="C1324" s="26" t="s">
        <v>57</v>
      </c>
      <c r="D1324" s="26" t="s">
        <v>58</v>
      </c>
      <c r="E1324" s="27" t="s">
        <v>4293</v>
      </c>
      <c r="F1324" s="28" t="s">
        <v>4294</v>
      </c>
      <c r="G1324" s="29">
        <v>45236.0</v>
      </c>
      <c r="H1324" s="30">
        <v>45236.0</v>
      </c>
      <c r="I1324" s="30">
        <v>45601.0</v>
      </c>
      <c r="J1324" s="31" t="s">
        <v>4295</v>
      </c>
      <c r="K1324" s="26" t="s">
        <v>440</v>
      </c>
      <c r="L1324" s="32" t="s">
        <v>75</v>
      </c>
      <c r="M1324" s="33">
        <v>8150.69</v>
      </c>
      <c r="N1324" s="34">
        <v>8631.57</v>
      </c>
      <c r="O1324" s="27" t="s">
        <v>76</v>
      </c>
      <c r="P1324" s="35" t="s">
        <v>89</v>
      </c>
      <c r="Q1324" s="35" t="s">
        <v>65</v>
      </c>
      <c r="R1324" s="36">
        <v>45236.0</v>
      </c>
      <c r="S1324" s="35" t="s">
        <v>86</v>
      </c>
      <c r="T1324" s="35">
        <v>0.0</v>
      </c>
      <c r="U1324" s="37" t="s">
        <v>67</v>
      </c>
      <c r="V1324" s="38"/>
      <c r="W1324" s="38"/>
      <c r="X1324" s="27"/>
      <c r="Y1324" s="39"/>
      <c r="Z1324" s="39"/>
      <c r="AA1324" s="39"/>
      <c r="AB1324" s="40"/>
      <c r="AC1324" s="27">
        <f t="shared" si="1033"/>
        <v>0</v>
      </c>
      <c r="AD1324" s="41"/>
      <c r="AE1324" s="42"/>
      <c r="AF1324" s="27"/>
      <c r="AG1324" s="43">
        <f t="shared" si="1060"/>
        <v>2090.651985</v>
      </c>
      <c r="AH1324" s="29"/>
      <c r="AI1324" s="29"/>
      <c r="AJ1324" s="29"/>
      <c r="AK1324" s="29"/>
      <c r="AL1324" s="27"/>
      <c r="AM1324" s="44"/>
      <c r="AN1324" s="63"/>
      <c r="AO1324" s="46"/>
      <c r="AP1324" s="47"/>
      <c r="AQ1324" s="43">
        <f t="shared" si="1057"/>
        <v>2200.6863</v>
      </c>
      <c r="AR1324" s="43">
        <f t="shared" si="448"/>
        <v>110.034315</v>
      </c>
      <c r="AS1324" s="43">
        <f t="shared" si="449"/>
        <v>385.1201025</v>
      </c>
      <c r="AT1324" s="48">
        <f t="shared" si="753"/>
        <v>1705.531883</v>
      </c>
      <c r="AU1324" s="49">
        <f t="shared" si="1058"/>
        <v>1705.531883</v>
      </c>
      <c r="AV1324" s="48"/>
      <c r="AW1324" s="34">
        <f t="shared" si="1000"/>
        <v>8631.57</v>
      </c>
      <c r="AX1324" s="50">
        <f t="shared" si="1034"/>
        <v>1705.531883</v>
      </c>
      <c r="AY1324" s="43"/>
      <c r="AZ1324" s="43"/>
      <c r="BA1324" s="48">
        <f t="shared" si="1061"/>
        <v>1705.531883</v>
      </c>
      <c r="BB1324" s="27"/>
      <c r="BC1324" s="27"/>
      <c r="BD1324" s="51"/>
      <c r="BE1324" s="52"/>
      <c r="BF1324" s="27" t="s">
        <v>4296</v>
      </c>
      <c r="BG1324" s="58" t="s">
        <v>4297</v>
      </c>
      <c r="BH1324" s="53" t="str">
        <f t="shared" ref="BH1324:BH1325" si="1063">'[1]2023'!Q822</f>
        <v>#REF!</v>
      </c>
      <c r="BI1324" s="27"/>
      <c r="BJ1324" s="27"/>
      <c r="BK1324" s="27" t="s">
        <v>76</v>
      </c>
      <c r="BL1324" s="27"/>
    </row>
    <row r="1325" ht="14.25" customHeight="1">
      <c r="A1325" s="26" t="s">
        <v>55</v>
      </c>
      <c r="B1325" s="26" t="s">
        <v>56</v>
      </c>
      <c r="C1325" s="26" t="s">
        <v>57</v>
      </c>
      <c r="D1325" s="26" t="s">
        <v>81</v>
      </c>
      <c r="E1325" s="27" t="s">
        <v>4298</v>
      </c>
      <c r="F1325" s="28" t="s">
        <v>4299</v>
      </c>
      <c r="G1325" s="29">
        <v>45236.0</v>
      </c>
      <c r="H1325" s="30">
        <v>45236.0</v>
      </c>
      <c r="I1325" s="30">
        <v>45601.0</v>
      </c>
      <c r="J1325" s="31">
        <v>0.0</v>
      </c>
      <c r="K1325" s="26" t="s">
        <v>440</v>
      </c>
      <c r="L1325" s="32" t="s">
        <v>63</v>
      </c>
      <c r="M1325" s="33">
        <v>0.0</v>
      </c>
      <c r="N1325" s="34">
        <v>0.0</v>
      </c>
      <c r="O1325" s="27" t="s">
        <v>64</v>
      </c>
      <c r="P1325" s="35">
        <v>0.0</v>
      </c>
      <c r="Q1325" s="35" t="s">
        <v>108</v>
      </c>
      <c r="R1325" s="36">
        <v>45236.0</v>
      </c>
      <c r="S1325" s="35" t="s">
        <v>86</v>
      </c>
      <c r="T1325" s="35">
        <v>0.0</v>
      </c>
      <c r="U1325" s="37" t="s">
        <v>67</v>
      </c>
      <c r="V1325" s="38"/>
      <c r="W1325" s="38"/>
      <c r="X1325" s="27"/>
      <c r="Y1325" s="39"/>
      <c r="Z1325" s="39"/>
      <c r="AA1325" s="39"/>
      <c r="AB1325" s="40"/>
      <c r="AC1325" s="27">
        <f t="shared" si="1033"/>
        <v>0</v>
      </c>
      <c r="AD1325" s="41">
        <f t="shared" ref="AD1325:AD1326" si="1064">IF(AND(S1325="0",O1325="Paid"),(M1325*15%)-AC1325,0)</f>
        <v>0</v>
      </c>
      <c r="AE1325" s="42"/>
      <c r="AF1325" s="27" t="s">
        <v>63</v>
      </c>
      <c r="AG1325" s="43">
        <f t="shared" si="1060"/>
        <v>0</v>
      </c>
      <c r="AH1325" s="29"/>
      <c r="AI1325" s="29"/>
      <c r="AJ1325" s="29"/>
      <c r="AK1325" s="29"/>
      <c r="AL1325" s="27"/>
      <c r="AM1325" s="44"/>
      <c r="AN1325" s="63"/>
      <c r="AO1325" s="46"/>
      <c r="AP1325" s="47"/>
      <c r="AQ1325" s="43" t="b">
        <f>IF(O1325="Paid",IF(U1325="Motor Plus",(M1325*27%),IF(U1325="Motor One",(M1325*22%),(IF(U1325="Golden",(M1325*25%),(IF(U1325="Classic",(M1325*15%),(IF(U1325="Wethaq",(M1325*28%),IF(U1325="Alwataniya",(M1325*21%))*0)))))))))</f>
        <v>0</v>
      </c>
      <c r="AR1325" s="43">
        <f t="shared" si="448"/>
        <v>0</v>
      </c>
      <c r="AS1325" s="43">
        <f t="shared" si="449"/>
        <v>0</v>
      </c>
      <c r="AT1325" s="48">
        <f t="shared" si="753"/>
        <v>0</v>
      </c>
      <c r="AU1325" s="49">
        <f t="shared" si="1058"/>
        <v>0</v>
      </c>
      <c r="AV1325" s="48"/>
      <c r="AW1325" s="34">
        <f t="shared" si="1000"/>
        <v>0</v>
      </c>
      <c r="AX1325" s="50">
        <f t="shared" si="1034"/>
        <v>0</v>
      </c>
      <c r="AY1325" s="43"/>
      <c r="AZ1325" s="43"/>
      <c r="BA1325" s="48">
        <f t="shared" si="1061"/>
        <v>0</v>
      </c>
      <c r="BB1325" s="27"/>
      <c r="BC1325" s="27"/>
      <c r="BD1325" s="51"/>
      <c r="BE1325" s="52"/>
      <c r="BF1325" s="27" t="s">
        <v>4298</v>
      </c>
      <c r="BG1325" s="53">
        <v>0.0</v>
      </c>
      <c r="BH1325" s="53" t="str">
        <f t="shared" si="1063"/>
        <v>#REF!</v>
      </c>
      <c r="BI1325" s="27"/>
      <c r="BJ1325" s="27"/>
      <c r="BK1325" s="27" t="s">
        <v>64</v>
      </c>
      <c r="BL1325" s="27"/>
    </row>
    <row r="1326" ht="14.25" customHeight="1">
      <c r="A1326" s="26" t="s">
        <v>55</v>
      </c>
      <c r="B1326" s="26" t="s">
        <v>56</v>
      </c>
      <c r="C1326" s="26" t="s">
        <v>57</v>
      </c>
      <c r="D1326" s="26" t="s">
        <v>58</v>
      </c>
      <c r="E1326" s="27" t="s">
        <v>4300</v>
      </c>
      <c r="F1326" s="28" t="s">
        <v>4301</v>
      </c>
      <c r="G1326" s="29">
        <v>45236.0</v>
      </c>
      <c r="H1326" s="30">
        <v>45236.0</v>
      </c>
      <c r="I1326" s="30">
        <v>45601.0</v>
      </c>
      <c r="J1326" s="31">
        <v>0.0</v>
      </c>
      <c r="K1326" s="26" t="s">
        <v>440</v>
      </c>
      <c r="L1326" s="69">
        <v>45053.0</v>
      </c>
      <c r="M1326" s="33">
        <v>1370.34</v>
      </c>
      <c r="N1326" s="34">
        <v>1451.19</v>
      </c>
      <c r="O1326" s="27" t="s">
        <v>76</v>
      </c>
      <c r="P1326" s="35" t="s">
        <v>95</v>
      </c>
      <c r="Q1326" s="35">
        <v>0.0</v>
      </c>
      <c r="R1326" s="36">
        <v>45236.0</v>
      </c>
      <c r="S1326" s="35" t="s">
        <v>86</v>
      </c>
      <c r="T1326" s="35">
        <v>0.0</v>
      </c>
      <c r="U1326" s="37" t="s">
        <v>58</v>
      </c>
      <c r="V1326" s="38"/>
      <c r="W1326" s="38"/>
      <c r="X1326" s="27"/>
      <c r="Y1326" s="39"/>
      <c r="Z1326" s="39"/>
      <c r="AA1326" s="39"/>
      <c r="AB1326" s="40"/>
      <c r="AC1326" s="27">
        <f t="shared" si="1033"/>
        <v>0</v>
      </c>
      <c r="AD1326" s="41">
        <f t="shared" si="1064"/>
        <v>205.551</v>
      </c>
      <c r="AE1326" s="42"/>
      <c r="AF1326" s="27"/>
      <c r="AG1326" s="43">
        <f t="shared" si="1060"/>
        <v>351.49221</v>
      </c>
      <c r="AH1326" s="29"/>
      <c r="AI1326" s="29"/>
      <c r="AJ1326" s="29"/>
      <c r="AK1326" s="29"/>
      <c r="AL1326" s="27"/>
      <c r="AM1326" s="44"/>
      <c r="AN1326" s="63"/>
      <c r="AO1326" s="46"/>
      <c r="AP1326" s="47"/>
      <c r="AQ1326" s="43">
        <f t="shared" ref="AQ1326:AQ1327" si="1065">IF(U1326="Motor Plus",(M1326*27%),IF(U1326="Motor One",(M1326*22%),(IF(U1326="Golden",(M1326*25%),(IF(U1326="Classic",(M1326*15%),(IF(U1326="Wethaq",(M1326*28%),IF(U1326="Alwataniya",(M1326*21%))*0))))))))</f>
        <v>0</v>
      </c>
      <c r="AR1326" s="43">
        <f t="shared" si="448"/>
        <v>0</v>
      </c>
      <c r="AS1326" s="43">
        <f t="shared" si="449"/>
        <v>0</v>
      </c>
      <c r="AT1326" s="48">
        <f t="shared" si="753"/>
        <v>0</v>
      </c>
      <c r="AU1326" s="49">
        <f t="shared" si="1058"/>
        <v>0</v>
      </c>
      <c r="AV1326" s="48"/>
      <c r="AW1326" s="34">
        <f t="shared" si="1000"/>
        <v>1245.639</v>
      </c>
      <c r="AX1326" s="50">
        <f t="shared" si="1034"/>
        <v>145.94121</v>
      </c>
      <c r="AY1326" s="43"/>
      <c r="AZ1326" s="43"/>
      <c r="BA1326" s="48">
        <f t="shared" si="1061"/>
        <v>0</v>
      </c>
      <c r="BB1326" s="27"/>
      <c r="BC1326" s="27"/>
      <c r="BD1326" s="51"/>
      <c r="BE1326" s="52"/>
      <c r="BF1326" s="27" t="s">
        <v>4300</v>
      </c>
      <c r="BG1326" s="53">
        <v>0.0</v>
      </c>
      <c r="BH1326" s="53" t="str">
        <f>'[1]2023'!Q827</f>
        <v>#REF!</v>
      </c>
      <c r="BI1326" s="27"/>
      <c r="BJ1326" s="27"/>
      <c r="BK1326" s="27" t="s">
        <v>76</v>
      </c>
      <c r="BL1326" s="27"/>
    </row>
    <row r="1327" ht="14.25" customHeight="1">
      <c r="A1327" s="26" t="s">
        <v>55</v>
      </c>
      <c r="B1327" s="26" t="s">
        <v>56</v>
      </c>
      <c r="C1327" s="26" t="s">
        <v>57</v>
      </c>
      <c r="D1327" s="26" t="s">
        <v>71</v>
      </c>
      <c r="E1327" s="27" t="s">
        <v>4302</v>
      </c>
      <c r="F1327" s="28" t="s">
        <v>4303</v>
      </c>
      <c r="G1327" s="29">
        <v>45236.0</v>
      </c>
      <c r="H1327" s="30">
        <v>45236.0</v>
      </c>
      <c r="I1327" s="30">
        <v>45601.0</v>
      </c>
      <c r="J1327" s="31" t="s">
        <v>4304</v>
      </c>
      <c r="K1327" s="26" t="s">
        <v>2069</v>
      </c>
      <c r="L1327" s="32" t="s">
        <v>75</v>
      </c>
      <c r="M1327" s="33">
        <v>13650.0</v>
      </c>
      <c r="N1327" s="34">
        <v>14599.35</v>
      </c>
      <c r="O1327" s="27" t="s">
        <v>76</v>
      </c>
      <c r="P1327" s="35" t="s">
        <v>122</v>
      </c>
      <c r="Q1327" s="35" t="s">
        <v>65</v>
      </c>
      <c r="R1327" s="36">
        <v>45236.0</v>
      </c>
      <c r="S1327" s="35" t="s">
        <v>1103</v>
      </c>
      <c r="T1327" s="35">
        <v>0.0</v>
      </c>
      <c r="U1327" s="37" t="s">
        <v>67</v>
      </c>
      <c r="V1327" s="38">
        <v>700000.0</v>
      </c>
      <c r="W1327" s="78"/>
      <c r="X1327" s="27">
        <v>2017.0</v>
      </c>
      <c r="Y1327" s="39"/>
      <c r="Z1327" s="79" t="s">
        <v>2070</v>
      </c>
      <c r="AA1327" s="39"/>
      <c r="AB1327" s="40"/>
      <c r="AC1327" s="27">
        <f t="shared" si="1033"/>
        <v>0</v>
      </c>
      <c r="AD1327" s="41"/>
      <c r="AE1327" s="42"/>
      <c r="AF1327" s="27"/>
      <c r="AG1327" s="43">
        <f t="shared" si="1060"/>
        <v>3501.225</v>
      </c>
      <c r="AH1327" s="29"/>
      <c r="AI1327" s="29"/>
      <c r="AJ1327" s="29"/>
      <c r="AK1327" s="29"/>
      <c r="AL1327" s="27"/>
      <c r="AM1327" s="68">
        <f>((M1327*27%)-((M1327*27%)*22.5%))*20%</f>
        <v>571.2525</v>
      </c>
      <c r="AN1327" s="47" t="s">
        <v>75</v>
      </c>
      <c r="AO1327" s="46"/>
      <c r="AP1327" s="47"/>
      <c r="AQ1327" s="43">
        <f t="shared" si="1065"/>
        <v>3685.5</v>
      </c>
      <c r="AR1327" s="43">
        <f t="shared" si="448"/>
        <v>184.275</v>
      </c>
      <c r="AS1327" s="43">
        <f t="shared" si="449"/>
        <v>644.9625</v>
      </c>
      <c r="AT1327" s="48">
        <f t="shared" si="753"/>
        <v>2856.2625</v>
      </c>
      <c r="AU1327" s="49">
        <f t="shared" si="1058"/>
        <v>2856.2625</v>
      </c>
      <c r="AV1327" s="106">
        <f>BA1327*10%</f>
        <v>228.501</v>
      </c>
      <c r="AW1327" s="34">
        <f t="shared" si="1000"/>
        <v>14599.35</v>
      </c>
      <c r="AX1327" s="50">
        <f t="shared" si="1034"/>
        <v>2056.509</v>
      </c>
      <c r="AY1327" s="43"/>
      <c r="AZ1327" s="43"/>
      <c r="BA1327" s="48">
        <f t="shared" si="1061"/>
        <v>2285.01</v>
      </c>
      <c r="BB1327" s="27"/>
      <c r="BC1327" s="27"/>
      <c r="BD1327" s="51">
        <v>4.0</v>
      </c>
      <c r="BE1327" s="52" t="s">
        <v>440</v>
      </c>
      <c r="BF1327" s="27" t="s">
        <v>4302</v>
      </c>
      <c r="BG1327" s="53">
        <v>0.0</v>
      </c>
      <c r="BH1327" s="53" t="str">
        <f>'[1]2023'!Q923</f>
        <v>#REF!</v>
      </c>
      <c r="BI1327" s="27"/>
      <c r="BJ1327" s="27"/>
      <c r="BK1327" s="27" t="s">
        <v>76</v>
      </c>
      <c r="BL1327" s="27"/>
    </row>
    <row r="1328" ht="14.25" customHeight="1">
      <c r="A1328" s="26" t="s">
        <v>111</v>
      </c>
      <c r="B1328" s="26" t="s">
        <v>56</v>
      </c>
      <c r="C1328" s="26" t="s">
        <v>57</v>
      </c>
      <c r="D1328" s="26" t="s">
        <v>58</v>
      </c>
      <c r="E1328" s="27" t="s">
        <v>4305</v>
      </c>
      <c r="F1328" s="28" t="s">
        <v>4306</v>
      </c>
      <c r="G1328" s="29">
        <v>45236.0</v>
      </c>
      <c r="H1328" s="30">
        <v>45236.0</v>
      </c>
      <c r="I1328" s="30">
        <v>45601.0</v>
      </c>
      <c r="J1328" s="31">
        <v>0.0</v>
      </c>
      <c r="K1328" s="26" t="s">
        <v>2374</v>
      </c>
      <c r="L1328" s="89">
        <v>45238.0</v>
      </c>
      <c r="M1328" s="33">
        <v>0.0</v>
      </c>
      <c r="N1328" s="116">
        <v>50.0</v>
      </c>
      <c r="O1328" s="27" t="s">
        <v>76</v>
      </c>
      <c r="P1328" s="35" t="s">
        <v>89</v>
      </c>
      <c r="Q1328" s="35" t="s">
        <v>114</v>
      </c>
      <c r="R1328" s="36">
        <v>45246.0</v>
      </c>
      <c r="S1328" s="35" t="s">
        <v>66</v>
      </c>
      <c r="T1328" s="35">
        <v>0.0</v>
      </c>
      <c r="U1328" s="37" t="s">
        <v>58</v>
      </c>
      <c r="V1328" s="38"/>
      <c r="W1328" s="78"/>
      <c r="X1328" s="27"/>
      <c r="Y1328" s="39"/>
      <c r="Z1328" s="39"/>
      <c r="AA1328" s="39"/>
      <c r="AB1328" s="27"/>
      <c r="AC1328" s="27">
        <f t="shared" si="1033"/>
        <v>0</v>
      </c>
      <c r="AD1328" s="41">
        <f t="shared" ref="AD1328:AD1333" si="1066">IF(AND(S1328="0",O1328="Paid"),(M1328*15%)-AC1328,0)</f>
        <v>0</v>
      </c>
      <c r="AE1328" s="42"/>
      <c r="AF1328" s="27"/>
      <c r="AG1328" s="117" t="s">
        <v>63</v>
      </c>
      <c r="AH1328" s="117" t="s">
        <v>63</v>
      </c>
      <c r="AI1328" s="117" t="s">
        <v>63</v>
      </c>
      <c r="AJ1328" s="29"/>
      <c r="AK1328" s="29" t="s">
        <v>63</v>
      </c>
      <c r="AL1328" s="27"/>
      <c r="AM1328" s="44"/>
      <c r="AN1328" s="47"/>
      <c r="AO1328" s="46"/>
      <c r="AP1328" s="47"/>
      <c r="AQ1328" s="43">
        <f t="shared" ref="AQ1328:AQ1331" si="1067">IF(O1328="Paid",IF(U1328="Motor Plus",(M1328*27%),IF(U1328="Motor One",(M1328*22%),(IF(U1328="Golden",(M1328*25%),(IF(U1328="Classic",(M1328*15%),(IF(U1328="Wethaq",(M1328*28%),IF(U1328="Alwataniya",(M1328*21%))*0)))))))))</f>
        <v>0</v>
      </c>
      <c r="AR1328" s="43">
        <f t="shared" si="448"/>
        <v>0</v>
      </c>
      <c r="AS1328" s="43">
        <f t="shared" si="449"/>
        <v>0</v>
      </c>
      <c r="AT1328" s="48">
        <f t="shared" si="753"/>
        <v>0</v>
      </c>
      <c r="AU1328" s="49">
        <f t="shared" ref="AU1328:AU1331" si="1068">AQ1328-AR1328-AS1328-AC1328-AO1328</f>
        <v>0</v>
      </c>
      <c r="AV1328" s="48"/>
      <c r="AW1328" s="34">
        <f t="shared" si="1000"/>
        <v>50</v>
      </c>
      <c r="AX1328" s="50" t="str">
        <f t="shared" si="1034"/>
        <v>#VALUE!</v>
      </c>
      <c r="AY1328" s="43"/>
      <c r="AZ1328" s="47"/>
      <c r="BA1328" s="48">
        <f t="shared" si="1061"/>
        <v>0</v>
      </c>
      <c r="BB1328" s="27"/>
      <c r="BC1328" s="27"/>
      <c r="BD1328" s="51"/>
      <c r="BE1328" s="52"/>
      <c r="BF1328" s="27"/>
      <c r="BG1328" s="53">
        <v>0.0</v>
      </c>
      <c r="BH1328" s="53" t="str">
        <f t="shared" ref="BH1328:BH1329" si="1069">'[1]2023'!Q1555</f>
        <v>#REF!</v>
      </c>
      <c r="BI1328" s="27"/>
      <c r="BJ1328" s="27"/>
      <c r="BK1328" s="27" t="s">
        <v>76</v>
      </c>
      <c r="BL1328" s="27"/>
    </row>
    <row r="1329" ht="14.25" customHeight="1">
      <c r="A1329" s="26" t="s">
        <v>111</v>
      </c>
      <c r="B1329" s="26" t="s">
        <v>56</v>
      </c>
      <c r="C1329" s="26" t="s">
        <v>57</v>
      </c>
      <c r="D1329" s="26" t="s">
        <v>71</v>
      </c>
      <c r="E1329" s="27" t="s">
        <v>4307</v>
      </c>
      <c r="F1329" s="28" t="s">
        <v>4308</v>
      </c>
      <c r="G1329" s="29">
        <v>45236.0</v>
      </c>
      <c r="H1329" s="30">
        <v>45236.0</v>
      </c>
      <c r="I1329" s="30">
        <v>45601.0</v>
      </c>
      <c r="J1329" s="31" t="s">
        <v>4309</v>
      </c>
      <c r="K1329" s="26" t="s">
        <v>2374</v>
      </c>
      <c r="L1329" s="89">
        <v>45244.0</v>
      </c>
      <c r="M1329" s="33">
        <v>67691.92</v>
      </c>
      <c r="N1329" s="34">
        <v>72280.0</v>
      </c>
      <c r="O1329" s="27" t="s">
        <v>76</v>
      </c>
      <c r="P1329" s="35" t="s">
        <v>142</v>
      </c>
      <c r="Q1329" s="35" t="s">
        <v>108</v>
      </c>
      <c r="R1329" s="36">
        <v>45246.0</v>
      </c>
      <c r="S1329" s="35" t="s">
        <v>86</v>
      </c>
      <c r="T1329" s="35">
        <v>0.0</v>
      </c>
      <c r="U1329" s="37" t="s">
        <v>115</v>
      </c>
      <c r="V1329" s="38">
        <v>2780000.0</v>
      </c>
      <c r="W1329" s="78">
        <v>46901.0</v>
      </c>
      <c r="X1329" s="27"/>
      <c r="Y1329" s="79" t="s">
        <v>4310</v>
      </c>
      <c r="Z1329" s="39"/>
      <c r="AA1329" s="39"/>
      <c r="AB1329" s="27"/>
      <c r="AC1329" s="27">
        <f t="shared" si="1033"/>
        <v>0</v>
      </c>
      <c r="AD1329" s="41">
        <f t="shared" si="1066"/>
        <v>10153.788</v>
      </c>
      <c r="AE1329" s="42">
        <v>1400.0</v>
      </c>
      <c r="AF1329" s="27" t="s">
        <v>3963</v>
      </c>
      <c r="AG1329" s="43">
        <f>IF(O1329="Paid",IF(A1329="Alwataniya",(M1329*21%)-((M1329*21%)*5%),IF((A1329="GIG"),(M1329*25%)-((M1329*25%)*5%),IF((A1329="Allianz"),(M1329*27%)-((M1329*27%)*5%),0))),(M1329*28%)-((M1329*28%)*5%))</f>
        <v>16076.831</v>
      </c>
      <c r="AH1329" s="29" t="s">
        <v>4068</v>
      </c>
      <c r="AI1329" s="29" t="s">
        <v>3050</v>
      </c>
      <c r="AJ1329" s="29"/>
      <c r="AK1329" s="29" t="s">
        <v>3050</v>
      </c>
      <c r="AL1329" s="77"/>
      <c r="AM1329" s="44"/>
      <c r="AN1329" s="47"/>
      <c r="AO1329" s="46"/>
      <c r="AP1329" s="47"/>
      <c r="AQ1329" s="43">
        <f t="shared" si="1067"/>
        <v>16922.98</v>
      </c>
      <c r="AR1329" s="43">
        <f t="shared" si="448"/>
        <v>846.149</v>
      </c>
      <c r="AS1329" s="43">
        <f t="shared" si="449"/>
        <v>2961.5215</v>
      </c>
      <c r="AT1329" s="48">
        <f t="shared" si="753"/>
        <v>13115.3095</v>
      </c>
      <c r="AU1329" s="49">
        <f t="shared" si="1068"/>
        <v>13115.3095</v>
      </c>
      <c r="AV1329" s="48"/>
      <c r="AW1329" s="34">
        <f t="shared" si="1000"/>
        <v>60726.212</v>
      </c>
      <c r="AX1329" s="113">
        <f t="shared" si="1034"/>
        <v>1561.5215</v>
      </c>
      <c r="AY1329" s="43"/>
      <c r="AZ1329" s="47"/>
      <c r="BA1329" s="48">
        <f t="shared" si="1061"/>
        <v>13115.3095</v>
      </c>
      <c r="BB1329" s="27"/>
      <c r="BC1329" s="27"/>
      <c r="BD1329" s="51"/>
      <c r="BE1329" s="52"/>
      <c r="BF1329" s="27"/>
      <c r="BG1329" s="53">
        <v>0.0</v>
      </c>
      <c r="BH1329" s="53" t="str">
        <f t="shared" si="1069"/>
        <v>#REF!</v>
      </c>
      <c r="BI1329" s="27"/>
      <c r="BJ1329" s="27"/>
      <c r="BK1329" s="27" t="s">
        <v>76</v>
      </c>
      <c r="BL1329" s="27"/>
    </row>
    <row r="1330" ht="14.25" customHeight="1">
      <c r="A1330" s="26" t="s">
        <v>55</v>
      </c>
      <c r="B1330" s="26" t="s">
        <v>56</v>
      </c>
      <c r="C1330" s="26" t="s">
        <v>57</v>
      </c>
      <c r="D1330" s="26" t="s">
        <v>81</v>
      </c>
      <c r="E1330" s="27" t="s">
        <v>4311</v>
      </c>
      <c r="F1330" s="28" t="s">
        <v>4312</v>
      </c>
      <c r="G1330" s="29">
        <v>45236.0</v>
      </c>
      <c r="H1330" s="30">
        <v>45236.0</v>
      </c>
      <c r="I1330" s="30">
        <v>45601.0</v>
      </c>
      <c r="J1330" s="31" t="s">
        <v>4313</v>
      </c>
      <c r="K1330" s="26" t="s">
        <v>2374</v>
      </c>
      <c r="L1330" s="89">
        <v>45237.0</v>
      </c>
      <c r="M1330" s="33">
        <v>37170.0</v>
      </c>
      <c r="N1330" s="34">
        <v>39689.88</v>
      </c>
      <c r="O1330" s="27" t="s">
        <v>76</v>
      </c>
      <c r="P1330" s="35" t="s">
        <v>89</v>
      </c>
      <c r="Q1330" s="35" t="s">
        <v>108</v>
      </c>
      <c r="R1330" s="36">
        <v>45236.0</v>
      </c>
      <c r="S1330" s="35" t="s">
        <v>86</v>
      </c>
      <c r="T1330" s="35">
        <v>0.0</v>
      </c>
      <c r="U1330" s="37" t="s">
        <v>67</v>
      </c>
      <c r="V1330" s="38">
        <v>2100000.0</v>
      </c>
      <c r="W1330" s="78">
        <v>815142.0</v>
      </c>
      <c r="X1330" s="27">
        <v>2019.0</v>
      </c>
      <c r="Y1330" s="79" t="s">
        <v>4314</v>
      </c>
      <c r="Z1330" s="39"/>
      <c r="AA1330" s="39"/>
      <c r="AB1330" s="27"/>
      <c r="AC1330" s="27">
        <f t="shared" si="1033"/>
        <v>0</v>
      </c>
      <c r="AD1330" s="41">
        <f t="shared" si="1066"/>
        <v>5575.5</v>
      </c>
      <c r="AE1330" s="42"/>
      <c r="AF1330" s="188">
        <v>45259.0</v>
      </c>
      <c r="AG1330" s="43">
        <f>IF(O1330="Paid",IF(A1330="Wethaq",(M1330*28%)-((M1330*28%)*5%),IF((A1330="GIG"),(M1330*25%)-((M1330*25%)*5%),IF((A1330="Allianz"),(M1330*27%)-((M1330*27%)*20%),0))),0)</f>
        <v>8028.72</v>
      </c>
      <c r="AH1330" s="29"/>
      <c r="AI1330" s="29"/>
      <c r="AJ1330" s="29"/>
      <c r="AK1330" s="29"/>
      <c r="AL1330" s="27"/>
      <c r="AM1330" s="44"/>
      <c r="AN1330" s="47"/>
      <c r="AO1330" s="46"/>
      <c r="AP1330" s="47"/>
      <c r="AQ1330" s="43">
        <f t="shared" si="1067"/>
        <v>10035.9</v>
      </c>
      <c r="AR1330" s="43">
        <f t="shared" si="448"/>
        <v>501.795</v>
      </c>
      <c r="AS1330" s="43">
        <f t="shared" si="449"/>
        <v>1756.2825</v>
      </c>
      <c r="AT1330" s="48">
        <f t="shared" si="753"/>
        <v>7777.8225</v>
      </c>
      <c r="AU1330" s="49">
        <f t="shared" si="1068"/>
        <v>7777.8225</v>
      </c>
      <c r="AV1330" s="48"/>
      <c r="AW1330" s="34">
        <f t="shared" si="1000"/>
        <v>34114.38</v>
      </c>
      <c r="AX1330" s="50">
        <f t="shared" si="1034"/>
        <v>696.9375</v>
      </c>
      <c r="AY1330" s="43"/>
      <c r="AZ1330" s="47"/>
      <c r="BA1330" s="48">
        <f t="shared" si="1061"/>
        <v>7777.8225</v>
      </c>
      <c r="BB1330" s="27"/>
      <c r="BC1330" s="27"/>
      <c r="BD1330" s="51"/>
      <c r="BE1330" s="52"/>
      <c r="BF1330" s="27"/>
      <c r="BG1330" s="53">
        <v>0.0</v>
      </c>
      <c r="BH1330" s="53" t="str">
        <f>'[1]2023'!Q1560</f>
        <v>#REF!</v>
      </c>
      <c r="BI1330" s="27"/>
      <c r="BJ1330" s="27"/>
      <c r="BK1330" s="27" t="s">
        <v>76</v>
      </c>
      <c r="BL1330" s="27"/>
    </row>
    <row r="1331" ht="14.25" customHeight="1">
      <c r="A1331" s="26" t="s">
        <v>55</v>
      </c>
      <c r="B1331" s="26" t="s">
        <v>56</v>
      </c>
      <c r="C1331" s="26" t="s">
        <v>57</v>
      </c>
      <c r="D1331" s="26" t="s">
        <v>71</v>
      </c>
      <c r="E1331" s="27" t="s">
        <v>4315</v>
      </c>
      <c r="F1331" s="28" t="s">
        <v>4316</v>
      </c>
      <c r="G1331" s="29">
        <v>45236.0</v>
      </c>
      <c r="H1331" s="30">
        <v>45236.0</v>
      </c>
      <c r="I1331" s="30">
        <v>45601.0</v>
      </c>
      <c r="J1331" s="31" t="s">
        <v>4317</v>
      </c>
      <c r="K1331" s="26" t="s">
        <v>2374</v>
      </c>
      <c r="L1331" s="89">
        <v>45243.0</v>
      </c>
      <c r="M1331" s="33">
        <v>130995.0</v>
      </c>
      <c r="N1331" s="34">
        <v>139578.69</v>
      </c>
      <c r="O1331" s="27" t="s">
        <v>76</v>
      </c>
      <c r="P1331" s="35" t="s">
        <v>89</v>
      </c>
      <c r="Q1331" s="35" t="s">
        <v>65</v>
      </c>
      <c r="R1331" s="36">
        <v>45236.0</v>
      </c>
      <c r="S1331" s="35" t="s">
        <v>66</v>
      </c>
      <c r="T1331" s="35">
        <v>0.0</v>
      </c>
      <c r="U1331" s="37" t="s">
        <v>67</v>
      </c>
      <c r="V1331" s="38">
        <v>4100000.0</v>
      </c>
      <c r="W1331" s="78" t="s">
        <v>4318</v>
      </c>
      <c r="X1331" s="27">
        <v>2023.0</v>
      </c>
      <c r="Y1331" s="39" t="s">
        <v>4319</v>
      </c>
      <c r="Z1331" s="39"/>
      <c r="AA1331" s="39"/>
      <c r="AB1331" s="27"/>
      <c r="AC1331" s="27">
        <f t="shared" si="1033"/>
        <v>0</v>
      </c>
      <c r="AD1331" s="41">
        <f t="shared" si="1066"/>
        <v>0</v>
      </c>
      <c r="AE1331" s="42"/>
      <c r="AF1331" s="27"/>
      <c r="AG1331" s="43">
        <f>IF(O1331="Paid",IF(A1331="Wethaq",(M1331*28%)-((M1331*28%)*5%),IF((A1331="GIG"),(M1331*25%)-((M1331*25%)*5%),IF((A1331="Allianz"),(M1331*27%)-((M1331*27%)*5%),0))),0)</f>
        <v>33600.2175</v>
      </c>
      <c r="AH1331" s="29"/>
      <c r="AI1331" s="29"/>
      <c r="AJ1331" s="29"/>
      <c r="AK1331" s="75"/>
      <c r="AL1331" s="27"/>
      <c r="AM1331" s="140">
        <f>AU1331*30%</f>
        <v>8223.211125</v>
      </c>
      <c r="AN1331" s="71">
        <v>45654.0</v>
      </c>
      <c r="AO1331" s="46"/>
      <c r="AP1331" s="47"/>
      <c r="AQ1331" s="43">
        <f t="shared" si="1067"/>
        <v>35368.65</v>
      </c>
      <c r="AR1331" s="43">
        <f t="shared" si="448"/>
        <v>1768.4325</v>
      </c>
      <c r="AS1331" s="43">
        <f t="shared" si="449"/>
        <v>6189.51375</v>
      </c>
      <c r="AT1331" s="48">
        <f t="shared" si="753"/>
        <v>27410.70375</v>
      </c>
      <c r="AU1331" s="49">
        <f t="shared" si="1068"/>
        <v>27410.70375</v>
      </c>
      <c r="AV1331" s="48"/>
      <c r="AW1331" s="34">
        <f t="shared" si="1000"/>
        <v>139578.69</v>
      </c>
      <c r="AX1331" s="50">
        <f t="shared" si="1034"/>
        <v>19187.49263</v>
      </c>
      <c r="AY1331" s="43"/>
      <c r="AZ1331" s="47"/>
      <c r="BA1331" s="48">
        <f t="shared" si="1061"/>
        <v>19187.49263</v>
      </c>
      <c r="BB1331" s="27"/>
      <c r="BC1331" s="27"/>
      <c r="BD1331" s="51"/>
      <c r="BE1331" s="52"/>
      <c r="BF1331" s="27"/>
      <c r="BG1331" s="53">
        <v>0.0</v>
      </c>
      <c r="BH1331" s="53" t="str">
        <f>'[1]2023'!Q1587</f>
        <v>#REF!</v>
      </c>
      <c r="BI1331" s="27"/>
      <c r="BJ1331" s="27"/>
      <c r="BK1331" s="27" t="s">
        <v>76</v>
      </c>
      <c r="BL1331" s="27"/>
    </row>
    <row r="1332" ht="14.25" customHeight="1">
      <c r="A1332" s="26" t="s">
        <v>55</v>
      </c>
      <c r="B1332" s="26" t="s">
        <v>56</v>
      </c>
      <c r="C1332" s="26" t="s">
        <v>57</v>
      </c>
      <c r="D1332" s="26" t="s">
        <v>81</v>
      </c>
      <c r="E1332" s="27" t="s">
        <v>4320</v>
      </c>
      <c r="F1332" s="28" t="s">
        <v>4321</v>
      </c>
      <c r="G1332" s="29">
        <v>45237.0</v>
      </c>
      <c r="H1332" s="30">
        <v>45237.0</v>
      </c>
      <c r="I1332" s="30">
        <v>45602.0</v>
      </c>
      <c r="J1332" s="31">
        <v>0.0</v>
      </c>
      <c r="K1332" s="26" t="s">
        <v>887</v>
      </c>
      <c r="L1332" s="32" t="s">
        <v>75</v>
      </c>
      <c r="M1332" s="33">
        <v>14025.0</v>
      </c>
      <c r="N1332" s="34">
        <v>14993.48</v>
      </c>
      <c r="O1332" s="27" t="s">
        <v>76</v>
      </c>
      <c r="P1332" s="35" t="s">
        <v>122</v>
      </c>
      <c r="Q1332" s="35">
        <v>0.0</v>
      </c>
      <c r="R1332" s="36">
        <v>45237.0</v>
      </c>
      <c r="S1332" s="35" t="s">
        <v>86</v>
      </c>
      <c r="T1332" s="35">
        <v>0.0</v>
      </c>
      <c r="U1332" s="37" t="s">
        <v>67</v>
      </c>
      <c r="V1332" s="38"/>
      <c r="W1332" s="38"/>
      <c r="X1332" s="27"/>
      <c r="Y1332" s="39"/>
      <c r="Z1332" s="39"/>
      <c r="AA1332" s="39"/>
      <c r="AB1332" s="40"/>
      <c r="AC1332" s="27">
        <f t="shared" si="1033"/>
        <v>0</v>
      </c>
      <c r="AD1332" s="41">
        <f t="shared" si="1066"/>
        <v>2103.75</v>
      </c>
      <c r="AE1332" s="42"/>
      <c r="AF1332" s="27"/>
      <c r="AG1332" s="43">
        <f t="shared" ref="AG1332:AG1334" si="1070">IF(O1332="Paid",IF(A1332="Alwataniya",(M1332*21%)-((M1332*21%)*5%),IF((A1332="GIG"),(M1332*25%)-((M1332*25%)*5%),IF((A1332="Allianz"),(M1332*27%)-((M1332*27%)*5%),0))),0)</f>
        <v>3597.4125</v>
      </c>
      <c r="AH1332" s="29"/>
      <c r="AI1332" s="29"/>
      <c r="AJ1332" s="29"/>
      <c r="AK1332" s="29"/>
      <c r="AL1332" s="27"/>
      <c r="AM1332" s="44"/>
      <c r="AN1332" s="47"/>
      <c r="AO1332" s="46"/>
      <c r="AP1332" s="47"/>
      <c r="AQ1332" s="43">
        <f t="shared" ref="AQ1332:AQ1334" si="1071">IF(U1332="Motor Plus",(M1332*27%),IF(U1332="Motor One",(M1332*22%),(IF(U1332="Golden",(M1332*25%),(IF(U1332="Classic",(M1332*15%),(IF(U1332="Wethaq",(M1332*28%),IF(U1332="Alwataniya",(M1332*21%))*0))))))))</f>
        <v>3786.75</v>
      </c>
      <c r="AR1332" s="43">
        <f t="shared" si="448"/>
        <v>189.3375</v>
      </c>
      <c r="AS1332" s="43">
        <f t="shared" si="449"/>
        <v>662.68125</v>
      </c>
      <c r="AT1332" s="48">
        <f t="shared" si="753"/>
        <v>2934.73125</v>
      </c>
      <c r="AU1332" s="49">
        <f t="shared" ref="AU1332:AU1334" si="1072">AQ1332-AR1332-AS1332-AC1332</f>
        <v>2934.73125</v>
      </c>
      <c r="AV1332" s="48"/>
      <c r="AW1332" s="34">
        <f t="shared" si="1000"/>
        <v>12889.73</v>
      </c>
      <c r="AX1332" s="50">
        <f t="shared" si="1034"/>
        <v>830.98125</v>
      </c>
      <c r="AY1332" s="43"/>
      <c r="AZ1332" s="43"/>
      <c r="BA1332" s="48">
        <f t="shared" si="1061"/>
        <v>2934.73125</v>
      </c>
      <c r="BB1332" s="27"/>
      <c r="BC1332" s="27"/>
      <c r="BD1332" s="51"/>
      <c r="BE1332" s="52"/>
      <c r="BF1332" s="27" t="s">
        <v>4320</v>
      </c>
      <c r="BG1332" s="53">
        <v>0.0</v>
      </c>
      <c r="BH1332" s="53" t="str">
        <f>'[1]2023'!Q894</f>
        <v>#REF!</v>
      </c>
      <c r="BI1332" s="27"/>
      <c r="BJ1332" s="27"/>
      <c r="BK1332" s="27" t="s">
        <v>76</v>
      </c>
      <c r="BL1332" s="27"/>
    </row>
    <row r="1333" ht="14.25" customHeight="1">
      <c r="A1333" s="26" t="s">
        <v>55</v>
      </c>
      <c r="B1333" s="26" t="s">
        <v>56</v>
      </c>
      <c r="C1333" s="26" t="s">
        <v>57</v>
      </c>
      <c r="D1333" s="26" t="s">
        <v>81</v>
      </c>
      <c r="E1333" s="27" t="s">
        <v>4322</v>
      </c>
      <c r="F1333" s="28" t="s">
        <v>4323</v>
      </c>
      <c r="G1333" s="29">
        <v>45237.0</v>
      </c>
      <c r="H1333" s="30">
        <v>45237.0</v>
      </c>
      <c r="I1333" s="30">
        <v>45602.0</v>
      </c>
      <c r="J1333" s="31">
        <v>0.0</v>
      </c>
      <c r="K1333" s="26" t="s">
        <v>887</v>
      </c>
      <c r="L1333" s="32" t="s">
        <v>483</v>
      </c>
      <c r="M1333" s="33">
        <v>14160.0</v>
      </c>
      <c r="N1333" s="34">
        <v>15136.44</v>
      </c>
      <c r="O1333" s="27" t="s">
        <v>76</v>
      </c>
      <c r="P1333" s="35" t="s">
        <v>142</v>
      </c>
      <c r="Q1333" s="35" t="s">
        <v>90</v>
      </c>
      <c r="R1333" s="36">
        <v>45237.0</v>
      </c>
      <c r="S1333" s="35" t="s">
        <v>86</v>
      </c>
      <c r="T1333" s="35">
        <v>0.0</v>
      </c>
      <c r="U1333" s="37" t="s">
        <v>67</v>
      </c>
      <c r="V1333" s="38"/>
      <c r="W1333" s="38"/>
      <c r="X1333" s="27"/>
      <c r="Y1333" s="39"/>
      <c r="Z1333" s="79" t="s">
        <v>232</v>
      </c>
      <c r="AA1333" s="39"/>
      <c r="AB1333" s="40"/>
      <c r="AC1333" s="27">
        <f t="shared" si="1033"/>
        <v>0</v>
      </c>
      <c r="AD1333" s="41">
        <f t="shared" si="1066"/>
        <v>2124</v>
      </c>
      <c r="AE1333" s="42"/>
      <c r="AF1333" s="29" t="s">
        <v>483</v>
      </c>
      <c r="AG1333" s="43">
        <f t="shared" si="1070"/>
        <v>3632.04</v>
      </c>
      <c r="AH1333" s="29"/>
      <c r="AI1333" s="29"/>
      <c r="AJ1333" s="29"/>
      <c r="AK1333" s="29"/>
      <c r="AL1333" s="27"/>
      <c r="AM1333" s="44"/>
      <c r="AN1333" s="47"/>
      <c r="AO1333" s="46"/>
      <c r="AP1333" s="47"/>
      <c r="AQ1333" s="43">
        <f t="shared" si="1071"/>
        <v>3823.2</v>
      </c>
      <c r="AR1333" s="43">
        <f t="shared" si="448"/>
        <v>191.16</v>
      </c>
      <c r="AS1333" s="43">
        <f t="shared" si="449"/>
        <v>669.06</v>
      </c>
      <c r="AT1333" s="48">
        <f t="shared" si="753"/>
        <v>2962.98</v>
      </c>
      <c r="AU1333" s="49">
        <f t="shared" si="1072"/>
        <v>2962.98</v>
      </c>
      <c r="AV1333" s="48"/>
      <c r="AW1333" s="34">
        <f t="shared" si="1000"/>
        <v>13012.44</v>
      </c>
      <c r="AX1333" s="50">
        <f t="shared" si="1034"/>
        <v>838.98</v>
      </c>
      <c r="AY1333" s="43"/>
      <c r="AZ1333" s="43"/>
      <c r="BA1333" s="48">
        <f t="shared" si="1061"/>
        <v>2962.98</v>
      </c>
      <c r="BB1333" s="27"/>
      <c r="BC1333" s="27"/>
      <c r="BD1333" s="51"/>
      <c r="BE1333" s="52"/>
      <c r="BF1333" s="27" t="s">
        <v>4322</v>
      </c>
      <c r="BG1333" s="53">
        <v>0.0</v>
      </c>
      <c r="BH1333" s="53" t="str">
        <f>'[1]2023'!Q899</f>
        <v>#REF!</v>
      </c>
      <c r="BI1333" s="27"/>
      <c r="BJ1333" s="27"/>
      <c r="BK1333" s="27" t="s">
        <v>76</v>
      </c>
      <c r="BL1333" s="27"/>
    </row>
    <row r="1334" ht="14.25" customHeight="1">
      <c r="A1334" s="26" t="s">
        <v>55</v>
      </c>
      <c r="B1334" s="26" t="s">
        <v>56</v>
      </c>
      <c r="C1334" s="26" t="s">
        <v>57</v>
      </c>
      <c r="D1334" s="26" t="s">
        <v>81</v>
      </c>
      <c r="E1334" s="27" t="s">
        <v>4324</v>
      </c>
      <c r="F1334" s="28" t="s">
        <v>4325</v>
      </c>
      <c r="G1334" s="29">
        <v>45237.0</v>
      </c>
      <c r="H1334" s="30">
        <v>45237.0</v>
      </c>
      <c r="I1334" s="30">
        <v>45602.0</v>
      </c>
      <c r="J1334" s="31">
        <v>0.0</v>
      </c>
      <c r="K1334" s="26" t="s">
        <v>887</v>
      </c>
      <c r="L1334" s="32" t="s">
        <v>75</v>
      </c>
      <c r="M1334" s="33">
        <v>21240.0</v>
      </c>
      <c r="N1334" s="34">
        <v>22634.16</v>
      </c>
      <c r="O1334" s="27" t="s">
        <v>76</v>
      </c>
      <c r="P1334" s="35" t="s">
        <v>122</v>
      </c>
      <c r="Q1334" s="35" t="s">
        <v>65</v>
      </c>
      <c r="R1334" s="36">
        <v>45237.0</v>
      </c>
      <c r="S1334" s="35" t="s">
        <v>86</v>
      </c>
      <c r="T1334" s="35">
        <v>0.0</v>
      </c>
      <c r="U1334" s="37" t="s">
        <v>67</v>
      </c>
      <c r="V1334" s="38"/>
      <c r="W1334" s="38"/>
      <c r="X1334" s="27"/>
      <c r="Y1334" s="39"/>
      <c r="Z1334" s="39"/>
      <c r="AA1334" s="39"/>
      <c r="AB1334" s="40"/>
      <c r="AC1334" s="27">
        <f t="shared" si="1033"/>
        <v>0</v>
      </c>
      <c r="AD1334" s="41"/>
      <c r="AE1334" s="42"/>
      <c r="AF1334" s="27"/>
      <c r="AG1334" s="43">
        <f t="shared" si="1070"/>
        <v>5448.06</v>
      </c>
      <c r="AH1334" s="29"/>
      <c r="AI1334" s="29"/>
      <c r="AJ1334" s="29"/>
      <c r="AK1334" s="29"/>
      <c r="AL1334" s="27"/>
      <c r="AM1334" s="44"/>
      <c r="AN1334" s="47"/>
      <c r="AO1334" s="46"/>
      <c r="AP1334" s="47"/>
      <c r="AQ1334" s="43">
        <f t="shared" si="1071"/>
        <v>5734.8</v>
      </c>
      <c r="AR1334" s="43">
        <f t="shared" si="448"/>
        <v>286.74</v>
      </c>
      <c r="AS1334" s="43">
        <f t="shared" si="449"/>
        <v>1003.59</v>
      </c>
      <c r="AT1334" s="48">
        <f t="shared" si="753"/>
        <v>4444.47</v>
      </c>
      <c r="AU1334" s="49">
        <f t="shared" si="1072"/>
        <v>4444.47</v>
      </c>
      <c r="AV1334" s="48"/>
      <c r="AW1334" s="34">
        <f t="shared" si="1000"/>
        <v>22634.16</v>
      </c>
      <c r="AX1334" s="50">
        <f t="shared" si="1034"/>
        <v>4444.47</v>
      </c>
      <c r="AY1334" s="43"/>
      <c r="AZ1334" s="43"/>
      <c r="BA1334" s="48">
        <f t="shared" si="1061"/>
        <v>4444.47</v>
      </c>
      <c r="BB1334" s="27"/>
      <c r="BC1334" s="27"/>
      <c r="BD1334" s="51"/>
      <c r="BE1334" s="52"/>
      <c r="BF1334" s="27" t="s">
        <v>4324</v>
      </c>
      <c r="BG1334" s="53">
        <v>0.0</v>
      </c>
      <c r="BH1334" s="53" t="str">
        <f>'[1]2023'!Q937</f>
        <v>#REF!</v>
      </c>
      <c r="BI1334" s="27"/>
      <c r="BJ1334" s="27"/>
      <c r="BK1334" s="27" t="s">
        <v>76</v>
      </c>
      <c r="BL1334" s="27"/>
    </row>
    <row r="1335" ht="14.25" customHeight="1">
      <c r="A1335" s="26" t="s">
        <v>1634</v>
      </c>
      <c r="B1335" s="26" t="s">
        <v>69</v>
      </c>
      <c r="C1335" s="26" t="s">
        <v>57</v>
      </c>
      <c r="D1335" s="26" t="s">
        <v>71</v>
      </c>
      <c r="E1335" s="27" t="s">
        <v>4326</v>
      </c>
      <c r="F1335" s="26" t="s">
        <v>4327</v>
      </c>
      <c r="G1335" s="29">
        <v>45237.0</v>
      </c>
      <c r="H1335" s="30">
        <v>45237.0</v>
      </c>
      <c r="I1335" s="30">
        <v>45602.0</v>
      </c>
      <c r="J1335" s="31">
        <v>0.0</v>
      </c>
      <c r="K1335" s="26" t="s">
        <v>2368</v>
      </c>
      <c r="L1335" s="32" t="s">
        <v>63</v>
      </c>
      <c r="M1335" s="33">
        <v>10879.0</v>
      </c>
      <c r="N1335" s="34">
        <v>0.0</v>
      </c>
      <c r="O1335" s="27" t="s">
        <v>76</v>
      </c>
      <c r="P1335" s="35" t="s">
        <v>77</v>
      </c>
      <c r="Q1335" s="35">
        <v>0.0</v>
      </c>
      <c r="R1335" s="36">
        <v>45237.0</v>
      </c>
      <c r="S1335" s="35" t="s">
        <v>78</v>
      </c>
      <c r="T1335" s="54" t="s">
        <v>79</v>
      </c>
      <c r="U1335" s="37" t="s">
        <v>69</v>
      </c>
      <c r="V1335" s="38"/>
      <c r="W1335" s="38"/>
      <c r="X1335" s="27"/>
      <c r="Y1335" s="39"/>
      <c r="Z1335" s="39"/>
      <c r="AA1335" s="39"/>
      <c r="AB1335" s="27"/>
      <c r="AC1335" s="27">
        <f t="shared" si="1033"/>
        <v>0</v>
      </c>
      <c r="AD1335" s="41"/>
      <c r="AE1335" s="42"/>
      <c r="AF1335" s="27"/>
      <c r="AG1335" s="43">
        <f>IF(O1335="Paid",IF(A1335="Egyptian",(M1335*16.5%)-((M1335*16.5%)*5%)))</f>
        <v>1705.28325</v>
      </c>
      <c r="AH1335" s="29" t="s">
        <v>1107</v>
      </c>
      <c r="AI1335" s="29"/>
      <c r="AJ1335" s="145">
        <v>0.165</v>
      </c>
      <c r="AK1335" s="29" t="s">
        <v>480</v>
      </c>
      <c r="AL1335" s="27"/>
      <c r="AM1335" s="44"/>
      <c r="AN1335" s="56"/>
      <c r="AO1335" s="46">
        <f t="shared" ref="AO1335:AO1337" si="1073">((M1335*AJ1335)-((M1335*AJ1335)*22.5%))*80%</f>
        <v>1112.9217</v>
      </c>
      <c r="AP1335" s="57" t="s">
        <v>1980</v>
      </c>
      <c r="AQ1335" s="43">
        <f t="shared" ref="AQ1335:AQ1337" si="1074">M1335*AJ1335</f>
        <v>1795.035</v>
      </c>
      <c r="AR1335" s="43">
        <f t="shared" si="448"/>
        <v>89.75175</v>
      </c>
      <c r="AS1335" s="43">
        <f t="shared" si="449"/>
        <v>314.131125</v>
      </c>
      <c r="AT1335" s="48">
        <f t="shared" si="753"/>
        <v>1391.152125</v>
      </c>
      <c r="AU1335" s="49" t="str">
        <f t="shared" ref="AU1335:AU1337" si="1075">AQ1335-AR1335-AS1335-AC1335-#REF!</f>
        <v>#REF!</v>
      </c>
      <c r="AV1335" s="48"/>
      <c r="AW1335" s="34">
        <f t="shared" si="1000"/>
        <v>0</v>
      </c>
      <c r="AX1335" s="50">
        <f t="shared" si="1034"/>
        <v>278.230425</v>
      </c>
      <c r="AY1335" s="43"/>
      <c r="AZ1335" s="47"/>
      <c r="BA1335" s="48" t="str">
        <f t="shared" ref="BA1335:BA1337" si="1076">IF(S1335&lt;&gt;0,AU1335-#REF!-AM1335,(AG1335-AD1335-AE1335-AS1335))</f>
        <v>#REF!</v>
      </c>
      <c r="BB1335" s="27"/>
      <c r="BC1335" s="27"/>
      <c r="BD1335" s="51"/>
      <c r="BE1335" s="52"/>
      <c r="BF1335" s="27"/>
      <c r="BG1335" s="53">
        <v>0.0</v>
      </c>
      <c r="BH1335" s="53" t="str">
        <f t="shared" ref="BH1335:BH1337" si="1077">'[1]2023'!Q1211</f>
        <v>#REF!</v>
      </c>
      <c r="BI1335" s="27"/>
      <c r="BJ1335" s="27"/>
      <c r="BK1335" s="27" t="s">
        <v>76</v>
      </c>
      <c r="BL1335" s="27"/>
    </row>
    <row r="1336" ht="14.25" customHeight="1">
      <c r="A1336" s="26" t="s">
        <v>1634</v>
      </c>
      <c r="B1336" s="26" t="s">
        <v>69</v>
      </c>
      <c r="C1336" s="26" t="s">
        <v>57</v>
      </c>
      <c r="D1336" s="26" t="s">
        <v>71</v>
      </c>
      <c r="E1336" s="27" t="s">
        <v>4328</v>
      </c>
      <c r="F1336" s="26" t="s">
        <v>4329</v>
      </c>
      <c r="G1336" s="29">
        <v>45237.0</v>
      </c>
      <c r="H1336" s="30">
        <v>45237.0</v>
      </c>
      <c r="I1336" s="30">
        <v>45602.0</v>
      </c>
      <c r="J1336" s="31">
        <v>0.0</v>
      </c>
      <c r="K1336" s="26" t="s">
        <v>2368</v>
      </c>
      <c r="L1336" s="32" t="s">
        <v>63</v>
      </c>
      <c r="M1336" s="33">
        <v>440.0</v>
      </c>
      <c r="N1336" s="34">
        <v>0.0</v>
      </c>
      <c r="O1336" s="27" t="s">
        <v>76</v>
      </c>
      <c r="P1336" s="35" t="s">
        <v>77</v>
      </c>
      <c r="Q1336" s="35">
        <v>0.0</v>
      </c>
      <c r="R1336" s="36">
        <v>45237.0</v>
      </c>
      <c r="S1336" s="35" t="s">
        <v>78</v>
      </c>
      <c r="T1336" s="54" t="s">
        <v>79</v>
      </c>
      <c r="U1336" s="37" t="s">
        <v>69</v>
      </c>
      <c r="V1336" s="38"/>
      <c r="W1336" s="38"/>
      <c r="X1336" s="27"/>
      <c r="Y1336" s="39"/>
      <c r="Z1336" s="39"/>
      <c r="AA1336" s="39"/>
      <c r="AB1336" s="27"/>
      <c r="AC1336" s="27">
        <f t="shared" si="1033"/>
        <v>0</v>
      </c>
      <c r="AD1336" s="41"/>
      <c r="AE1336" s="42"/>
      <c r="AF1336" s="27"/>
      <c r="AG1336" s="43">
        <f>IF(O1336="Paid",IF(A1336="Egyptian",(M1336*17%)-((M1336*17%)*5%)))</f>
        <v>71.06</v>
      </c>
      <c r="AH1336" s="29" t="s">
        <v>1107</v>
      </c>
      <c r="AI1336" s="29"/>
      <c r="AJ1336" s="55">
        <v>0.17</v>
      </c>
      <c r="AK1336" s="29" t="s">
        <v>480</v>
      </c>
      <c r="AL1336" s="27"/>
      <c r="AM1336" s="44"/>
      <c r="AN1336" s="56"/>
      <c r="AO1336" s="46">
        <f t="shared" si="1073"/>
        <v>46.376</v>
      </c>
      <c r="AP1336" s="57" t="s">
        <v>1980</v>
      </c>
      <c r="AQ1336" s="43">
        <f t="shared" si="1074"/>
        <v>74.8</v>
      </c>
      <c r="AR1336" s="43">
        <f t="shared" si="448"/>
        <v>3.74</v>
      </c>
      <c r="AS1336" s="43">
        <f t="shared" si="449"/>
        <v>13.09</v>
      </c>
      <c r="AT1336" s="48">
        <f t="shared" si="753"/>
        <v>57.97</v>
      </c>
      <c r="AU1336" s="49" t="str">
        <f t="shared" si="1075"/>
        <v>#REF!</v>
      </c>
      <c r="AV1336" s="48"/>
      <c r="AW1336" s="34">
        <f t="shared" si="1000"/>
        <v>0</v>
      </c>
      <c r="AX1336" s="50">
        <f t="shared" si="1034"/>
        <v>11.594</v>
      </c>
      <c r="AY1336" s="43"/>
      <c r="AZ1336" s="47"/>
      <c r="BA1336" s="48" t="str">
        <f t="shared" si="1076"/>
        <v>#REF!</v>
      </c>
      <c r="BB1336" s="27"/>
      <c r="BC1336" s="27"/>
      <c r="BD1336" s="51"/>
      <c r="BE1336" s="52"/>
      <c r="BF1336" s="27"/>
      <c r="BG1336" s="53">
        <v>0.0</v>
      </c>
      <c r="BH1336" s="53" t="str">
        <f t="shared" si="1077"/>
        <v>#REF!</v>
      </c>
      <c r="BI1336" s="27"/>
      <c r="BJ1336" s="27"/>
      <c r="BK1336" s="27" t="s">
        <v>76</v>
      </c>
      <c r="BL1336" s="27"/>
    </row>
    <row r="1337" ht="14.25" customHeight="1">
      <c r="A1337" s="26" t="s">
        <v>1634</v>
      </c>
      <c r="B1337" s="26" t="s">
        <v>69</v>
      </c>
      <c r="C1337" s="26" t="s">
        <v>70</v>
      </c>
      <c r="D1337" s="26" t="s">
        <v>71</v>
      </c>
      <c r="E1337" s="27" t="s">
        <v>4330</v>
      </c>
      <c r="F1337" s="26" t="s">
        <v>4331</v>
      </c>
      <c r="G1337" s="29">
        <v>45237.0</v>
      </c>
      <c r="H1337" s="30">
        <v>45237.0</v>
      </c>
      <c r="I1337" s="30">
        <v>45602.0</v>
      </c>
      <c r="J1337" s="31">
        <v>0.0</v>
      </c>
      <c r="K1337" s="26" t="s">
        <v>2368</v>
      </c>
      <c r="L1337" s="32" t="s">
        <v>63</v>
      </c>
      <c r="M1337" s="33">
        <v>11068.0</v>
      </c>
      <c r="N1337" s="34">
        <v>0.0</v>
      </c>
      <c r="O1337" s="27" t="s">
        <v>76</v>
      </c>
      <c r="P1337" s="35" t="s">
        <v>77</v>
      </c>
      <c r="Q1337" s="35">
        <v>0.0</v>
      </c>
      <c r="R1337" s="36">
        <v>45237.0</v>
      </c>
      <c r="S1337" s="35" t="s">
        <v>78</v>
      </c>
      <c r="T1337" s="54" t="s">
        <v>79</v>
      </c>
      <c r="U1337" s="37" t="s">
        <v>69</v>
      </c>
      <c r="V1337" s="38"/>
      <c r="W1337" s="38"/>
      <c r="X1337" s="27"/>
      <c r="Y1337" s="39"/>
      <c r="Z1337" s="39"/>
      <c r="AA1337" s="39"/>
      <c r="AB1337" s="27"/>
      <c r="AC1337" s="27">
        <f t="shared" si="1033"/>
        <v>0</v>
      </c>
      <c r="AD1337" s="41"/>
      <c r="AE1337" s="42"/>
      <c r="AF1337" s="27"/>
      <c r="AG1337" s="43">
        <f>IF(O1337="Paid",IF(A1337="Egyptian",(M1337*16.5%)-((M1337*16.5%)*5%)))</f>
        <v>1734.909</v>
      </c>
      <c r="AH1337" s="29" t="s">
        <v>1107</v>
      </c>
      <c r="AI1337" s="29"/>
      <c r="AJ1337" s="145">
        <v>0.165</v>
      </c>
      <c r="AK1337" s="29" t="s">
        <v>480</v>
      </c>
      <c r="AL1337" s="27"/>
      <c r="AM1337" s="44"/>
      <c r="AN1337" s="56"/>
      <c r="AO1337" s="46">
        <f t="shared" si="1073"/>
        <v>1132.2564</v>
      </c>
      <c r="AP1337" s="57" t="s">
        <v>1980</v>
      </c>
      <c r="AQ1337" s="43">
        <f t="shared" si="1074"/>
        <v>1826.22</v>
      </c>
      <c r="AR1337" s="43">
        <f t="shared" si="448"/>
        <v>91.311</v>
      </c>
      <c r="AS1337" s="43">
        <f t="shared" si="449"/>
        <v>319.5885</v>
      </c>
      <c r="AT1337" s="48">
        <f t="shared" si="753"/>
        <v>1415.3205</v>
      </c>
      <c r="AU1337" s="49" t="str">
        <f t="shared" si="1075"/>
        <v>#REF!</v>
      </c>
      <c r="AV1337" s="48"/>
      <c r="AW1337" s="34">
        <f t="shared" si="1000"/>
        <v>0</v>
      </c>
      <c r="AX1337" s="50">
        <f t="shared" si="1034"/>
        <v>283.0641</v>
      </c>
      <c r="AY1337" s="43"/>
      <c r="AZ1337" s="47"/>
      <c r="BA1337" s="48" t="str">
        <f t="shared" si="1076"/>
        <v>#REF!</v>
      </c>
      <c r="BB1337" s="27"/>
      <c r="BC1337" s="27"/>
      <c r="BD1337" s="51"/>
      <c r="BE1337" s="52"/>
      <c r="BF1337" s="27"/>
      <c r="BG1337" s="53">
        <v>0.0</v>
      </c>
      <c r="BH1337" s="53" t="str">
        <f t="shared" si="1077"/>
        <v>#REF!</v>
      </c>
      <c r="BI1337" s="27"/>
      <c r="BJ1337" s="27"/>
      <c r="BK1337" s="27" t="s">
        <v>76</v>
      </c>
      <c r="BL1337" s="27"/>
    </row>
    <row r="1338" ht="14.25" customHeight="1">
      <c r="A1338" s="26" t="s">
        <v>55</v>
      </c>
      <c r="B1338" s="26" t="s">
        <v>56</v>
      </c>
      <c r="C1338" s="26" t="s">
        <v>57</v>
      </c>
      <c r="D1338" s="26" t="s">
        <v>81</v>
      </c>
      <c r="E1338" s="27" t="s">
        <v>4332</v>
      </c>
      <c r="F1338" s="28" t="s">
        <v>4333</v>
      </c>
      <c r="G1338" s="29">
        <v>45237.0</v>
      </c>
      <c r="H1338" s="30">
        <v>45237.0</v>
      </c>
      <c r="I1338" s="30">
        <v>45602.0</v>
      </c>
      <c r="J1338" s="31" t="s">
        <v>4334</v>
      </c>
      <c r="K1338" s="26" t="s">
        <v>2374</v>
      </c>
      <c r="L1338" s="223" t="s">
        <v>63</v>
      </c>
      <c r="M1338" s="33">
        <v>23747.5</v>
      </c>
      <c r="N1338" s="34">
        <v>25408.35</v>
      </c>
      <c r="O1338" s="27" t="s">
        <v>76</v>
      </c>
      <c r="P1338" s="35" t="s">
        <v>142</v>
      </c>
      <c r="Q1338" s="35" t="s">
        <v>90</v>
      </c>
      <c r="R1338" s="36">
        <v>45237.0</v>
      </c>
      <c r="S1338" s="35" t="s">
        <v>86</v>
      </c>
      <c r="T1338" s="35">
        <v>0.0</v>
      </c>
      <c r="U1338" s="37" t="s">
        <v>67</v>
      </c>
      <c r="V1338" s="38">
        <v>1150000.0</v>
      </c>
      <c r="W1338" s="78">
        <v>834.0</v>
      </c>
      <c r="X1338" s="27">
        <v>2019.0</v>
      </c>
      <c r="Y1338" s="79" t="s">
        <v>407</v>
      </c>
      <c r="Z1338" s="39"/>
      <c r="AA1338" s="39"/>
      <c r="AB1338" s="27"/>
      <c r="AC1338" s="27">
        <f t="shared" si="1033"/>
        <v>0</v>
      </c>
      <c r="AD1338" s="41">
        <f>IF(AND(S1338="0",O1338="Paid"),(M1338*15%)-AC1338,0)</f>
        <v>3562.125</v>
      </c>
      <c r="AE1338" s="42"/>
      <c r="AF1338" s="205">
        <v>45266.0</v>
      </c>
      <c r="AG1338" s="43">
        <f>IF(O1338="Paid",IF(A1338="Alwataniya",(M1338*21%)-((M1338*21%)*5%),IF((A1338="GIG"),(M1338*25%)-((M1338*25%)*5%),IF((A1338="Allianz"),(M1338*27%)-((M1338*27%)*5%),0))),0)</f>
        <v>6091.23375</v>
      </c>
      <c r="AH1338" s="29"/>
      <c r="AI1338" s="29"/>
      <c r="AJ1338" s="29"/>
      <c r="AK1338" s="29"/>
      <c r="AL1338" s="27"/>
      <c r="AM1338" s="44"/>
      <c r="AN1338" s="47"/>
      <c r="AO1338" s="46"/>
      <c r="AP1338" s="47"/>
      <c r="AQ1338" s="43">
        <f t="shared" ref="AQ1338:AQ1342" si="1078">IF(O1338="Paid",IF(U1338="Motor Plus",(M1338*27%),IF(U1338="Motor One",(M1338*22%),(IF(U1338="Golden",(M1338*25%),(IF(U1338="Classic",(M1338*15%),(IF(U1338="Wethaq",(M1338*28%),IF(U1338="Alwataniya",(M1338*21%))*0)))))))))</f>
        <v>6411.825</v>
      </c>
      <c r="AR1338" s="43">
        <f t="shared" si="448"/>
        <v>320.59125</v>
      </c>
      <c r="AS1338" s="43">
        <f t="shared" si="449"/>
        <v>1122.069375</v>
      </c>
      <c r="AT1338" s="48">
        <f t="shared" si="753"/>
        <v>4969.164375</v>
      </c>
      <c r="AU1338" s="49">
        <f t="shared" ref="AU1338:AU1342" si="1079">AQ1338-AR1338-AS1338-AC1338-AO1338</f>
        <v>4969.164375</v>
      </c>
      <c r="AV1338" s="48"/>
      <c r="AW1338" s="34">
        <f t="shared" si="1000"/>
        <v>21846.225</v>
      </c>
      <c r="AX1338" s="50">
        <f t="shared" si="1034"/>
        <v>1407.039375</v>
      </c>
      <c r="AY1338" s="43"/>
      <c r="AZ1338" s="47"/>
      <c r="BA1338" s="48">
        <f t="shared" ref="BA1338:BA1470" si="1080">IF(S1338&lt;&gt;0,AU1338-AO1338-AM1338,(AG1338-AD1338-AE1338-AS1338))</f>
        <v>4969.164375</v>
      </c>
      <c r="BB1338" s="27"/>
      <c r="BC1338" s="27"/>
      <c r="BD1338" s="51"/>
      <c r="BE1338" s="52"/>
      <c r="BF1338" s="27"/>
      <c r="BG1338" s="58" t="s">
        <v>4335</v>
      </c>
      <c r="BH1338" s="53" t="str">
        <f>'[1]2023'!Q1471</f>
        <v>#REF!</v>
      </c>
      <c r="BI1338" s="27"/>
      <c r="BJ1338" s="27"/>
      <c r="BK1338" s="27" t="s">
        <v>76</v>
      </c>
      <c r="BL1338" s="27"/>
    </row>
    <row r="1339" ht="14.25" customHeight="1">
      <c r="A1339" s="26" t="s">
        <v>55</v>
      </c>
      <c r="B1339" s="26" t="s">
        <v>56</v>
      </c>
      <c r="C1339" s="26" t="s">
        <v>57</v>
      </c>
      <c r="D1339" s="26" t="s">
        <v>81</v>
      </c>
      <c r="E1339" s="27" t="s">
        <v>4336</v>
      </c>
      <c r="F1339" s="28" t="s">
        <v>4337</v>
      </c>
      <c r="G1339" s="29">
        <v>45237.0</v>
      </c>
      <c r="H1339" s="30">
        <v>45237.0</v>
      </c>
      <c r="I1339" s="30">
        <v>45602.0</v>
      </c>
      <c r="J1339" s="31" t="s">
        <v>1370</v>
      </c>
      <c r="K1339" s="26" t="s">
        <v>2374</v>
      </c>
      <c r="L1339" s="89">
        <v>45235.0</v>
      </c>
      <c r="M1339" s="33">
        <v>18150.0</v>
      </c>
      <c r="N1339" s="34">
        <v>19452.6</v>
      </c>
      <c r="O1339" s="27" t="s">
        <v>76</v>
      </c>
      <c r="P1339" s="35" t="s">
        <v>122</v>
      </c>
      <c r="Q1339" s="35">
        <v>0.0</v>
      </c>
      <c r="R1339" s="36">
        <v>45237.0</v>
      </c>
      <c r="S1339" s="35" t="s">
        <v>86</v>
      </c>
      <c r="T1339" s="35">
        <v>0.0</v>
      </c>
      <c r="U1339" s="37" t="s">
        <v>67</v>
      </c>
      <c r="V1339" s="38">
        <v>1100000.0</v>
      </c>
      <c r="W1339" s="78">
        <v>2689.0</v>
      </c>
      <c r="X1339" s="27">
        <v>2013.0</v>
      </c>
      <c r="Y1339" s="79" t="s">
        <v>4338</v>
      </c>
      <c r="Z1339" s="39"/>
      <c r="AA1339" s="39"/>
      <c r="AB1339" s="27"/>
      <c r="AC1339" s="27">
        <f t="shared" si="1033"/>
        <v>0</v>
      </c>
      <c r="AD1339" s="41"/>
      <c r="AE1339" s="42"/>
      <c r="AF1339" s="27"/>
      <c r="AG1339" s="43">
        <f>IF(O1339="Paid",IF(A1339="Alwataniya",(M1339*21%)-((M1339*21%)*5%),IF((A1339="GIG"),(M1339*25%)-((M1339*25%)*5%),IF((A1339="Allianz"),(M1339*27%)-((M1339*27%)*5%),0))),(M1339*28%)-((M1339*28%)*5%))</f>
        <v>4655.475</v>
      </c>
      <c r="AH1339" s="29"/>
      <c r="AI1339" s="29"/>
      <c r="AJ1339" s="29"/>
      <c r="AK1339" s="29"/>
      <c r="AL1339" s="27"/>
      <c r="AM1339" s="44"/>
      <c r="AN1339" s="47"/>
      <c r="AO1339" s="46"/>
      <c r="AP1339" s="47"/>
      <c r="AQ1339" s="43">
        <f t="shared" si="1078"/>
        <v>4900.5</v>
      </c>
      <c r="AR1339" s="43">
        <f t="shared" si="448"/>
        <v>245.025</v>
      </c>
      <c r="AS1339" s="43">
        <f t="shared" si="449"/>
        <v>857.5875</v>
      </c>
      <c r="AT1339" s="48">
        <f t="shared" si="753"/>
        <v>3797.8875</v>
      </c>
      <c r="AU1339" s="49">
        <f t="shared" si="1079"/>
        <v>3797.8875</v>
      </c>
      <c r="AV1339" s="48"/>
      <c r="AW1339" s="34">
        <f t="shared" si="1000"/>
        <v>19452.6</v>
      </c>
      <c r="AX1339" s="50">
        <f t="shared" si="1034"/>
        <v>3797.8875</v>
      </c>
      <c r="AY1339" s="43"/>
      <c r="AZ1339" s="47"/>
      <c r="BA1339" s="48">
        <f t="shared" si="1080"/>
        <v>3797.8875</v>
      </c>
      <c r="BB1339" s="27"/>
      <c r="BC1339" s="27"/>
      <c r="BD1339" s="51"/>
      <c r="BE1339" s="52"/>
      <c r="BF1339" s="27"/>
      <c r="BG1339" s="53">
        <v>0.0</v>
      </c>
      <c r="BH1339" s="53" t="str">
        <f>'[1]2023'!Q1553</f>
        <v>#REF!</v>
      </c>
      <c r="BI1339" s="27"/>
      <c r="BJ1339" s="27"/>
      <c r="BK1339" s="27" t="s">
        <v>76</v>
      </c>
      <c r="BL1339" s="27"/>
    </row>
    <row r="1340" ht="14.25" customHeight="1">
      <c r="A1340" s="26" t="s">
        <v>55</v>
      </c>
      <c r="B1340" s="26" t="s">
        <v>56</v>
      </c>
      <c r="C1340" s="26" t="s">
        <v>57</v>
      </c>
      <c r="D1340" s="26" t="s">
        <v>81</v>
      </c>
      <c r="E1340" s="27" t="s">
        <v>4339</v>
      </c>
      <c r="F1340" s="28" t="s">
        <v>4340</v>
      </c>
      <c r="G1340" s="29">
        <v>45237.0</v>
      </c>
      <c r="H1340" s="30">
        <v>45237.0</v>
      </c>
      <c r="I1340" s="30">
        <v>45602.0</v>
      </c>
      <c r="J1340" s="31" t="s">
        <v>4341</v>
      </c>
      <c r="K1340" s="26" t="s">
        <v>2374</v>
      </c>
      <c r="L1340" s="89">
        <v>45239.0</v>
      </c>
      <c r="M1340" s="33">
        <v>9750.0</v>
      </c>
      <c r="N1340" s="34">
        <v>10515.0</v>
      </c>
      <c r="O1340" s="27" t="s">
        <v>76</v>
      </c>
      <c r="P1340" s="35" t="s">
        <v>89</v>
      </c>
      <c r="Q1340" s="35">
        <v>0.0</v>
      </c>
      <c r="R1340" s="36">
        <v>45237.0</v>
      </c>
      <c r="S1340" s="35" t="s">
        <v>86</v>
      </c>
      <c r="T1340" s="35">
        <v>0.0</v>
      </c>
      <c r="U1340" s="37" t="s">
        <v>67</v>
      </c>
      <c r="V1340" s="38"/>
      <c r="W1340" s="78"/>
      <c r="X1340" s="27"/>
      <c r="Y1340" s="39"/>
      <c r="Z1340" s="39"/>
      <c r="AA1340" s="39"/>
      <c r="AB1340" s="27"/>
      <c r="AC1340" s="27">
        <f t="shared" si="1033"/>
        <v>0</v>
      </c>
      <c r="AD1340" s="41"/>
      <c r="AE1340" s="42"/>
      <c r="AF1340" s="27"/>
      <c r="AG1340" s="43">
        <f t="shared" ref="AG1340:AG1342" si="1081">IF(O1340="Paid",IF(A1340="Wethaq",(M1340*28%)-((M1340*28%)*5%),IF((A1340="GIG"),(M1340*25%)-((M1340*25%)*5%),IF((A1340="Allianz"),(M1340*27%)-((M1340*27%)*20%),0))),0)</f>
        <v>2106</v>
      </c>
      <c r="AH1340" s="29"/>
      <c r="AI1340" s="29"/>
      <c r="AJ1340" s="29"/>
      <c r="AK1340" s="29"/>
      <c r="AL1340" s="27"/>
      <c r="AM1340" s="44"/>
      <c r="AN1340" s="47"/>
      <c r="AO1340" s="46"/>
      <c r="AP1340" s="47"/>
      <c r="AQ1340" s="43">
        <f t="shared" si="1078"/>
        <v>2632.5</v>
      </c>
      <c r="AR1340" s="43">
        <f t="shared" si="448"/>
        <v>131.625</v>
      </c>
      <c r="AS1340" s="43">
        <f t="shared" si="449"/>
        <v>460.6875</v>
      </c>
      <c r="AT1340" s="48">
        <f t="shared" si="753"/>
        <v>2040.1875</v>
      </c>
      <c r="AU1340" s="49">
        <f t="shared" si="1079"/>
        <v>2040.1875</v>
      </c>
      <c r="AV1340" s="48"/>
      <c r="AW1340" s="34">
        <f t="shared" si="1000"/>
        <v>10515</v>
      </c>
      <c r="AX1340" s="50">
        <f t="shared" si="1034"/>
        <v>1645.3125</v>
      </c>
      <c r="AY1340" s="43"/>
      <c r="AZ1340" s="47"/>
      <c r="BA1340" s="48">
        <f t="shared" si="1080"/>
        <v>2040.1875</v>
      </c>
      <c r="BB1340" s="27"/>
      <c r="BC1340" s="27"/>
      <c r="BD1340" s="51"/>
      <c r="BE1340" s="52"/>
      <c r="BF1340" s="27"/>
      <c r="BG1340" s="53">
        <v>0.0</v>
      </c>
      <c r="BH1340" s="53" t="str">
        <f>'[1]2023'!Q1570</f>
        <v>#REF!</v>
      </c>
      <c r="BI1340" s="27"/>
      <c r="BJ1340" s="27"/>
      <c r="BK1340" s="27" t="s">
        <v>76</v>
      </c>
      <c r="BL1340" s="27"/>
    </row>
    <row r="1341" ht="14.25" customHeight="1">
      <c r="A1341" s="26" t="s">
        <v>55</v>
      </c>
      <c r="B1341" s="26" t="s">
        <v>56</v>
      </c>
      <c r="C1341" s="26" t="s">
        <v>57</v>
      </c>
      <c r="D1341" s="26" t="s">
        <v>81</v>
      </c>
      <c r="E1341" s="27" t="s">
        <v>4342</v>
      </c>
      <c r="F1341" s="28" t="s">
        <v>4343</v>
      </c>
      <c r="G1341" s="29">
        <v>45237.0</v>
      </c>
      <c r="H1341" s="30">
        <v>45237.0</v>
      </c>
      <c r="I1341" s="30">
        <v>45602.0</v>
      </c>
      <c r="J1341" s="31" t="s">
        <v>4344</v>
      </c>
      <c r="K1341" s="26" t="s">
        <v>2374</v>
      </c>
      <c r="L1341" s="89">
        <v>45237.0</v>
      </c>
      <c r="M1341" s="33">
        <v>19500.0</v>
      </c>
      <c r="N1341" s="34">
        <v>20889.0</v>
      </c>
      <c r="O1341" s="27" t="s">
        <v>76</v>
      </c>
      <c r="P1341" s="35" t="s">
        <v>89</v>
      </c>
      <c r="Q1341" s="35">
        <v>0.0</v>
      </c>
      <c r="R1341" s="36">
        <v>45237.0</v>
      </c>
      <c r="S1341" s="35" t="s">
        <v>86</v>
      </c>
      <c r="T1341" s="35">
        <v>0.0</v>
      </c>
      <c r="U1341" s="37" t="s">
        <v>67</v>
      </c>
      <c r="V1341" s="38">
        <v>1000000.0</v>
      </c>
      <c r="W1341" s="78">
        <v>86893.0</v>
      </c>
      <c r="X1341" s="27">
        <v>2019.0</v>
      </c>
      <c r="Y1341" s="79" t="s">
        <v>919</v>
      </c>
      <c r="Z1341" s="39"/>
      <c r="AA1341" s="39"/>
      <c r="AB1341" s="27"/>
      <c r="AC1341" s="27">
        <f t="shared" si="1033"/>
        <v>0</v>
      </c>
      <c r="AD1341" s="41">
        <f t="shared" ref="AD1341:AD1346" si="1082">IF(AND(S1341="0",O1341="Paid"),(M1341*15%)-AC1341,0)</f>
        <v>2925</v>
      </c>
      <c r="AE1341" s="42"/>
      <c r="AF1341" s="27"/>
      <c r="AG1341" s="43">
        <f t="shared" si="1081"/>
        <v>4212</v>
      </c>
      <c r="AH1341" s="29"/>
      <c r="AI1341" s="29"/>
      <c r="AJ1341" s="29"/>
      <c r="AK1341" s="29"/>
      <c r="AL1341" s="27"/>
      <c r="AM1341" s="44"/>
      <c r="AN1341" s="47"/>
      <c r="AO1341" s="46"/>
      <c r="AP1341" s="47"/>
      <c r="AQ1341" s="43">
        <f t="shared" si="1078"/>
        <v>5265</v>
      </c>
      <c r="AR1341" s="43">
        <f t="shared" si="448"/>
        <v>263.25</v>
      </c>
      <c r="AS1341" s="43">
        <f t="shared" si="449"/>
        <v>921.375</v>
      </c>
      <c r="AT1341" s="48">
        <f t="shared" si="753"/>
        <v>4080.375</v>
      </c>
      <c r="AU1341" s="49">
        <f t="shared" si="1079"/>
        <v>4080.375</v>
      </c>
      <c r="AV1341" s="48"/>
      <c r="AW1341" s="34">
        <f t="shared" si="1000"/>
        <v>17964</v>
      </c>
      <c r="AX1341" s="50">
        <f t="shared" si="1034"/>
        <v>365.625</v>
      </c>
      <c r="AY1341" s="43"/>
      <c r="AZ1341" s="47"/>
      <c r="BA1341" s="48">
        <f t="shared" si="1080"/>
        <v>4080.375</v>
      </c>
      <c r="BB1341" s="27"/>
      <c r="BC1341" s="27"/>
      <c r="BD1341" s="51"/>
      <c r="BE1341" s="52"/>
      <c r="BF1341" s="27"/>
      <c r="BG1341" s="53">
        <v>0.0</v>
      </c>
      <c r="BH1341" s="53" t="str">
        <f t="shared" ref="BH1341:BH1342" si="1083">'[1]2023'!Q1620</f>
        <v>#REF!</v>
      </c>
      <c r="BI1341" s="27"/>
      <c r="BJ1341" s="27"/>
      <c r="BK1341" s="27" t="s">
        <v>76</v>
      </c>
      <c r="BL1341" s="27"/>
    </row>
    <row r="1342" ht="14.25" customHeight="1">
      <c r="A1342" s="26" t="s">
        <v>55</v>
      </c>
      <c r="B1342" s="26" t="s">
        <v>56</v>
      </c>
      <c r="C1342" s="26" t="s">
        <v>57</v>
      </c>
      <c r="D1342" s="26" t="s">
        <v>81</v>
      </c>
      <c r="E1342" s="27" t="s">
        <v>4345</v>
      </c>
      <c r="F1342" s="28" t="s">
        <v>4346</v>
      </c>
      <c r="G1342" s="29">
        <v>45237.0</v>
      </c>
      <c r="H1342" s="30">
        <v>45237.0</v>
      </c>
      <c r="I1342" s="30">
        <v>45602.0</v>
      </c>
      <c r="J1342" s="31" t="s">
        <v>4347</v>
      </c>
      <c r="K1342" s="26" t="s">
        <v>2374</v>
      </c>
      <c r="L1342" s="89">
        <v>45257.0</v>
      </c>
      <c r="M1342" s="33">
        <v>27877.5</v>
      </c>
      <c r="N1342" s="34">
        <v>29802.67</v>
      </c>
      <c r="O1342" s="27" t="s">
        <v>76</v>
      </c>
      <c r="P1342" s="35" t="s">
        <v>122</v>
      </c>
      <c r="Q1342" s="35" t="s">
        <v>90</v>
      </c>
      <c r="R1342" s="36">
        <v>45237.0</v>
      </c>
      <c r="S1342" s="35" t="s">
        <v>86</v>
      </c>
      <c r="T1342" s="35">
        <v>0.0</v>
      </c>
      <c r="U1342" s="37" t="s">
        <v>67</v>
      </c>
      <c r="V1342" s="38">
        <v>1350000.0</v>
      </c>
      <c r="W1342" s="78">
        <v>519077.0</v>
      </c>
      <c r="X1342" s="27">
        <v>2022.0</v>
      </c>
      <c r="Y1342" s="79" t="s">
        <v>232</v>
      </c>
      <c r="Z1342" s="39"/>
      <c r="AA1342" s="39"/>
      <c r="AB1342" s="27"/>
      <c r="AC1342" s="27">
        <f t="shared" si="1033"/>
        <v>0</v>
      </c>
      <c r="AD1342" s="41">
        <f t="shared" si="1082"/>
        <v>4181.625</v>
      </c>
      <c r="AE1342" s="42"/>
      <c r="AF1342" s="27"/>
      <c r="AG1342" s="43">
        <f t="shared" si="1081"/>
        <v>6021.54</v>
      </c>
      <c r="AH1342" s="29"/>
      <c r="AI1342" s="29"/>
      <c r="AJ1342" s="29"/>
      <c r="AK1342" s="29"/>
      <c r="AL1342" s="27"/>
      <c r="AM1342" s="44"/>
      <c r="AN1342" s="47"/>
      <c r="AO1342" s="46"/>
      <c r="AP1342" s="47"/>
      <c r="AQ1342" s="43">
        <f t="shared" si="1078"/>
        <v>7526.925</v>
      </c>
      <c r="AR1342" s="43">
        <f t="shared" si="448"/>
        <v>376.34625</v>
      </c>
      <c r="AS1342" s="43">
        <f t="shared" si="449"/>
        <v>1317.211875</v>
      </c>
      <c r="AT1342" s="48">
        <f t="shared" si="753"/>
        <v>5833.366875</v>
      </c>
      <c r="AU1342" s="49">
        <f t="shared" si="1079"/>
        <v>5833.366875</v>
      </c>
      <c r="AV1342" s="48"/>
      <c r="AW1342" s="34">
        <f t="shared" si="1000"/>
        <v>25621.045</v>
      </c>
      <c r="AX1342" s="50">
        <f t="shared" si="1034"/>
        <v>522.703125</v>
      </c>
      <c r="AY1342" s="43"/>
      <c r="AZ1342" s="47"/>
      <c r="BA1342" s="48">
        <f t="shared" si="1080"/>
        <v>5833.366875</v>
      </c>
      <c r="BB1342" s="27"/>
      <c r="BC1342" s="27"/>
      <c r="BD1342" s="51"/>
      <c r="BE1342" s="52"/>
      <c r="BF1342" s="27"/>
      <c r="BG1342" s="53">
        <v>0.0</v>
      </c>
      <c r="BH1342" s="53" t="str">
        <f t="shared" si="1083"/>
        <v>#REF!</v>
      </c>
      <c r="BI1342" s="27"/>
      <c r="BJ1342" s="27"/>
      <c r="BK1342" s="27" t="s">
        <v>76</v>
      </c>
      <c r="BL1342" s="27"/>
    </row>
    <row r="1343" ht="14.25" customHeight="1">
      <c r="A1343" s="26" t="s">
        <v>55</v>
      </c>
      <c r="B1343" s="26" t="s">
        <v>56</v>
      </c>
      <c r="C1343" s="26" t="s">
        <v>57</v>
      </c>
      <c r="D1343" s="26" t="s">
        <v>81</v>
      </c>
      <c r="E1343" s="27" t="s">
        <v>4348</v>
      </c>
      <c r="F1343" s="28" t="s">
        <v>4349</v>
      </c>
      <c r="G1343" s="29">
        <v>45238.0</v>
      </c>
      <c r="H1343" s="30">
        <v>45238.0</v>
      </c>
      <c r="I1343" s="30">
        <v>45603.0</v>
      </c>
      <c r="J1343" s="31">
        <v>0.0</v>
      </c>
      <c r="K1343" s="26" t="s">
        <v>2784</v>
      </c>
      <c r="L1343" s="32" t="s">
        <v>75</v>
      </c>
      <c r="M1343" s="33">
        <v>7410.0</v>
      </c>
      <c r="N1343" s="34">
        <v>7988.19</v>
      </c>
      <c r="O1343" s="27" t="s">
        <v>76</v>
      </c>
      <c r="P1343" s="35" t="s">
        <v>95</v>
      </c>
      <c r="Q1343" s="35">
        <v>0.0</v>
      </c>
      <c r="R1343" s="36">
        <v>45238.0</v>
      </c>
      <c r="S1343" s="35" t="s">
        <v>86</v>
      </c>
      <c r="T1343" s="35">
        <v>0.0</v>
      </c>
      <c r="U1343" s="37" t="s">
        <v>67</v>
      </c>
      <c r="V1343" s="38"/>
      <c r="W1343" s="38"/>
      <c r="X1343" s="27"/>
      <c r="Y1343" s="39"/>
      <c r="Z1343" s="39"/>
      <c r="AA1343" s="39"/>
      <c r="AB1343" s="40"/>
      <c r="AC1343" s="27">
        <f t="shared" si="1033"/>
        <v>0</v>
      </c>
      <c r="AD1343" s="41">
        <f t="shared" si="1082"/>
        <v>1111.5</v>
      </c>
      <c r="AE1343" s="42"/>
      <c r="AF1343" s="27"/>
      <c r="AG1343" s="43">
        <f t="shared" ref="AG1343:AG1347" si="1084">IF(O1343="Paid",IF(A1343="Alwataniya",(M1343*21%)-((M1343*21%)*5%),IF((A1343="GIG"),(M1343*25%)-((M1343*25%)*5%),IF((A1343="Allianz"),(M1343*27%)-((M1343*27%)*5%),0))),0)</f>
        <v>1900.665</v>
      </c>
      <c r="AH1343" s="29"/>
      <c r="AI1343" s="29"/>
      <c r="AJ1343" s="55"/>
      <c r="AK1343" s="29"/>
      <c r="AL1343" s="27"/>
      <c r="AM1343" s="44"/>
      <c r="AN1343" s="47"/>
      <c r="AO1343" s="46"/>
      <c r="AP1343" s="47"/>
      <c r="AQ1343" s="43">
        <f t="shared" ref="AQ1343:AQ1346" si="1085">IF(U1343="Motor Plus",(M1343*27%),IF(U1343="Motor One",(M1343*22%),(IF(U1343="Golden",(M1343*25%),(IF(U1343="Classic",(M1343*15%),(IF(U1343="Wethaq",(M1343*28%),IF(U1343="Alwataniya",(M1343*21%))*0))))))))</f>
        <v>2000.7</v>
      </c>
      <c r="AR1343" s="43">
        <f t="shared" si="448"/>
        <v>100.035</v>
      </c>
      <c r="AS1343" s="43">
        <f t="shared" si="449"/>
        <v>350.1225</v>
      </c>
      <c r="AT1343" s="48">
        <f t="shared" si="753"/>
        <v>1550.5425</v>
      </c>
      <c r="AU1343" s="49">
        <f t="shared" ref="AU1343:AU1344" si="1086">AQ1343-AR1343-AS1343-AC1343</f>
        <v>1550.5425</v>
      </c>
      <c r="AV1343" s="48"/>
      <c r="AW1343" s="34">
        <f t="shared" si="1000"/>
        <v>6876.69</v>
      </c>
      <c r="AX1343" s="50">
        <f t="shared" si="1034"/>
        <v>439.0425</v>
      </c>
      <c r="AY1343" s="43"/>
      <c r="AZ1343" s="47"/>
      <c r="BA1343" s="48">
        <f t="shared" si="1080"/>
        <v>1550.5425</v>
      </c>
      <c r="BB1343" s="27"/>
      <c r="BC1343" s="27"/>
      <c r="BD1343" s="51"/>
      <c r="BE1343" s="52"/>
      <c r="BF1343" s="27" t="s">
        <v>4348</v>
      </c>
      <c r="BG1343" s="53">
        <v>0.0</v>
      </c>
      <c r="BH1343" s="53" t="str">
        <f t="shared" ref="BH1343:BH1344" si="1087">'[1]2023'!Q999</f>
        <v>#REF!</v>
      </c>
      <c r="BI1343" s="27"/>
      <c r="BJ1343" s="27"/>
      <c r="BK1343" s="27" t="s">
        <v>76</v>
      </c>
      <c r="BL1343" s="27"/>
    </row>
    <row r="1344" ht="14.25" customHeight="1">
      <c r="A1344" s="26" t="s">
        <v>55</v>
      </c>
      <c r="B1344" s="26" t="s">
        <v>56</v>
      </c>
      <c r="C1344" s="26" t="s">
        <v>57</v>
      </c>
      <c r="D1344" s="26" t="s">
        <v>81</v>
      </c>
      <c r="E1344" s="27" t="s">
        <v>4350</v>
      </c>
      <c r="F1344" s="28" t="s">
        <v>4351</v>
      </c>
      <c r="G1344" s="29">
        <v>45238.0</v>
      </c>
      <c r="H1344" s="30">
        <v>45238.0</v>
      </c>
      <c r="I1344" s="30">
        <v>45603.0</v>
      </c>
      <c r="J1344" s="31">
        <v>0.0</v>
      </c>
      <c r="K1344" s="26" t="s">
        <v>2784</v>
      </c>
      <c r="L1344" s="32" t="s">
        <v>75</v>
      </c>
      <c r="M1344" s="33">
        <v>10972.5</v>
      </c>
      <c r="N1344" s="34">
        <v>11760.89</v>
      </c>
      <c r="O1344" s="27" t="s">
        <v>76</v>
      </c>
      <c r="P1344" s="35" t="s">
        <v>95</v>
      </c>
      <c r="Q1344" s="35">
        <v>0.0</v>
      </c>
      <c r="R1344" s="36">
        <v>45238.0</v>
      </c>
      <c r="S1344" s="35" t="s">
        <v>86</v>
      </c>
      <c r="T1344" s="35">
        <v>0.0</v>
      </c>
      <c r="U1344" s="37" t="s">
        <v>67</v>
      </c>
      <c r="V1344" s="38"/>
      <c r="W1344" s="38"/>
      <c r="X1344" s="27"/>
      <c r="Y1344" s="39"/>
      <c r="Z1344" s="39"/>
      <c r="AA1344" s="39"/>
      <c r="AB1344" s="40"/>
      <c r="AC1344" s="27">
        <f t="shared" si="1033"/>
        <v>0</v>
      </c>
      <c r="AD1344" s="41">
        <f t="shared" si="1082"/>
        <v>1645.875</v>
      </c>
      <c r="AE1344" s="42"/>
      <c r="AF1344" s="27"/>
      <c r="AG1344" s="43">
        <f t="shared" si="1084"/>
        <v>2814.44625</v>
      </c>
      <c r="AH1344" s="29"/>
      <c r="AI1344" s="29"/>
      <c r="AJ1344" s="55"/>
      <c r="AK1344" s="29"/>
      <c r="AL1344" s="27"/>
      <c r="AM1344" s="44"/>
      <c r="AN1344" s="47"/>
      <c r="AO1344" s="46"/>
      <c r="AP1344" s="47"/>
      <c r="AQ1344" s="43">
        <f t="shared" si="1085"/>
        <v>2962.575</v>
      </c>
      <c r="AR1344" s="43">
        <f t="shared" si="448"/>
        <v>148.12875</v>
      </c>
      <c r="AS1344" s="43">
        <f t="shared" si="449"/>
        <v>518.450625</v>
      </c>
      <c r="AT1344" s="48">
        <f t="shared" si="753"/>
        <v>2295.995625</v>
      </c>
      <c r="AU1344" s="49">
        <f t="shared" si="1086"/>
        <v>2295.995625</v>
      </c>
      <c r="AV1344" s="48"/>
      <c r="AW1344" s="34">
        <f t="shared" si="1000"/>
        <v>10115.015</v>
      </c>
      <c r="AX1344" s="50">
        <f t="shared" si="1034"/>
        <v>650.120625</v>
      </c>
      <c r="AY1344" s="43"/>
      <c r="AZ1344" s="47"/>
      <c r="BA1344" s="48">
        <f t="shared" si="1080"/>
        <v>2295.995625</v>
      </c>
      <c r="BB1344" s="27"/>
      <c r="BC1344" s="27"/>
      <c r="BD1344" s="51"/>
      <c r="BE1344" s="52"/>
      <c r="BF1344" s="27" t="s">
        <v>4350</v>
      </c>
      <c r="BG1344" s="53">
        <v>0.0</v>
      </c>
      <c r="BH1344" s="53" t="str">
        <f t="shared" si="1087"/>
        <v>#REF!</v>
      </c>
      <c r="BI1344" s="27"/>
      <c r="BJ1344" s="27"/>
      <c r="BK1344" s="27" t="s">
        <v>76</v>
      </c>
      <c r="BL1344" s="27"/>
    </row>
    <row r="1345" ht="14.25" customHeight="1">
      <c r="A1345" s="26" t="s">
        <v>55</v>
      </c>
      <c r="B1345" s="26" t="s">
        <v>56</v>
      </c>
      <c r="C1345" s="26" t="s">
        <v>57</v>
      </c>
      <c r="D1345" s="26" t="s">
        <v>81</v>
      </c>
      <c r="E1345" s="27" t="s">
        <v>4352</v>
      </c>
      <c r="F1345" s="28" t="s">
        <v>4353</v>
      </c>
      <c r="G1345" s="29">
        <v>45238.0</v>
      </c>
      <c r="H1345" s="30">
        <v>45238.0</v>
      </c>
      <c r="I1345" s="30">
        <v>45603.0</v>
      </c>
      <c r="J1345" s="31">
        <v>0.0</v>
      </c>
      <c r="K1345" s="26" t="s">
        <v>455</v>
      </c>
      <c r="L1345" s="69">
        <v>45177.0</v>
      </c>
      <c r="M1345" s="33">
        <v>26950.0</v>
      </c>
      <c r="N1345" s="34">
        <v>28681.05</v>
      </c>
      <c r="O1345" s="27" t="s">
        <v>76</v>
      </c>
      <c r="P1345" s="35" t="s">
        <v>89</v>
      </c>
      <c r="Q1345" s="35">
        <v>0.0</v>
      </c>
      <c r="R1345" s="36">
        <v>45238.0</v>
      </c>
      <c r="S1345" s="35" t="s">
        <v>86</v>
      </c>
      <c r="T1345" s="35">
        <v>0.0</v>
      </c>
      <c r="U1345" s="37" t="s">
        <v>67</v>
      </c>
      <c r="V1345" s="38"/>
      <c r="W1345" s="38"/>
      <c r="X1345" s="27"/>
      <c r="Y1345" s="39"/>
      <c r="Z1345" s="39"/>
      <c r="AA1345" s="39"/>
      <c r="AB1345" s="40"/>
      <c r="AC1345" s="27">
        <f t="shared" si="1033"/>
        <v>0</v>
      </c>
      <c r="AD1345" s="41">
        <f t="shared" si="1082"/>
        <v>4042.5</v>
      </c>
      <c r="AE1345" s="42"/>
      <c r="AF1345" s="27"/>
      <c r="AG1345" s="43">
        <f t="shared" si="1084"/>
        <v>6912.675</v>
      </c>
      <c r="AH1345" s="29"/>
      <c r="AI1345" s="29"/>
      <c r="AJ1345" s="29"/>
      <c r="AK1345" s="29"/>
      <c r="AL1345" s="27"/>
      <c r="AM1345" s="44"/>
      <c r="AN1345" s="47"/>
      <c r="AO1345" s="46"/>
      <c r="AP1345" s="47"/>
      <c r="AQ1345" s="43">
        <f t="shared" si="1085"/>
        <v>7276.5</v>
      </c>
      <c r="AR1345" s="43">
        <f t="shared" si="448"/>
        <v>363.825</v>
      </c>
      <c r="AS1345" s="43">
        <f t="shared" si="449"/>
        <v>1273.3875</v>
      </c>
      <c r="AT1345" s="48">
        <f t="shared" si="753"/>
        <v>5639.2875</v>
      </c>
      <c r="AU1345" s="49">
        <f t="shared" ref="AU1345:AU1421" si="1088">AQ1345-AR1345-AS1345-AC1345-AO1345</f>
        <v>5639.2875</v>
      </c>
      <c r="AV1345" s="48"/>
      <c r="AW1345" s="34">
        <f t="shared" si="1000"/>
        <v>24638.55</v>
      </c>
      <c r="AX1345" s="50">
        <f t="shared" si="1034"/>
        <v>1596.7875</v>
      </c>
      <c r="AY1345" s="43"/>
      <c r="AZ1345" s="47"/>
      <c r="BA1345" s="48">
        <f t="shared" si="1080"/>
        <v>5639.2875</v>
      </c>
      <c r="BB1345" s="27"/>
      <c r="BC1345" s="27"/>
      <c r="BD1345" s="51"/>
      <c r="BE1345" s="52"/>
      <c r="BF1345" s="27" t="s">
        <v>4352</v>
      </c>
      <c r="BG1345" s="53">
        <v>0.0</v>
      </c>
      <c r="BH1345" s="53" t="str">
        <f>'[1]2023'!Q1057</f>
        <v>#REF!</v>
      </c>
      <c r="BI1345" s="27"/>
      <c r="BJ1345" s="27"/>
      <c r="BK1345" s="27" t="s">
        <v>76</v>
      </c>
      <c r="BL1345" s="27"/>
    </row>
    <row r="1346" ht="14.25" customHeight="1">
      <c r="A1346" s="26" t="s">
        <v>55</v>
      </c>
      <c r="B1346" s="26" t="s">
        <v>56</v>
      </c>
      <c r="C1346" s="26" t="s">
        <v>57</v>
      </c>
      <c r="D1346" s="26" t="s">
        <v>81</v>
      </c>
      <c r="E1346" s="27" t="s">
        <v>4354</v>
      </c>
      <c r="F1346" s="28" t="s">
        <v>4355</v>
      </c>
      <c r="G1346" s="29">
        <v>45238.0</v>
      </c>
      <c r="H1346" s="30">
        <v>45238.0</v>
      </c>
      <c r="I1346" s="30">
        <v>45603.0</v>
      </c>
      <c r="J1346" s="31">
        <v>0.0</v>
      </c>
      <c r="K1346" s="26" t="s">
        <v>455</v>
      </c>
      <c r="L1346" s="69">
        <v>45025.0</v>
      </c>
      <c r="M1346" s="33">
        <v>9912.0</v>
      </c>
      <c r="N1346" s="34">
        <v>10637.8</v>
      </c>
      <c r="O1346" s="27" t="s">
        <v>76</v>
      </c>
      <c r="P1346" s="35" t="s">
        <v>89</v>
      </c>
      <c r="Q1346" s="35">
        <v>0.0</v>
      </c>
      <c r="R1346" s="36">
        <v>45238.0</v>
      </c>
      <c r="S1346" s="35" t="s">
        <v>86</v>
      </c>
      <c r="T1346" s="35">
        <v>0.0</v>
      </c>
      <c r="U1346" s="37" t="s">
        <v>67</v>
      </c>
      <c r="V1346" s="38"/>
      <c r="W1346" s="38"/>
      <c r="X1346" s="27"/>
      <c r="Y1346" s="39"/>
      <c r="Z1346" s="39"/>
      <c r="AA1346" s="39"/>
      <c r="AB1346" s="40"/>
      <c r="AC1346" s="27">
        <f t="shared" si="1033"/>
        <v>0</v>
      </c>
      <c r="AD1346" s="41">
        <f t="shared" si="1082"/>
        <v>1486.8</v>
      </c>
      <c r="AE1346" s="42"/>
      <c r="AF1346" s="27"/>
      <c r="AG1346" s="43">
        <f t="shared" si="1084"/>
        <v>2542.428</v>
      </c>
      <c r="AH1346" s="29"/>
      <c r="AI1346" s="29"/>
      <c r="AJ1346" s="29"/>
      <c r="AK1346" s="29"/>
      <c r="AL1346" s="27"/>
      <c r="AM1346" s="44"/>
      <c r="AN1346" s="47"/>
      <c r="AO1346" s="46"/>
      <c r="AP1346" s="47"/>
      <c r="AQ1346" s="43">
        <f t="shared" si="1085"/>
        <v>2676.24</v>
      </c>
      <c r="AR1346" s="43">
        <f t="shared" si="448"/>
        <v>133.812</v>
      </c>
      <c r="AS1346" s="43">
        <f t="shared" si="449"/>
        <v>468.342</v>
      </c>
      <c r="AT1346" s="48">
        <f t="shared" si="753"/>
        <v>2074.086</v>
      </c>
      <c r="AU1346" s="49">
        <f t="shared" si="1088"/>
        <v>2074.086</v>
      </c>
      <c r="AV1346" s="48"/>
      <c r="AW1346" s="34">
        <f t="shared" si="1000"/>
        <v>9151</v>
      </c>
      <c r="AX1346" s="50">
        <f t="shared" si="1034"/>
        <v>587.286</v>
      </c>
      <c r="AY1346" s="43"/>
      <c r="AZ1346" s="47"/>
      <c r="BA1346" s="48">
        <f t="shared" si="1080"/>
        <v>2074.086</v>
      </c>
      <c r="BB1346" s="27"/>
      <c r="BC1346" s="27"/>
      <c r="BD1346" s="51"/>
      <c r="BE1346" s="52"/>
      <c r="BF1346" s="27" t="s">
        <v>4354</v>
      </c>
      <c r="BG1346" s="53">
        <v>0.0</v>
      </c>
      <c r="BH1346" s="53" t="str">
        <f>'[1]2023'!Q1072</f>
        <v>#REF!</v>
      </c>
      <c r="BI1346" s="27"/>
      <c r="BJ1346" s="27"/>
      <c r="BK1346" s="27" t="s">
        <v>76</v>
      </c>
      <c r="BL1346" s="27"/>
    </row>
    <row r="1347" ht="14.25" customHeight="1">
      <c r="A1347" s="26" t="s">
        <v>55</v>
      </c>
      <c r="B1347" s="26" t="s">
        <v>56</v>
      </c>
      <c r="C1347" s="26" t="s">
        <v>57</v>
      </c>
      <c r="D1347" s="26" t="s">
        <v>81</v>
      </c>
      <c r="E1347" s="27" t="s">
        <v>4356</v>
      </c>
      <c r="F1347" s="28" t="s">
        <v>4357</v>
      </c>
      <c r="G1347" s="29">
        <v>45238.0</v>
      </c>
      <c r="H1347" s="30">
        <v>45238.0</v>
      </c>
      <c r="I1347" s="30">
        <v>45603.0</v>
      </c>
      <c r="J1347" s="31" t="s">
        <v>4358</v>
      </c>
      <c r="K1347" s="26" t="s">
        <v>2374</v>
      </c>
      <c r="L1347" s="89">
        <v>45238.0</v>
      </c>
      <c r="M1347" s="33">
        <v>17700.0</v>
      </c>
      <c r="N1347" s="34">
        <v>18973.8</v>
      </c>
      <c r="O1347" s="27" t="s">
        <v>76</v>
      </c>
      <c r="P1347" s="35" t="s">
        <v>89</v>
      </c>
      <c r="Q1347" s="35" t="s">
        <v>65</v>
      </c>
      <c r="R1347" s="36">
        <v>45238.0</v>
      </c>
      <c r="S1347" s="35" t="s">
        <v>86</v>
      </c>
      <c r="T1347" s="35">
        <v>0.0</v>
      </c>
      <c r="U1347" s="37" t="s">
        <v>67</v>
      </c>
      <c r="V1347" s="38">
        <v>1000000.0</v>
      </c>
      <c r="W1347" s="78" t="s">
        <v>4359</v>
      </c>
      <c r="X1347" s="27">
        <v>2020.0</v>
      </c>
      <c r="Y1347" s="79" t="s">
        <v>232</v>
      </c>
      <c r="Z1347" s="39"/>
      <c r="AA1347" s="39"/>
      <c r="AB1347" s="27"/>
      <c r="AC1347" s="27">
        <f t="shared" si="1033"/>
        <v>0</v>
      </c>
      <c r="AD1347" s="41"/>
      <c r="AE1347" s="42"/>
      <c r="AF1347" s="27"/>
      <c r="AG1347" s="43">
        <f t="shared" si="1084"/>
        <v>4540.05</v>
      </c>
      <c r="AH1347" s="29"/>
      <c r="AI1347" s="29"/>
      <c r="AJ1347" s="29"/>
      <c r="AK1347" s="29"/>
      <c r="AL1347" s="27"/>
      <c r="AM1347" s="44"/>
      <c r="AN1347" s="47"/>
      <c r="AO1347" s="46"/>
      <c r="AP1347" s="47"/>
      <c r="AQ1347" s="43">
        <f t="shared" ref="AQ1347:AQ1356" si="1089">IF(O1347="Paid",IF(U1347="Motor Plus",(M1347*27%),IF(U1347="Motor One",(M1347*22%),(IF(U1347="Golden",(M1347*25%),(IF(U1347="Classic",(M1347*15%),(IF(U1347="Wethaq",(M1347*28%),IF(U1347="Alwataniya",(M1347*21%))*0)))))))))</f>
        <v>4779</v>
      </c>
      <c r="AR1347" s="43">
        <f t="shared" si="448"/>
        <v>238.95</v>
      </c>
      <c r="AS1347" s="43">
        <f t="shared" si="449"/>
        <v>836.325</v>
      </c>
      <c r="AT1347" s="48">
        <f t="shared" si="753"/>
        <v>3703.725</v>
      </c>
      <c r="AU1347" s="49">
        <f t="shared" si="1088"/>
        <v>3703.725</v>
      </c>
      <c r="AV1347" s="48"/>
      <c r="AW1347" s="34">
        <f t="shared" si="1000"/>
        <v>18973.8</v>
      </c>
      <c r="AX1347" s="50">
        <f t="shared" si="1034"/>
        <v>3703.725</v>
      </c>
      <c r="AY1347" s="43"/>
      <c r="AZ1347" s="47"/>
      <c r="BA1347" s="48">
        <f t="shared" si="1080"/>
        <v>3703.725</v>
      </c>
      <c r="BB1347" s="27"/>
      <c r="BC1347" s="27"/>
      <c r="BD1347" s="51"/>
      <c r="BE1347" s="52"/>
      <c r="BF1347" s="27"/>
      <c r="BG1347" s="53">
        <v>0.0</v>
      </c>
      <c r="BH1347" s="53" t="str">
        <f>'[1]2023'!Q1472</f>
        <v>#REF!</v>
      </c>
      <c r="BI1347" s="27"/>
      <c r="BJ1347" s="27"/>
      <c r="BK1347" s="27" t="s">
        <v>76</v>
      </c>
      <c r="BL1347" s="27"/>
    </row>
    <row r="1348" ht="14.25" customHeight="1">
      <c r="A1348" s="26" t="s">
        <v>111</v>
      </c>
      <c r="B1348" s="26" t="s">
        <v>56</v>
      </c>
      <c r="C1348" s="26" t="s">
        <v>57</v>
      </c>
      <c r="D1348" s="26" t="s">
        <v>71</v>
      </c>
      <c r="E1348" s="27" t="s">
        <v>4360</v>
      </c>
      <c r="F1348" s="28" t="s">
        <v>4361</v>
      </c>
      <c r="G1348" s="29">
        <v>45238.0</v>
      </c>
      <c r="H1348" s="30">
        <v>45238.0</v>
      </c>
      <c r="I1348" s="30">
        <v>45603.0</v>
      </c>
      <c r="J1348" s="31" t="s">
        <v>4362</v>
      </c>
      <c r="K1348" s="26" t="s">
        <v>2374</v>
      </c>
      <c r="L1348" s="32" t="s">
        <v>63</v>
      </c>
      <c r="M1348" s="33">
        <v>21752.07</v>
      </c>
      <c r="N1348" s="34">
        <v>23400.0</v>
      </c>
      <c r="O1348" s="67" t="s">
        <v>64</v>
      </c>
      <c r="P1348" s="35" t="s">
        <v>142</v>
      </c>
      <c r="Q1348" s="35" t="s">
        <v>108</v>
      </c>
      <c r="R1348" s="36">
        <v>45248.0</v>
      </c>
      <c r="S1348" s="35" t="s">
        <v>86</v>
      </c>
      <c r="T1348" s="35">
        <v>0.0</v>
      </c>
      <c r="U1348" s="37" t="s">
        <v>115</v>
      </c>
      <c r="V1348" s="38">
        <v>900000.0</v>
      </c>
      <c r="W1348" s="78">
        <v>33037.0</v>
      </c>
      <c r="X1348" s="27"/>
      <c r="Y1348" s="39" t="s">
        <v>4363</v>
      </c>
      <c r="Z1348" s="39"/>
      <c r="AA1348" s="39"/>
      <c r="AB1348" s="27"/>
      <c r="AC1348" s="27">
        <f t="shared" si="1033"/>
        <v>0</v>
      </c>
      <c r="AD1348" s="41">
        <f t="shared" ref="AD1348:AD1349" si="1090">IF(AND(S1348="0",O1348="Paid"),(M1348*10%)-AC1348,0)</f>
        <v>0</v>
      </c>
      <c r="AE1348" s="42"/>
      <c r="AF1348" s="27"/>
      <c r="AG1348" s="43">
        <f t="shared" ref="AG1348:AG1352" si="1091">IF(O1348="Paid",IF(A1348="Wethaq",(M1348*28%)-((M1348*28%)*5%),IF((A1348="GIG"),(M1348*25%)-((M1348*25%)*5%),IF((A1348="Allianz"),(M1348*27%)-((M1348*27%)*20%),0))),0)</f>
        <v>0</v>
      </c>
      <c r="AH1348" s="29"/>
      <c r="AI1348" s="29"/>
      <c r="AJ1348" s="29"/>
      <c r="AK1348" s="29"/>
      <c r="AL1348" s="27"/>
      <c r="AM1348" s="44"/>
      <c r="AN1348" s="47"/>
      <c r="AO1348" s="46"/>
      <c r="AP1348" s="47"/>
      <c r="AQ1348" s="43" t="b">
        <f t="shared" si="1089"/>
        <v>0</v>
      </c>
      <c r="AR1348" s="43">
        <f t="shared" si="448"/>
        <v>0</v>
      </c>
      <c r="AS1348" s="43">
        <f t="shared" si="449"/>
        <v>0</v>
      </c>
      <c r="AT1348" s="48">
        <f t="shared" si="753"/>
        <v>0</v>
      </c>
      <c r="AU1348" s="49">
        <f t="shared" si="1088"/>
        <v>0</v>
      </c>
      <c r="AV1348" s="48"/>
      <c r="AW1348" s="34">
        <f t="shared" si="1000"/>
        <v>23400</v>
      </c>
      <c r="AX1348" s="50">
        <f t="shared" si="1034"/>
        <v>0</v>
      </c>
      <c r="AY1348" s="43"/>
      <c r="AZ1348" s="47"/>
      <c r="BA1348" s="48">
        <f t="shared" si="1080"/>
        <v>0</v>
      </c>
      <c r="BB1348" s="27"/>
      <c r="BC1348" s="27"/>
      <c r="BD1348" s="51"/>
      <c r="BE1348" s="52"/>
      <c r="BF1348" s="27"/>
      <c r="BG1348" s="58" t="s">
        <v>562</v>
      </c>
      <c r="BH1348" s="53" t="str">
        <f t="shared" ref="BH1348:BH1349" si="1092">'[1]2023'!Q1567</f>
        <v>#REF!</v>
      </c>
      <c r="BI1348" s="27"/>
      <c r="BJ1348" s="27"/>
      <c r="BK1348" s="67" t="s">
        <v>64</v>
      </c>
      <c r="BL1348" s="27"/>
    </row>
    <row r="1349" ht="14.25" customHeight="1">
      <c r="A1349" s="26" t="s">
        <v>111</v>
      </c>
      <c r="B1349" s="26" t="s">
        <v>56</v>
      </c>
      <c r="C1349" s="26" t="s">
        <v>57</v>
      </c>
      <c r="D1349" s="26" t="s">
        <v>71</v>
      </c>
      <c r="E1349" s="27" t="s">
        <v>4364</v>
      </c>
      <c r="F1349" s="28" t="s">
        <v>4365</v>
      </c>
      <c r="G1349" s="29">
        <v>45238.0</v>
      </c>
      <c r="H1349" s="30">
        <v>45238.0</v>
      </c>
      <c r="I1349" s="30">
        <v>45603.0</v>
      </c>
      <c r="J1349" s="31" t="s">
        <v>4366</v>
      </c>
      <c r="K1349" s="26" t="s">
        <v>2374</v>
      </c>
      <c r="L1349" s="32" t="s">
        <v>63</v>
      </c>
      <c r="M1349" s="33">
        <v>63293.42</v>
      </c>
      <c r="N1349" s="34">
        <v>67600.0</v>
      </c>
      <c r="O1349" s="67" t="s">
        <v>64</v>
      </c>
      <c r="P1349" s="35" t="s">
        <v>142</v>
      </c>
      <c r="Q1349" s="35" t="s">
        <v>108</v>
      </c>
      <c r="R1349" s="36">
        <v>45248.0</v>
      </c>
      <c r="S1349" s="35" t="s">
        <v>86</v>
      </c>
      <c r="T1349" s="35">
        <v>0.0</v>
      </c>
      <c r="U1349" s="37" t="s">
        <v>115</v>
      </c>
      <c r="V1349" s="38">
        <v>2600000.0</v>
      </c>
      <c r="W1349" s="78">
        <v>517731.0</v>
      </c>
      <c r="X1349" s="27"/>
      <c r="Y1349" s="79" t="s">
        <v>2520</v>
      </c>
      <c r="Z1349" s="39"/>
      <c r="AA1349" s="39"/>
      <c r="AB1349" s="27"/>
      <c r="AC1349" s="27">
        <f t="shared" si="1033"/>
        <v>0</v>
      </c>
      <c r="AD1349" s="41">
        <f t="shared" si="1090"/>
        <v>0</v>
      </c>
      <c r="AE1349" s="42"/>
      <c r="AF1349" s="27"/>
      <c r="AG1349" s="43">
        <f t="shared" si="1091"/>
        <v>0</v>
      </c>
      <c r="AH1349" s="29"/>
      <c r="AI1349" s="29"/>
      <c r="AJ1349" s="29"/>
      <c r="AK1349" s="29"/>
      <c r="AL1349" s="27"/>
      <c r="AM1349" s="44"/>
      <c r="AN1349" s="47"/>
      <c r="AO1349" s="46"/>
      <c r="AP1349" s="47"/>
      <c r="AQ1349" s="43" t="b">
        <f t="shared" si="1089"/>
        <v>0</v>
      </c>
      <c r="AR1349" s="43">
        <f t="shared" si="448"/>
        <v>0</v>
      </c>
      <c r="AS1349" s="43">
        <f t="shared" si="449"/>
        <v>0</v>
      </c>
      <c r="AT1349" s="48">
        <f t="shared" si="753"/>
        <v>0</v>
      </c>
      <c r="AU1349" s="49">
        <f t="shared" si="1088"/>
        <v>0</v>
      </c>
      <c r="AV1349" s="48"/>
      <c r="AW1349" s="34">
        <f t="shared" si="1000"/>
        <v>67600</v>
      </c>
      <c r="AX1349" s="50">
        <f t="shared" si="1034"/>
        <v>0</v>
      </c>
      <c r="AY1349" s="43"/>
      <c r="AZ1349" s="47"/>
      <c r="BA1349" s="48">
        <f t="shared" si="1080"/>
        <v>0</v>
      </c>
      <c r="BB1349" s="27"/>
      <c r="BC1349" s="27"/>
      <c r="BD1349" s="51"/>
      <c r="BE1349" s="52"/>
      <c r="BF1349" s="27"/>
      <c r="BG1349" s="58" t="s">
        <v>562</v>
      </c>
      <c r="BH1349" s="53" t="str">
        <f t="shared" si="1092"/>
        <v>#REF!</v>
      </c>
      <c r="BI1349" s="27"/>
      <c r="BJ1349" s="27"/>
      <c r="BK1349" s="67" t="s">
        <v>64</v>
      </c>
      <c r="BL1349" s="27"/>
    </row>
    <row r="1350" ht="14.25" customHeight="1">
      <c r="A1350" s="26" t="s">
        <v>55</v>
      </c>
      <c r="B1350" s="26" t="s">
        <v>56</v>
      </c>
      <c r="C1350" s="26" t="s">
        <v>57</v>
      </c>
      <c r="D1350" s="26" t="s">
        <v>71</v>
      </c>
      <c r="E1350" s="27" t="s">
        <v>4367</v>
      </c>
      <c r="F1350" s="28" t="s">
        <v>4368</v>
      </c>
      <c r="G1350" s="29">
        <v>45238.0</v>
      </c>
      <c r="H1350" s="30">
        <v>45238.0</v>
      </c>
      <c r="I1350" s="30">
        <v>45603.0</v>
      </c>
      <c r="J1350" s="31" t="s">
        <v>4369</v>
      </c>
      <c r="K1350" s="26" t="s">
        <v>2374</v>
      </c>
      <c r="L1350" s="223" t="s">
        <v>63</v>
      </c>
      <c r="M1350" s="33">
        <v>32994.0</v>
      </c>
      <c r="N1350" s="34">
        <v>35305.61</v>
      </c>
      <c r="O1350" s="27" t="s">
        <v>76</v>
      </c>
      <c r="P1350" s="35" t="s">
        <v>142</v>
      </c>
      <c r="Q1350" s="35" t="s">
        <v>108</v>
      </c>
      <c r="R1350" s="36">
        <v>45238.0</v>
      </c>
      <c r="S1350" s="35" t="s">
        <v>86</v>
      </c>
      <c r="T1350" s="35">
        <v>0.0</v>
      </c>
      <c r="U1350" s="37" t="s">
        <v>67</v>
      </c>
      <c r="V1350" s="38">
        <v>1350000.0</v>
      </c>
      <c r="W1350" s="78" t="s">
        <v>4370</v>
      </c>
      <c r="X1350" s="27">
        <v>2024.0</v>
      </c>
      <c r="Y1350" s="79" t="s">
        <v>4371</v>
      </c>
      <c r="Z1350" s="39"/>
      <c r="AA1350" s="39"/>
      <c r="AB1350" s="27"/>
      <c r="AC1350" s="27">
        <f t="shared" si="1033"/>
        <v>0</v>
      </c>
      <c r="AD1350" s="41">
        <f>IF(AND(S1350="0",O1350="Paid"),(M1350*15%)-AC1350,0)</f>
        <v>4949.1</v>
      </c>
      <c r="AE1350" s="42">
        <v>650.0</v>
      </c>
      <c r="AF1350" s="188">
        <v>45259.0</v>
      </c>
      <c r="AG1350" s="43">
        <f t="shared" si="1091"/>
        <v>7126.704</v>
      </c>
      <c r="AH1350" s="29"/>
      <c r="AI1350" s="29"/>
      <c r="AJ1350" s="29"/>
      <c r="AK1350" s="29"/>
      <c r="AL1350" s="77"/>
      <c r="AM1350" s="44"/>
      <c r="AN1350" s="47"/>
      <c r="AO1350" s="46"/>
      <c r="AP1350" s="47"/>
      <c r="AQ1350" s="43">
        <f t="shared" si="1089"/>
        <v>8908.38</v>
      </c>
      <c r="AR1350" s="43">
        <f t="shared" si="448"/>
        <v>445.419</v>
      </c>
      <c r="AS1350" s="43">
        <f t="shared" si="449"/>
        <v>1558.9665</v>
      </c>
      <c r="AT1350" s="48">
        <f t="shared" si="753"/>
        <v>6903.9945</v>
      </c>
      <c r="AU1350" s="49">
        <f t="shared" si="1088"/>
        <v>6903.9945</v>
      </c>
      <c r="AV1350" s="48"/>
      <c r="AW1350" s="34">
        <f t="shared" si="1000"/>
        <v>29706.51</v>
      </c>
      <c r="AX1350" s="50">
        <f t="shared" si="1034"/>
        <v>-31.3625</v>
      </c>
      <c r="AY1350" s="43"/>
      <c r="AZ1350" s="47"/>
      <c r="BA1350" s="48">
        <f t="shared" si="1080"/>
        <v>6903.9945</v>
      </c>
      <c r="BB1350" s="27"/>
      <c r="BC1350" s="27"/>
      <c r="BD1350" s="51"/>
      <c r="BE1350" s="52"/>
      <c r="BF1350" s="27"/>
      <c r="BG1350" s="53">
        <v>0.0</v>
      </c>
      <c r="BH1350" s="53" t="str">
        <f>'[1]2023'!Q1572</f>
        <v>#REF!</v>
      </c>
      <c r="BI1350" s="27"/>
      <c r="BJ1350" s="27"/>
      <c r="BK1350" s="27" t="s">
        <v>76</v>
      </c>
      <c r="BL1350" s="27"/>
    </row>
    <row r="1351" ht="14.25" customHeight="1">
      <c r="A1351" s="26" t="s">
        <v>55</v>
      </c>
      <c r="B1351" s="26" t="s">
        <v>56</v>
      </c>
      <c r="C1351" s="26" t="s">
        <v>57</v>
      </c>
      <c r="D1351" s="26" t="s">
        <v>81</v>
      </c>
      <c r="E1351" s="27" t="s">
        <v>4372</v>
      </c>
      <c r="F1351" s="28" t="s">
        <v>4373</v>
      </c>
      <c r="G1351" s="29">
        <v>45238.0</v>
      </c>
      <c r="H1351" s="30">
        <v>45238.0</v>
      </c>
      <c r="I1351" s="30">
        <v>45603.0</v>
      </c>
      <c r="J1351" s="31" t="s">
        <v>4166</v>
      </c>
      <c r="K1351" s="26" t="s">
        <v>2374</v>
      </c>
      <c r="L1351" s="89">
        <v>45260.0</v>
      </c>
      <c r="M1351" s="33">
        <v>42099.2</v>
      </c>
      <c r="N1351" s="34">
        <v>44993.56</v>
      </c>
      <c r="O1351" s="27" t="s">
        <v>76</v>
      </c>
      <c r="P1351" s="35" t="s">
        <v>89</v>
      </c>
      <c r="Q1351" s="35" t="s">
        <v>65</v>
      </c>
      <c r="R1351" s="36">
        <v>45238.0</v>
      </c>
      <c r="S1351" s="35" t="s">
        <v>86</v>
      </c>
      <c r="T1351" s="35" t="s">
        <v>86</v>
      </c>
      <c r="U1351" s="37" t="s">
        <v>67</v>
      </c>
      <c r="V1351" s="38">
        <v>1600000.0</v>
      </c>
      <c r="W1351" s="78">
        <v>130647.0</v>
      </c>
      <c r="X1351" s="27">
        <v>2021.0</v>
      </c>
      <c r="Y1351" s="79" t="s">
        <v>336</v>
      </c>
      <c r="Z1351" s="39"/>
      <c r="AA1351" s="39"/>
      <c r="AB1351" s="55">
        <v>0.15</v>
      </c>
      <c r="AC1351" s="27">
        <f t="shared" si="1033"/>
        <v>6314.88</v>
      </c>
      <c r="AD1351" s="41">
        <v>0.0</v>
      </c>
      <c r="AE1351" s="42"/>
      <c r="AF1351" s="27"/>
      <c r="AG1351" s="43">
        <f t="shared" si="1091"/>
        <v>9093.4272</v>
      </c>
      <c r="AH1351" s="29"/>
      <c r="AI1351" s="29"/>
      <c r="AJ1351" s="29"/>
      <c r="AK1351" s="29"/>
      <c r="AL1351" s="27"/>
      <c r="AM1351" s="44"/>
      <c r="AN1351" s="47"/>
      <c r="AO1351" s="46"/>
      <c r="AP1351" s="47"/>
      <c r="AQ1351" s="43">
        <f t="shared" si="1089"/>
        <v>11366.784</v>
      </c>
      <c r="AR1351" s="43">
        <f t="shared" si="448"/>
        <v>568.3392</v>
      </c>
      <c r="AS1351" s="43">
        <f t="shared" si="449"/>
        <v>1989.1872</v>
      </c>
      <c r="AT1351" s="48">
        <f t="shared" si="753"/>
        <v>8809.2576</v>
      </c>
      <c r="AU1351" s="49">
        <f t="shared" si="1088"/>
        <v>2494.3776</v>
      </c>
      <c r="AV1351" s="48"/>
      <c r="AW1351" s="34">
        <f t="shared" si="1000"/>
        <v>38678.68</v>
      </c>
      <c r="AX1351" s="50">
        <f t="shared" si="1034"/>
        <v>7104.24</v>
      </c>
      <c r="AY1351" s="43"/>
      <c r="AZ1351" s="47"/>
      <c r="BA1351" s="48">
        <f t="shared" si="1080"/>
        <v>2494.3776</v>
      </c>
      <c r="BB1351" s="27"/>
      <c r="BC1351" s="27"/>
      <c r="BD1351" s="51"/>
      <c r="BE1351" s="52"/>
      <c r="BF1351" s="27"/>
      <c r="BG1351" s="53">
        <v>0.0</v>
      </c>
      <c r="BH1351" s="53" t="str">
        <f>'[1]2023'!Q1581</f>
        <v>#REF!</v>
      </c>
      <c r="BI1351" s="27"/>
      <c r="BJ1351" s="27"/>
      <c r="BK1351" s="27" t="s">
        <v>76</v>
      </c>
      <c r="BL1351" s="27"/>
    </row>
    <row r="1352" ht="14.25" customHeight="1">
      <c r="A1352" s="26" t="s">
        <v>55</v>
      </c>
      <c r="B1352" s="26" t="s">
        <v>56</v>
      </c>
      <c r="C1352" s="26" t="s">
        <v>57</v>
      </c>
      <c r="D1352" s="26" t="s">
        <v>81</v>
      </c>
      <c r="E1352" s="27" t="s">
        <v>4374</v>
      </c>
      <c r="F1352" s="28" t="s">
        <v>4375</v>
      </c>
      <c r="G1352" s="29">
        <v>45238.0</v>
      </c>
      <c r="H1352" s="30">
        <v>45238.0</v>
      </c>
      <c r="I1352" s="30">
        <v>45603.0</v>
      </c>
      <c r="J1352" s="31" t="s">
        <v>4376</v>
      </c>
      <c r="K1352" s="26" t="s">
        <v>2374</v>
      </c>
      <c r="L1352" s="223" t="s">
        <v>63</v>
      </c>
      <c r="M1352" s="33">
        <v>39235.0</v>
      </c>
      <c r="N1352" s="34">
        <v>41889.05</v>
      </c>
      <c r="O1352" s="27" t="s">
        <v>76</v>
      </c>
      <c r="P1352" s="35" t="s">
        <v>142</v>
      </c>
      <c r="Q1352" s="35" t="s">
        <v>90</v>
      </c>
      <c r="R1352" s="36">
        <v>45238.0</v>
      </c>
      <c r="S1352" s="35" t="s">
        <v>86</v>
      </c>
      <c r="T1352" s="35">
        <v>0.0</v>
      </c>
      <c r="U1352" s="37" t="s">
        <v>67</v>
      </c>
      <c r="V1352" s="38">
        <v>1900000.0</v>
      </c>
      <c r="W1352" s="78" t="s">
        <v>4377</v>
      </c>
      <c r="X1352" s="27">
        <v>2022.0</v>
      </c>
      <c r="Y1352" s="79" t="s">
        <v>476</v>
      </c>
      <c r="Z1352" s="39"/>
      <c r="AA1352" s="39"/>
      <c r="AB1352" s="27"/>
      <c r="AC1352" s="27">
        <f t="shared" si="1033"/>
        <v>0</v>
      </c>
      <c r="AD1352" s="41">
        <f t="shared" ref="AD1352:AD1387" si="1093">IF(AND(S1352="0",O1352="Paid"),(M1352*15%)-AC1352,0)</f>
        <v>5885.25</v>
      </c>
      <c r="AE1352" s="42"/>
      <c r="AF1352" s="205">
        <v>45266.0</v>
      </c>
      <c r="AG1352" s="43">
        <f t="shared" si="1091"/>
        <v>8474.76</v>
      </c>
      <c r="AH1352" s="29"/>
      <c r="AI1352" s="29"/>
      <c r="AJ1352" s="29"/>
      <c r="AK1352" s="29"/>
      <c r="AL1352" s="27"/>
      <c r="AM1352" s="44"/>
      <c r="AN1352" s="47"/>
      <c r="AO1352" s="46"/>
      <c r="AP1352" s="47"/>
      <c r="AQ1352" s="43">
        <f t="shared" si="1089"/>
        <v>10593.45</v>
      </c>
      <c r="AR1352" s="43">
        <f t="shared" si="448"/>
        <v>529.6725</v>
      </c>
      <c r="AS1352" s="43">
        <f t="shared" si="449"/>
        <v>1853.85375</v>
      </c>
      <c r="AT1352" s="48">
        <f t="shared" si="753"/>
        <v>8209.92375</v>
      </c>
      <c r="AU1352" s="49">
        <f t="shared" si="1088"/>
        <v>8209.92375</v>
      </c>
      <c r="AV1352" s="48"/>
      <c r="AW1352" s="34">
        <f t="shared" si="1000"/>
        <v>36003.8</v>
      </c>
      <c r="AX1352" s="50">
        <f t="shared" si="1034"/>
        <v>735.65625</v>
      </c>
      <c r="AY1352" s="43"/>
      <c r="AZ1352" s="47"/>
      <c r="BA1352" s="48">
        <f t="shared" si="1080"/>
        <v>8209.92375</v>
      </c>
      <c r="BB1352" s="27"/>
      <c r="BC1352" s="27"/>
      <c r="BD1352" s="51"/>
      <c r="BE1352" s="52"/>
      <c r="BF1352" s="27"/>
      <c r="BG1352" s="53">
        <v>0.0</v>
      </c>
      <c r="BH1352" s="53" t="str">
        <f>'[1]2023'!Q1619</f>
        <v>#REF!</v>
      </c>
      <c r="BI1352" s="27"/>
      <c r="BJ1352" s="27"/>
      <c r="BK1352" s="27" t="s">
        <v>76</v>
      </c>
      <c r="BL1352" s="27"/>
    </row>
    <row r="1353" ht="14.25" customHeight="1">
      <c r="A1353" s="26" t="s">
        <v>111</v>
      </c>
      <c r="B1353" s="26" t="s">
        <v>56</v>
      </c>
      <c r="C1353" s="26" t="s">
        <v>57</v>
      </c>
      <c r="D1353" s="26" t="s">
        <v>71</v>
      </c>
      <c r="E1353" s="27" t="s">
        <v>4378</v>
      </c>
      <c r="F1353" s="28" t="s">
        <v>4379</v>
      </c>
      <c r="G1353" s="29">
        <v>45239.0</v>
      </c>
      <c r="H1353" s="30">
        <v>45239.0</v>
      </c>
      <c r="I1353" s="30">
        <v>45604.0</v>
      </c>
      <c r="J1353" s="31" t="s">
        <v>575</v>
      </c>
      <c r="K1353" s="26" t="s">
        <v>2374</v>
      </c>
      <c r="L1353" s="89">
        <v>45239.0</v>
      </c>
      <c r="M1353" s="33">
        <v>60849.81</v>
      </c>
      <c r="N1353" s="34">
        <v>65000.0</v>
      </c>
      <c r="O1353" s="27" t="s">
        <v>76</v>
      </c>
      <c r="P1353" s="35" t="s">
        <v>430</v>
      </c>
      <c r="Q1353" s="35" t="s">
        <v>114</v>
      </c>
      <c r="R1353" s="36">
        <v>45249.0</v>
      </c>
      <c r="S1353" s="35" t="s">
        <v>66</v>
      </c>
      <c r="T1353" s="35">
        <v>0.0</v>
      </c>
      <c r="U1353" s="37" t="s">
        <v>115</v>
      </c>
      <c r="V1353" s="38">
        <v>2500000.0</v>
      </c>
      <c r="W1353" s="78">
        <v>8501381.0</v>
      </c>
      <c r="X1353" s="27"/>
      <c r="Y1353" s="79" t="s">
        <v>4380</v>
      </c>
      <c r="Z1353" s="39"/>
      <c r="AA1353" s="39"/>
      <c r="AB1353" s="27"/>
      <c r="AC1353" s="27">
        <f t="shared" si="1033"/>
        <v>0</v>
      </c>
      <c r="AD1353" s="41">
        <f t="shared" si="1093"/>
        <v>0</v>
      </c>
      <c r="AE1353" s="42"/>
      <c r="AF1353" s="27"/>
      <c r="AG1353" s="43">
        <f>IF(O1353="Paid",IF(A1353="Wethaq",(M1353*28%)-((M1353*28%)*5%),IF((A1353="GIG"),(M1353*25%)-((M1353*25%)*5%),IF((A1353="Allianz"),(M1353*27%)-((M1353*27%)*5%),0))),0)</f>
        <v>14451.82988</v>
      </c>
      <c r="AH1353" s="29" t="s">
        <v>3050</v>
      </c>
      <c r="AI1353" s="29" t="s">
        <v>3050</v>
      </c>
      <c r="AJ1353" s="29"/>
      <c r="AK1353" s="29" t="s">
        <v>2982</v>
      </c>
      <c r="AL1353" s="27"/>
      <c r="AM1353" s="140">
        <f>AU1353*30%</f>
        <v>3536.895206</v>
      </c>
      <c r="AN1353" s="71">
        <v>45654.0</v>
      </c>
      <c r="AO1353" s="46"/>
      <c r="AP1353" s="47"/>
      <c r="AQ1353" s="43">
        <f t="shared" si="1089"/>
        <v>15212.4525</v>
      </c>
      <c r="AR1353" s="43">
        <f t="shared" si="448"/>
        <v>760.622625</v>
      </c>
      <c r="AS1353" s="43">
        <f t="shared" si="449"/>
        <v>2662.179188</v>
      </c>
      <c r="AT1353" s="48">
        <f t="shared" si="753"/>
        <v>11789.65069</v>
      </c>
      <c r="AU1353" s="49">
        <f t="shared" si="1088"/>
        <v>11789.65069</v>
      </c>
      <c r="AV1353" s="48"/>
      <c r="AW1353" s="34">
        <f t="shared" si="1000"/>
        <v>65000</v>
      </c>
      <c r="AX1353" s="50">
        <f t="shared" si="1034"/>
        <v>8252.755481</v>
      </c>
      <c r="AY1353" s="43"/>
      <c r="AZ1353" s="47"/>
      <c r="BA1353" s="48">
        <f t="shared" si="1080"/>
        <v>8252.755481</v>
      </c>
      <c r="BB1353" s="27"/>
      <c r="BC1353" s="27"/>
      <c r="BD1353" s="51"/>
      <c r="BE1353" s="52"/>
      <c r="BF1353" s="27"/>
      <c r="BG1353" s="53">
        <v>0.0</v>
      </c>
      <c r="BH1353" s="53" t="str">
        <f>'[1]2023'!Q1573</f>
        <v>#REF!</v>
      </c>
      <c r="BI1353" s="27"/>
      <c r="BJ1353" s="27"/>
      <c r="BK1353" s="27" t="s">
        <v>76</v>
      </c>
      <c r="BL1353" s="27"/>
    </row>
    <row r="1354" ht="14.25" customHeight="1">
      <c r="A1354" s="26" t="s">
        <v>55</v>
      </c>
      <c r="B1354" s="26" t="s">
        <v>1099</v>
      </c>
      <c r="C1354" s="26" t="s">
        <v>57</v>
      </c>
      <c r="D1354" s="26" t="s">
        <v>71</v>
      </c>
      <c r="E1354" s="27" t="s">
        <v>4381</v>
      </c>
      <c r="F1354" s="28" t="s">
        <v>4382</v>
      </c>
      <c r="G1354" s="29">
        <v>45239.0</v>
      </c>
      <c r="H1354" s="30">
        <v>45239.0</v>
      </c>
      <c r="I1354" s="30">
        <v>45604.0</v>
      </c>
      <c r="J1354" s="31">
        <v>0.0</v>
      </c>
      <c r="K1354" s="26" t="s">
        <v>2374</v>
      </c>
      <c r="L1354" s="89">
        <v>45242.0</v>
      </c>
      <c r="M1354" s="33">
        <v>21242.15</v>
      </c>
      <c r="N1354" s="34">
        <v>21800.74</v>
      </c>
      <c r="O1354" s="27" t="s">
        <v>76</v>
      </c>
      <c r="P1354" s="35" t="s">
        <v>89</v>
      </c>
      <c r="Q1354" s="35">
        <v>0.0</v>
      </c>
      <c r="R1354" s="36">
        <v>45239.0</v>
      </c>
      <c r="S1354" s="35" t="s">
        <v>86</v>
      </c>
      <c r="T1354" s="35" t="s">
        <v>78</v>
      </c>
      <c r="U1354" s="37" t="s">
        <v>1099</v>
      </c>
      <c r="V1354" s="38"/>
      <c r="W1354" s="78"/>
      <c r="X1354" s="27"/>
      <c r="Y1354" s="39"/>
      <c r="Z1354" s="39"/>
      <c r="AA1354" s="39"/>
      <c r="AB1354" s="27"/>
      <c r="AC1354" s="27">
        <f t="shared" si="1033"/>
        <v>0</v>
      </c>
      <c r="AD1354" s="41">
        <f t="shared" si="1093"/>
        <v>3186.3225</v>
      </c>
      <c r="AE1354" s="42"/>
      <c r="AF1354" s="27"/>
      <c r="AG1354" s="43">
        <f t="shared" ref="AG1354:AG1355" si="1094">IF(O1354="Paid",IF(A1354="Wethaq",(M1354*28%)-((M1354*28%)*5%),IF((A1354="GIG"),(M1354*25%)-((M1354*25%)*5%),IF((A1354="Allianz"),(M1354*27%)-((M1354*27%)*20%),0))),0)</f>
        <v>4588.3044</v>
      </c>
      <c r="AH1354" s="29"/>
      <c r="AI1354" s="29"/>
      <c r="AJ1354" s="29"/>
      <c r="AK1354" s="29"/>
      <c r="AL1354" s="27"/>
      <c r="AM1354" s="44"/>
      <c r="AN1354" s="47"/>
      <c r="AO1354" s="46"/>
      <c r="AP1354" s="47"/>
      <c r="AQ1354" s="43">
        <f t="shared" si="1089"/>
        <v>0</v>
      </c>
      <c r="AR1354" s="43">
        <f t="shared" si="448"/>
        <v>0</v>
      </c>
      <c r="AS1354" s="43">
        <f t="shared" si="449"/>
        <v>0</v>
      </c>
      <c r="AT1354" s="48">
        <f t="shared" si="753"/>
        <v>0</v>
      </c>
      <c r="AU1354" s="49">
        <f t="shared" si="1088"/>
        <v>0</v>
      </c>
      <c r="AV1354" s="48"/>
      <c r="AW1354" s="34">
        <f t="shared" si="1000"/>
        <v>18614.4175</v>
      </c>
      <c r="AX1354" s="50">
        <f t="shared" si="1034"/>
        <v>1401.9819</v>
      </c>
      <c r="AY1354" s="43"/>
      <c r="AZ1354" s="47"/>
      <c r="BA1354" s="48">
        <f t="shared" si="1080"/>
        <v>0</v>
      </c>
      <c r="BB1354" s="27"/>
      <c r="BC1354" s="27"/>
      <c r="BD1354" s="51"/>
      <c r="BE1354" s="52"/>
      <c r="BF1354" s="27"/>
      <c r="BG1354" s="53">
        <v>0.0</v>
      </c>
      <c r="BH1354" s="53" t="str">
        <f>'[1]2023'!Q1575</f>
        <v>#REF!</v>
      </c>
      <c r="BI1354" s="27"/>
      <c r="BJ1354" s="27"/>
      <c r="BK1354" s="27" t="s">
        <v>76</v>
      </c>
      <c r="BL1354" s="27"/>
    </row>
    <row r="1355" ht="14.25" customHeight="1">
      <c r="A1355" s="26" t="s">
        <v>55</v>
      </c>
      <c r="B1355" s="26" t="s">
        <v>56</v>
      </c>
      <c r="C1355" s="26" t="s">
        <v>57</v>
      </c>
      <c r="D1355" s="26" t="s">
        <v>81</v>
      </c>
      <c r="E1355" s="27" t="s">
        <v>4383</v>
      </c>
      <c r="F1355" s="28" t="s">
        <v>4384</v>
      </c>
      <c r="G1355" s="29">
        <v>45239.0</v>
      </c>
      <c r="H1355" s="30">
        <v>45239.0</v>
      </c>
      <c r="I1355" s="30">
        <v>45604.0</v>
      </c>
      <c r="J1355" s="31" t="s">
        <v>4385</v>
      </c>
      <c r="K1355" s="26" t="s">
        <v>2374</v>
      </c>
      <c r="L1355" s="89">
        <v>45309.0</v>
      </c>
      <c r="M1355" s="33">
        <v>41792.4</v>
      </c>
      <c r="N1355" s="34">
        <v>44667.1</v>
      </c>
      <c r="O1355" s="27" t="s">
        <v>76</v>
      </c>
      <c r="P1355" s="35" t="s">
        <v>89</v>
      </c>
      <c r="Q1355" s="35" t="s">
        <v>108</v>
      </c>
      <c r="R1355" s="36">
        <v>45239.0</v>
      </c>
      <c r="S1355" s="35" t="s">
        <v>86</v>
      </c>
      <c r="T1355" s="35">
        <v>0.0</v>
      </c>
      <c r="U1355" s="37" t="s">
        <v>67</v>
      </c>
      <c r="V1355" s="38">
        <v>1900000.0</v>
      </c>
      <c r="W1355" s="78">
        <v>8503098.0</v>
      </c>
      <c r="X1355" s="27">
        <v>2022.0</v>
      </c>
      <c r="Y1355" s="79" t="s">
        <v>4386</v>
      </c>
      <c r="Z1355" s="39"/>
      <c r="AA1355" s="39"/>
      <c r="AB1355" s="27"/>
      <c r="AC1355" s="27">
        <f t="shared" si="1033"/>
        <v>0</v>
      </c>
      <c r="AD1355" s="41">
        <f t="shared" si="1093"/>
        <v>6268.86</v>
      </c>
      <c r="AE1355" s="42"/>
      <c r="AF1355" s="216">
        <v>45319.0</v>
      </c>
      <c r="AG1355" s="43">
        <f t="shared" si="1094"/>
        <v>9027.1584</v>
      </c>
      <c r="AH1355" s="29"/>
      <c r="AI1355" s="29"/>
      <c r="AJ1355" s="29"/>
      <c r="AK1355" s="29"/>
      <c r="AL1355" s="27"/>
      <c r="AM1355" s="44"/>
      <c r="AN1355" s="47"/>
      <c r="AO1355" s="46"/>
      <c r="AP1355" s="47"/>
      <c r="AQ1355" s="43">
        <f t="shared" si="1089"/>
        <v>11283.948</v>
      </c>
      <c r="AR1355" s="43">
        <f t="shared" si="448"/>
        <v>564.1974</v>
      </c>
      <c r="AS1355" s="43">
        <f t="shared" si="449"/>
        <v>1974.6909</v>
      </c>
      <c r="AT1355" s="48">
        <f t="shared" si="753"/>
        <v>8745.0597</v>
      </c>
      <c r="AU1355" s="49">
        <f t="shared" si="1088"/>
        <v>8745.0597</v>
      </c>
      <c r="AV1355" s="48"/>
      <c r="AW1355" s="34">
        <f t="shared" si="1000"/>
        <v>38398.24</v>
      </c>
      <c r="AX1355" s="50">
        <f t="shared" si="1034"/>
        <v>783.6075</v>
      </c>
      <c r="AY1355" s="43"/>
      <c r="AZ1355" s="47"/>
      <c r="BA1355" s="48">
        <f t="shared" si="1080"/>
        <v>8745.0597</v>
      </c>
      <c r="BB1355" s="27"/>
      <c r="BC1355" s="27"/>
      <c r="BD1355" s="51"/>
      <c r="BE1355" s="52"/>
      <c r="BF1355" s="27"/>
      <c r="BG1355" s="53">
        <v>0.0</v>
      </c>
      <c r="BH1355" s="53" t="str">
        <f>'[1]2023'!Q1629</f>
        <v>#REF!</v>
      </c>
      <c r="BI1355" s="27"/>
      <c r="BJ1355" s="27"/>
      <c r="BK1355" s="27" t="s">
        <v>1102</v>
      </c>
      <c r="BL1355" s="27"/>
    </row>
    <row r="1356" ht="14.25" customHeight="1">
      <c r="A1356" s="26" t="s">
        <v>492</v>
      </c>
      <c r="B1356" s="26" t="s">
        <v>69</v>
      </c>
      <c r="C1356" s="26" t="s">
        <v>70</v>
      </c>
      <c r="D1356" s="26" t="s">
        <v>71</v>
      </c>
      <c r="E1356" s="27" t="s">
        <v>4387</v>
      </c>
      <c r="F1356" s="28" t="s">
        <v>3200</v>
      </c>
      <c r="G1356" s="29">
        <v>45240.0</v>
      </c>
      <c r="H1356" s="30">
        <v>45240.0</v>
      </c>
      <c r="I1356" s="30">
        <v>45605.0</v>
      </c>
      <c r="J1356" s="31">
        <v>0.0</v>
      </c>
      <c r="K1356" s="26" t="s">
        <v>2374</v>
      </c>
      <c r="L1356" s="32" t="s">
        <v>75</v>
      </c>
      <c r="M1356" s="33">
        <f>2112.5*30.98</f>
        <v>65445.25</v>
      </c>
      <c r="N1356" s="34">
        <v>69250.0</v>
      </c>
      <c r="O1356" s="27" t="s">
        <v>76</v>
      </c>
      <c r="P1356" s="35" t="s">
        <v>77</v>
      </c>
      <c r="Q1356" s="35">
        <v>0.0</v>
      </c>
      <c r="R1356" s="36">
        <v>45240.0</v>
      </c>
      <c r="S1356" s="35" t="s">
        <v>78</v>
      </c>
      <c r="T1356" s="54" t="s">
        <v>79</v>
      </c>
      <c r="U1356" s="37" t="s">
        <v>69</v>
      </c>
      <c r="V1356" s="38"/>
      <c r="W1356" s="38"/>
      <c r="X1356" s="27"/>
      <c r="Y1356" s="39"/>
      <c r="Z1356" s="39"/>
      <c r="AA1356" s="39"/>
      <c r="AB1356" s="27"/>
      <c r="AC1356" s="27">
        <f t="shared" si="1033"/>
        <v>0</v>
      </c>
      <c r="AD1356" s="41">
        <f t="shared" si="1093"/>
        <v>0</v>
      </c>
      <c r="AE1356" s="42"/>
      <c r="AF1356" s="27"/>
      <c r="AG1356" s="43">
        <f>(M1356*25%)-((M1356*25%)*5%)</f>
        <v>15543.24688</v>
      </c>
      <c r="AH1356" s="29" t="s">
        <v>4068</v>
      </c>
      <c r="AI1356" s="29" t="s">
        <v>4388</v>
      </c>
      <c r="AJ1356" s="40">
        <v>0.25</v>
      </c>
      <c r="AK1356" s="29" t="s">
        <v>4068</v>
      </c>
      <c r="AL1356" s="27"/>
      <c r="AM1356" s="44"/>
      <c r="AN1356" s="218" t="s">
        <v>2972</v>
      </c>
      <c r="AO1356" s="149">
        <f>((M1356*25%)-((M1356*25%)*22.5%))*80%</f>
        <v>10144.01375</v>
      </c>
      <c r="AP1356" s="218"/>
      <c r="AQ1356" s="43">
        <f t="shared" si="1089"/>
        <v>0</v>
      </c>
      <c r="AR1356" s="43">
        <f t="shared" si="448"/>
        <v>0</v>
      </c>
      <c r="AS1356" s="43">
        <f t="shared" si="449"/>
        <v>0</v>
      </c>
      <c r="AT1356" s="48">
        <f t="shared" si="753"/>
        <v>0</v>
      </c>
      <c r="AU1356" s="49">
        <f t="shared" si="1088"/>
        <v>-10144.01375</v>
      </c>
      <c r="AV1356" s="48"/>
      <c r="AW1356" s="34">
        <f t="shared" si="1000"/>
        <v>69250</v>
      </c>
      <c r="AX1356" s="50">
        <f t="shared" si="1034"/>
        <v>5399.233125</v>
      </c>
      <c r="AY1356" s="43"/>
      <c r="AZ1356" s="47"/>
      <c r="BA1356" s="48">
        <f t="shared" si="1080"/>
        <v>-20288.0275</v>
      </c>
      <c r="BB1356" s="27"/>
      <c r="BC1356" s="27"/>
      <c r="BD1356" s="51"/>
      <c r="BE1356" s="52"/>
      <c r="BF1356" s="27"/>
      <c r="BG1356" s="53" t="s">
        <v>2495</v>
      </c>
      <c r="BH1356" s="53" t="str">
        <f>'[1]2023'!Q1269</f>
        <v>#REF!</v>
      </c>
      <c r="BI1356" s="27"/>
      <c r="BJ1356" s="27"/>
      <c r="BK1356" s="27" t="s">
        <v>76</v>
      </c>
      <c r="BL1356" s="64" t="s">
        <v>4389</v>
      </c>
    </row>
    <row r="1357" ht="14.25" customHeight="1">
      <c r="A1357" s="26" t="s">
        <v>55</v>
      </c>
      <c r="B1357" s="26" t="s">
        <v>1099</v>
      </c>
      <c r="C1357" s="26" t="s">
        <v>57</v>
      </c>
      <c r="D1357" s="26" t="s">
        <v>81</v>
      </c>
      <c r="E1357" s="27" t="s">
        <v>4390</v>
      </c>
      <c r="F1357" s="26" t="s">
        <v>4391</v>
      </c>
      <c r="G1357" s="29">
        <v>45240.0</v>
      </c>
      <c r="H1357" s="30">
        <v>45240.0</v>
      </c>
      <c r="I1357" s="30">
        <v>45605.0</v>
      </c>
      <c r="J1357" s="31" t="s">
        <v>4392</v>
      </c>
      <c r="K1357" s="26" t="s">
        <v>931</v>
      </c>
      <c r="L1357" s="32" t="s">
        <v>63</v>
      </c>
      <c r="M1357" s="33">
        <v>5319.08</v>
      </c>
      <c r="N1357" s="34">
        <v>5575.14</v>
      </c>
      <c r="O1357" s="27" t="s">
        <v>76</v>
      </c>
      <c r="P1357" s="35" t="s">
        <v>95</v>
      </c>
      <c r="Q1357" s="35">
        <v>0.0</v>
      </c>
      <c r="R1357" s="36">
        <v>45240.0</v>
      </c>
      <c r="S1357" s="35" t="s">
        <v>86</v>
      </c>
      <c r="T1357" s="35">
        <v>0.0</v>
      </c>
      <c r="U1357" s="37" t="s">
        <v>1099</v>
      </c>
      <c r="V1357" s="38"/>
      <c r="W1357" s="78"/>
      <c r="X1357" s="27"/>
      <c r="Y1357" s="39"/>
      <c r="Z1357" s="39"/>
      <c r="AA1357" s="39"/>
      <c r="AB1357" s="27"/>
      <c r="AC1357" s="27">
        <f t="shared" si="1033"/>
        <v>0</v>
      </c>
      <c r="AD1357" s="41">
        <f t="shared" si="1093"/>
        <v>797.862</v>
      </c>
      <c r="AE1357" s="42"/>
      <c r="AF1357" s="27"/>
      <c r="AG1357" s="43">
        <f t="shared" ref="AG1357:AG1358" si="1095">IF(O1357="Paid",IF(A1357="Alwataniya",(M1357*21%)-((M1357*21%)*5%),IF((A1357="GIG"),(M1357*25%)-((M1357*25%)*5%),IF((A1357="Allianz"),(M1357*27%)-((M1357*27%)*5%),0))),0)</f>
        <v>1364.34402</v>
      </c>
      <c r="AH1357" s="29"/>
      <c r="AI1357" s="29"/>
      <c r="AJ1357" s="29"/>
      <c r="AK1357" s="29"/>
      <c r="AL1357" s="27"/>
      <c r="AM1357" s="44"/>
      <c r="AN1357" s="47"/>
      <c r="AO1357" s="46"/>
      <c r="AP1357" s="47"/>
      <c r="AQ1357" s="43">
        <f t="shared" ref="AQ1357:AQ1358" si="1096">IF(U1357="Motor Plus",(M1357*27%),IF(U1357="Motor One",(M1357*22%),(IF(U1357="Golden",(M1357*25%),(IF(U1357="Classic",(M1357*15%),(IF(U1357="Wethaq",(M1357*28%),IF(U1357="Alwataniya",(M1357*21%))*0))))))))</f>
        <v>0</v>
      </c>
      <c r="AR1357" s="43">
        <f t="shared" si="448"/>
        <v>0</v>
      </c>
      <c r="AS1357" s="43">
        <f t="shared" si="449"/>
        <v>0</v>
      </c>
      <c r="AT1357" s="48">
        <f t="shared" si="753"/>
        <v>0</v>
      </c>
      <c r="AU1357" s="49">
        <f t="shared" si="1088"/>
        <v>0</v>
      </c>
      <c r="AV1357" s="48"/>
      <c r="AW1357" s="34">
        <f t="shared" si="1000"/>
        <v>4777.278</v>
      </c>
      <c r="AX1357" s="50">
        <f t="shared" si="1034"/>
        <v>566.48202</v>
      </c>
      <c r="AY1357" s="43"/>
      <c r="AZ1357" s="47"/>
      <c r="BA1357" s="48">
        <f t="shared" si="1080"/>
        <v>0</v>
      </c>
      <c r="BB1357" s="27"/>
      <c r="BC1357" s="27"/>
      <c r="BD1357" s="51"/>
      <c r="BE1357" s="52"/>
      <c r="BF1357" s="27"/>
      <c r="BG1357" s="53" t="s">
        <v>4393</v>
      </c>
      <c r="BH1357" s="53" t="str">
        <f t="shared" ref="BH1357:BH1358" si="1097">'[1]2023'!Q1496</f>
        <v>#REF!</v>
      </c>
      <c r="BI1357" s="27"/>
      <c r="BJ1357" s="27"/>
      <c r="BK1357" s="27" t="s">
        <v>76</v>
      </c>
      <c r="BL1357" s="27"/>
    </row>
    <row r="1358" ht="14.25" customHeight="1">
      <c r="A1358" s="26" t="s">
        <v>55</v>
      </c>
      <c r="B1358" s="26" t="s">
        <v>1099</v>
      </c>
      <c r="C1358" s="26" t="s">
        <v>57</v>
      </c>
      <c r="D1358" s="26" t="s">
        <v>81</v>
      </c>
      <c r="E1358" s="27" t="s">
        <v>4394</v>
      </c>
      <c r="F1358" s="28" t="s">
        <v>4395</v>
      </c>
      <c r="G1358" s="29">
        <v>45240.0</v>
      </c>
      <c r="H1358" s="30">
        <v>45240.0</v>
      </c>
      <c r="I1358" s="30">
        <v>45605.0</v>
      </c>
      <c r="J1358" s="31" t="s">
        <v>4392</v>
      </c>
      <c r="K1358" s="26" t="s">
        <v>931</v>
      </c>
      <c r="L1358" s="32" t="s">
        <v>63</v>
      </c>
      <c r="M1358" s="33">
        <v>6082.4</v>
      </c>
      <c r="N1358" s="34">
        <v>6352.95</v>
      </c>
      <c r="O1358" s="27" t="s">
        <v>76</v>
      </c>
      <c r="P1358" s="35" t="s">
        <v>95</v>
      </c>
      <c r="Q1358" s="35">
        <v>0.0</v>
      </c>
      <c r="R1358" s="36">
        <v>45240.0</v>
      </c>
      <c r="S1358" s="35" t="s">
        <v>86</v>
      </c>
      <c r="T1358" s="35">
        <v>0.0</v>
      </c>
      <c r="U1358" s="37" t="s">
        <v>1099</v>
      </c>
      <c r="V1358" s="38"/>
      <c r="W1358" s="78"/>
      <c r="X1358" s="27"/>
      <c r="Y1358" s="39"/>
      <c r="Z1358" s="39"/>
      <c r="AA1358" s="39"/>
      <c r="AB1358" s="27"/>
      <c r="AC1358" s="27">
        <f t="shared" si="1033"/>
        <v>0</v>
      </c>
      <c r="AD1358" s="41">
        <f t="shared" si="1093"/>
        <v>912.36</v>
      </c>
      <c r="AE1358" s="42"/>
      <c r="AF1358" s="27"/>
      <c r="AG1358" s="43">
        <f t="shared" si="1095"/>
        <v>1560.1356</v>
      </c>
      <c r="AH1358" s="29"/>
      <c r="AI1358" s="29"/>
      <c r="AJ1358" s="29"/>
      <c r="AK1358" s="29"/>
      <c r="AL1358" s="27"/>
      <c r="AM1358" s="44"/>
      <c r="AN1358" s="47"/>
      <c r="AO1358" s="46"/>
      <c r="AP1358" s="47"/>
      <c r="AQ1358" s="43">
        <f t="shared" si="1096"/>
        <v>0</v>
      </c>
      <c r="AR1358" s="43">
        <f t="shared" si="448"/>
        <v>0</v>
      </c>
      <c r="AS1358" s="43">
        <f t="shared" si="449"/>
        <v>0</v>
      </c>
      <c r="AT1358" s="48">
        <f t="shared" si="753"/>
        <v>0</v>
      </c>
      <c r="AU1358" s="49">
        <f t="shared" si="1088"/>
        <v>0</v>
      </c>
      <c r="AV1358" s="48"/>
      <c r="AW1358" s="34">
        <f t="shared" si="1000"/>
        <v>5440.59</v>
      </c>
      <c r="AX1358" s="50">
        <f t="shared" si="1034"/>
        <v>647.7756</v>
      </c>
      <c r="AY1358" s="43"/>
      <c r="AZ1358" s="47"/>
      <c r="BA1358" s="48">
        <f t="shared" si="1080"/>
        <v>0</v>
      </c>
      <c r="BB1358" s="27"/>
      <c r="BC1358" s="27"/>
      <c r="BD1358" s="51"/>
      <c r="BE1358" s="52"/>
      <c r="BF1358" s="27"/>
      <c r="BG1358" s="53" t="s">
        <v>4396</v>
      </c>
      <c r="BH1358" s="53" t="str">
        <f t="shared" si="1097"/>
        <v>#REF!</v>
      </c>
      <c r="BI1358" s="27"/>
      <c r="BJ1358" s="27"/>
      <c r="BK1358" s="27" t="s">
        <v>76</v>
      </c>
      <c r="BL1358" s="27"/>
    </row>
    <row r="1359" ht="14.25" customHeight="1">
      <c r="A1359" s="26" t="s">
        <v>55</v>
      </c>
      <c r="B1359" s="26" t="s">
        <v>56</v>
      </c>
      <c r="C1359" s="26" t="s">
        <v>57</v>
      </c>
      <c r="D1359" s="26" t="s">
        <v>81</v>
      </c>
      <c r="E1359" s="27" t="s">
        <v>4397</v>
      </c>
      <c r="F1359" s="28" t="s">
        <v>4398</v>
      </c>
      <c r="G1359" s="29">
        <v>45240.0</v>
      </c>
      <c r="H1359" s="30">
        <v>45240.0</v>
      </c>
      <c r="I1359" s="30">
        <v>45605.0</v>
      </c>
      <c r="J1359" s="31" t="s">
        <v>4399</v>
      </c>
      <c r="K1359" s="26" t="s">
        <v>2374</v>
      </c>
      <c r="L1359" s="89">
        <v>45239.0</v>
      </c>
      <c r="M1359" s="33">
        <v>22484.8</v>
      </c>
      <c r="N1359" s="34">
        <v>24123.82</v>
      </c>
      <c r="O1359" s="27" t="s">
        <v>76</v>
      </c>
      <c r="P1359" s="35" t="s">
        <v>89</v>
      </c>
      <c r="Q1359" s="35" t="s">
        <v>108</v>
      </c>
      <c r="R1359" s="36">
        <v>45240.0</v>
      </c>
      <c r="S1359" s="35" t="s">
        <v>86</v>
      </c>
      <c r="T1359" s="35">
        <v>0.0</v>
      </c>
      <c r="U1359" s="37" t="s">
        <v>67</v>
      </c>
      <c r="V1359" s="38">
        <v>1150000.0</v>
      </c>
      <c r="W1359" s="78">
        <v>89198.0</v>
      </c>
      <c r="X1359" s="27">
        <v>2022.0</v>
      </c>
      <c r="Y1359" s="79" t="s">
        <v>4371</v>
      </c>
      <c r="Z1359" s="39"/>
      <c r="AA1359" s="39"/>
      <c r="AB1359" s="27"/>
      <c r="AC1359" s="27">
        <f t="shared" si="1033"/>
        <v>0</v>
      </c>
      <c r="AD1359" s="41">
        <f t="shared" si="1093"/>
        <v>3372.72</v>
      </c>
      <c r="AE1359" s="42"/>
      <c r="AF1359" s="188">
        <v>45259.0</v>
      </c>
      <c r="AG1359" s="43">
        <f t="shared" ref="AG1359:AG1360" si="1098">IF(O1359="Paid",IF(A1359="Wethaq",(M1359*28%)-((M1359*28%)*5%),IF((A1359="GIG"),(M1359*25%)-((M1359*25%)*5%),IF((A1359="Allianz"),(M1359*27%)-((M1359*27%)*20%),0))),0)</f>
        <v>4856.7168</v>
      </c>
      <c r="AH1359" s="29"/>
      <c r="AI1359" s="29"/>
      <c r="AJ1359" s="29"/>
      <c r="AK1359" s="75"/>
      <c r="AL1359" s="27"/>
      <c r="AM1359" s="44"/>
      <c r="AN1359" s="47"/>
      <c r="AO1359" s="46"/>
      <c r="AP1359" s="47"/>
      <c r="AQ1359" s="43">
        <f t="shared" ref="AQ1359:AQ1360" si="1099">IF(O1359="Paid",IF(U1359="Motor Plus",(M1359*27%),IF(U1359="Motor One",(M1359*22%),(IF(U1359="Golden",(M1359*25%),(IF(U1359="Classic",(M1359*15%),(IF(U1359="Wethaq",(M1359*28%),IF(U1359="Alwataniya",(M1359*21%))*0)))))))))</f>
        <v>6070.896</v>
      </c>
      <c r="AR1359" s="43">
        <f t="shared" si="448"/>
        <v>303.5448</v>
      </c>
      <c r="AS1359" s="43">
        <f t="shared" si="449"/>
        <v>1062.4068</v>
      </c>
      <c r="AT1359" s="48">
        <f t="shared" si="753"/>
        <v>4704.9444</v>
      </c>
      <c r="AU1359" s="49">
        <f t="shared" si="1088"/>
        <v>4704.9444</v>
      </c>
      <c r="AV1359" s="48"/>
      <c r="AW1359" s="34">
        <f t="shared" si="1000"/>
        <v>20751.1</v>
      </c>
      <c r="AX1359" s="50">
        <f t="shared" si="1034"/>
        <v>421.59</v>
      </c>
      <c r="AY1359" s="43"/>
      <c r="AZ1359" s="47"/>
      <c r="BA1359" s="48">
        <f t="shared" si="1080"/>
        <v>4704.9444</v>
      </c>
      <c r="BB1359" s="27"/>
      <c r="BC1359" s="27"/>
      <c r="BD1359" s="51"/>
      <c r="BE1359" s="52"/>
      <c r="BF1359" s="27"/>
      <c r="BG1359" s="53">
        <v>0.0</v>
      </c>
      <c r="BH1359" s="53" t="str">
        <f>'[1]2023'!Q1574</f>
        <v>#REF!</v>
      </c>
      <c r="BI1359" s="27"/>
      <c r="BJ1359" s="27"/>
      <c r="BK1359" s="27" t="s">
        <v>76</v>
      </c>
      <c r="BL1359" s="27"/>
    </row>
    <row r="1360" ht="14.25" customHeight="1">
      <c r="A1360" s="26" t="s">
        <v>55</v>
      </c>
      <c r="B1360" s="26" t="s">
        <v>56</v>
      </c>
      <c r="C1360" s="26" t="s">
        <v>57</v>
      </c>
      <c r="D1360" s="26" t="s">
        <v>81</v>
      </c>
      <c r="E1360" s="27" t="s">
        <v>4400</v>
      </c>
      <c r="F1360" s="28" t="s">
        <v>4401</v>
      </c>
      <c r="G1360" s="29">
        <v>45240.0</v>
      </c>
      <c r="H1360" s="30">
        <v>45240.0</v>
      </c>
      <c r="I1360" s="30">
        <v>45605.0</v>
      </c>
      <c r="J1360" s="31" t="s">
        <v>4402</v>
      </c>
      <c r="K1360" s="26" t="s">
        <v>2374</v>
      </c>
      <c r="L1360" s="89">
        <v>45268.0</v>
      </c>
      <c r="M1360" s="33">
        <v>35532.0</v>
      </c>
      <c r="N1360" s="34">
        <v>38006.04</v>
      </c>
      <c r="O1360" s="27" t="s">
        <v>76</v>
      </c>
      <c r="P1360" s="35" t="s">
        <v>89</v>
      </c>
      <c r="Q1360" s="35" t="s">
        <v>65</v>
      </c>
      <c r="R1360" s="36">
        <v>45240.0</v>
      </c>
      <c r="S1360" s="35" t="s">
        <v>86</v>
      </c>
      <c r="T1360" s="35">
        <v>0.0</v>
      </c>
      <c r="U1360" s="37" t="s">
        <v>67</v>
      </c>
      <c r="V1360" s="38"/>
      <c r="W1360" s="78"/>
      <c r="X1360" s="27"/>
      <c r="Y1360" s="39"/>
      <c r="Z1360" s="39"/>
      <c r="AA1360" s="39"/>
      <c r="AB1360" s="27"/>
      <c r="AC1360" s="27">
        <f t="shared" si="1033"/>
        <v>0</v>
      </c>
      <c r="AD1360" s="41">
        <f t="shared" si="1093"/>
        <v>5329.8</v>
      </c>
      <c r="AE1360" s="42"/>
      <c r="AF1360" s="27"/>
      <c r="AG1360" s="43">
        <f t="shared" si="1098"/>
        <v>7674.912</v>
      </c>
      <c r="AH1360" s="29"/>
      <c r="AI1360" s="29"/>
      <c r="AJ1360" s="29"/>
      <c r="AK1360" s="29"/>
      <c r="AL1360" s="27"/>
      <c r="AM1360" s="44"/>
      <c r="AN1360" s="47"/>
      <c r="AO1360" s="46"/>
      <c r="AP1360" s="47"/>
      <c r="AQ1360" s="43">
        <f t="shared" si="1099"/>
        <v>9593.64</v>
      </c>
      <c r="AR1360" s="43">
        <f t="shared" si="448"/>
        <v>479.682</v>
      </c>
      <c r="AS1360" s="43">
        <f t="shared" si="449"/>
        <v>1678.887</v>
      </c>
      <c r="AT1360" s="48">
        <f t="shared" si="753"/>
        <v>7435.071</v>
      </c>
      <c r="AU1360" s="49">
        <f t="shared" si="1088"/>
        <v>7435.071</v>
      </c>
      <c r="AV1360" s="48"/>
      <c r="AW1360" s="34">
        <f t="shared" si="1000"/>
        <v>32676.24</v>
      </c>
      <c r="AX1360" s="50">
        <f t="shared" si="1034"/>
        <v>666.225</v>
      </c>
      <c r="AY1360" s="43"/>
      <c r="AZ1360" s="47"/>
      <c r="BA1360" s="48">
        <f t="shared" si="1080"/>
        <v>7435.071</v>
      </c>
      <c r="BB1360" s="27"/>
      <c r="BC1360" s="27"/>
      <c r="BD1360" s="51"/>
      <c r="BE1360" s="52"/>
      <c r="BF1360" s="27"/>
      <c r="BG1360" s="53">
        <v>0.0</v>
      </c>
      <c r="BH1360" s="53" t="str">
        <f>'[1]2023'!Q1628</f>
        <v>#REF!</v>
      </c>
      <c r="BI1360" s="27"/>
      <c r="BJ1360" s="27"/>
      <c r="BK1360" s="27" t="s">
        <v>1102</v>
      </c>
      <c r="BL1360" s="27"/>
    </row>
    <row r="1361" ht="14.25" customHeight="1">
      <c r="A1361" s="26" t="s">
        <v>68</v>
      </c>
      <c r="B1361" s="26" t="s">
        <v>56</v>
      </c>
      <c r="C1361" s="26" t="s">
        <v>57</v>
      </c>
      <c r="D1361" s="26" t="s">
        <v>71</v>
      </c>
      <c r="E1361" s="27" t="s">
        <v>4403</v>
      </c>
      <c r="F1361" s="28" t="s">
        <v>4404</v>
      </c>
      <c r="G1361" s="29">
        <v>45240.0</v>
      </c>
      <c r="H1361" s="30">
        <v>45240.0</v>
      </c>
      <c r="I1361" s="30">
        <v>45605.0</v>
      </c>
      <c r="J1361" s="31" t="s">
        <v>4405</v>
      </c>
      <c r="K1361" s="26" t="s">
        <v>2374</v>
      </c>
      <c r="L1361" s="89">
        <v>45250.0</v>
      </c>
      <c r="M1361" s="33">
        <v>10451.96</v>
      </c>
      <c r="N1361" s="85">
        <v>11800.0</v>
      </c>
      <c r="O1361" s="27" t="s">
        <v>76</v>
      </c>
      <c r="P1361" s="35" t="s">
        <v>89</v>
      </c>
      <c r="Q1361" s="35">
        <v>0.0</v>
      </c>
      <c r="R1361" s="36">
        <v>0.0</v>
      </c>
      <c r="S1361" s="35" t="s">
        <v>676</v>
      </c>
      <c r="T1361" s="35">
        <v>0.0</v>
      </c>
      <c r="U1361" s="37" t="s">
        <v>67</v>
      </c>
      <c r="V1361" s="38">
        <v>450000.0</v>
      </c>
      <c r="W1361" s="78">
        <v>71061.0</v>
      </c>
      <c r="X1361" s="27"/>
      <c r="Y1361" s="79" t="s">
        <v>4406</v>
      </c>
      <c r="Z1361" s="39"/>
      <c r="AA1361" s="39"/>
      <c r="AB1361" s="27"/>
      <c r="AC1361" s="77">
        <f>550+80</f>
        <v>630</v>
      </c>
      <c r="AD1361" s="41">
        <f t="shared" si="1093"/>
        <v>0</v>
      </c>
      <c r="AE1361" s="42"/>
      <c r="AF1361" s="27"/>
      <c r="AG1361" s="43">
        <f>IF(O1361="Paid",IF(A1361="Wethaq",(M1361*27.89%)-((M1361*27.89%)*5%),IF((A1361="GIG"),(M1361*25%)-((M1361*25%)*5%),IF((A1361="Allianz"),(M1361*27%)-((M1361*27%)*20%),0))),0)</f>
        <v>2769.299062</v>
      </c>
      <c r="AH1361" s="29"/>
      <c r="AI1361" s="29">
        <v>45284.0</v>
      </c>
      <c r="AJ1361" s="29"/>
      <c r="AK1361" s="75">
        <v>45280.0</v>
      </c>
      <c r="AL1361" s="27"/>
      <c r="AM1361" s="215">
        <f>AU1361*10%</f>
        <v>162.9165024</v>
      </c>
      <c r="AN1361" s="71">
        <v>45654.0</v>
      </c>
      <c r="AO1361" s="46"/>
      <c r="AP1361" s="229"/>
      <c r="AQ1361" s="43">
        <f>M1361*27.89%</f>
        <v>2915.051644</v>
      </c>
      <c r="AR1361" s="43">
        <f t="shared" si="448"/>
        <v>145.7525822</v>
      </c>
      <c r="AS1361" s="43">
        <f t="shared" si="449"/>
        <v>510.1340377</v>
      </c>
      <c r="AT1361" s="48">
        <f t="shared" si="753"/>
        <v>2259.165024</v>
      </c>
      <c r="AU1361" s="49">
        <f t="shared" si="1088"/>
        <v>1629.165024</v>
      </c>
      <c r="AV1361" s="106">
        <f>(AU1361-AM1361)*10%</f>
        <v>146.6248522</v>
      </c>
      <c r="AW1361" s="34">
        <f t="shared" si="1000"/>
        <v>11170</v>
      </c>
      <c r="AX1361" s="50">
        <f t="shared" si="1034"/>
        <v>1949.62367</v>
      </c>
      <c r="AY1361" s="43"/>
      <c r="AZ1361" s="47"/>
      <c r="BA1361" s="48">
        <f t="shared" si="1080"/>
        <v>1466.248522</v>
      </c>
      <c r="BB1361" s="27"/>
      <c r="BC1361" s="27"/>
      <c r="BD1361" s="51"/>
      <c r="BE1361" s="52"/>
      <c r="BF1361" s="27"/>
      <c r="BG1361" s="58" t="s">
        <v>4407</v>
      </c>
      <c r="BH1361" s="53" t="str">
        <f>'[1]2023'!Q1654</f>
        <v>#REF!</v>
      </c>
      <c r="BI1361" s="27"/>
      <c r="BJ1361" s="27"/>
      <c r="BK1361" s="27" t="s">
        <v>76</v>
      </c>
      <c r="BL1361" s="27"/>
    </row>
    <row r="1362" ht="14.25" customHeight="1">
      <c r="A1362" s="26" t="s">
        <v>55</v>
      </c>
      <c r="B1362" s="26" t="s">
        <v>56</v>
      </c>
      <c r="C1362" s="26" t="s">
        <v>57</v>
      </c>
      <c r="D1362" s="26" t="s">
        <v>81</v>
      </c>
      <c r="E1362" s="27" t="s">
        <v>4408</v>
      </c>
      <c r="F1362" s="198" t="s">
        <v>4409</v>
      </c>
      <c r="G1362" s="29">
        <v>45241.0</v>
      </c>
      <c r="H1362" s="30">
        <v>45241.0</v>
      </c>
      <c r="I1362" s="30">
        <v>45606.0</v>
      </c>
      <c r="J1362" s="31" t="s">
        <v>4410</v>
      </c>
      <c r="K1362" s="26" t="s">
        <v>2374</v>
      </c>
      <c r="L1362" s="89">
        <v>45265.0</v>
      </c>
      <c r="M1362" s="33">
        <v>52790.4</v>
      </c>
      <c r="N1362" s="34">
        <v>56368.98</v>
      </c>
      <c r="O1362" s="27" t="s">
        <v>76</v>
      </c>
      <c r="P1362" s="35" t="s">
        <v>89</v>
      </c>
      <c r="Q1362" s="35" t="s">
        <v>65</v>
      </c>
      <c r="R1362" s="36">
        <v>45241.0</v>
      </c>
      <c r="S1362" s="35" t="s">
        <v>86</v>
      </c>
      <c r="T1362" s="35">
        <v>0.0</v>
      </c>
      <c r="U1362" s="37" t="s">
        <v>67</v>
      </c>
      <c r="V1362" s="38"/>
      <c r="W1362" s="78"/>
      <c r="X1362" s="27"/>
      <c r="Y1362" s="39"/>
      <c r="Z1362" s="39"/>
      <c r="AA1362" s="39"/>
      <c r="AB1362" s="27"/>
      <c r="AC1362" s="27">
        <f t="shared" ref="AC1362:AC1393" si="1100">M1362*AB1362</f>
        <v>0</v>
      </c>
      <c r="AD1362" s="41">
        <f t="shared" si="1093"/>
        <v>7918.56</v>
      </c>
      <c r="AE1362" s="42"/>
      <c r="AF1362" s="27"/>
      <c r="AG1362" s="43">
        <f>IF(O1362="Paid",IF(A1362="Wethaq",(M1362*28%)-((M1362*28%)*5%),IF((A1362="GIG"),(M1362*25%)-((M1362*25%)*5%),IF((A1362="Allianz"),(M1362*27%)-((M1362*27%)*20%),0))),0)</f>
        <v>11402.7264</v>
      </c>
      <c r="AH1362" s="29"/>
      <c r="AI1362" s="29"/>
      <c r="AJ1362" s="29"/>
      <c r="AK1362" s="29"/>
      <c r="AL1362" s="27"/>
      <c r="AM1362" s="44"/>
      <c r="AN1362" s="47"/>
      <c r="AO1362" s="46"/>
      <c r="AP1362" s="47"/>
      <c r="AQ1362" s="43">
        <f>IF(O1362="Paid",IF(U1362="Motor Plus",(M1362*27%),IF(U1362="Motor One",(M1362*22%),(IF(U1362="Golden",(M1362*25%),(IF(U1362="Classic",(M1362*15%),(IF(U1362="Wethaq",(M1362*28%),IF(U1362="Alwataniya",(M1362*21%))*0)))))))))</f>
        <v>14253.408</v>
      </c>
      <c r="AR1362" s="43">
        <f t="shared" si="448"/>
        <v>712.6704</v>
      </c>
      <c r="AS1362" s="43">
        <f t="shared" si="449"/>
        <v>2494.3464</v>
      </c>
      <c r="AT1362" s="48">
        <f t="shared" si="753"/>
        <v>11046.3912</v>
      </c>
      <c r="AU1362" s="49">
        <f t="shared" si="1088"/>
        <v>11046.3912</v>
      </c>
      <c r="AV1362" s="48"/>
      <c r="AW1362" s="34">
        <f t="shared" si="1000"/>
        <v>48450.42</v>
      </c>
      <c r="AX1362" s="50">
        <f t="shared" si="1034"/>
        <v>989.82</v>
      </c>
      <c r="AY1362" s="43"/>
      <c r="AZ1362" s="47"/>
      <c r="BA1362" s="48">
        <f t="shared" si="1080"/>
        <v>11046.3912</v>
      </c>
      <c r="BB1362" s="27"/>
      <c r="BC1362" s="27"/>
      <c r="BD1362" s="51"/>
      <c r="BE1362" s="52"/>
      <c r="BF1362" s="27"/>
      <c r="BG1362" s="53">
        <v>0.0</v>
      </c>
      <c r="BH1362" s="53" t="str">
        <f>'[1]2023'!Q1634</f>
        <v>#REF!</v>
      </c>
      <c r="BI1362" s="27"/>
      <c r="BJ1362" s="27"/>
      <c r="BK1362" s="27" t="s">
        <v>76</v>
      </c>
      <c r="BL1362" s="27"/>
    </row>
    <row r="1363" ht="14.25" customHeight="1">
      <c r="A1363" s="26" t="s">
        <v>111</v>
      </c>
      <c r="B1363" s="26" t="s">
        <v>56</v>
      </c>
      <c r="C1363" s="26" t="s">
        <v>57</v>
      </c>
      <c r="D1363" s="26" t="s">
        <v>71</v>
      </c>
      <c r="E1363" s="27" t="s">
        <v>4411</v>
      </c>
      <c r="F1363" s="28" t="s">
        <v>4412</v>
      </c>
      <c r="G1363" s="29">
        <v>45242.0</v>
      </c>
      <c r="H1363" s="30">
        <v>45242.0</v>
      </c>
      <c r="I1363" s="30">
        <v>45607.0</v>
      </c>
      <c r="J1363" s="31" t="s">
        <v>4413</v>
      </c>
      <c r="K1363" s="26" t="s">
        <v>2374</v>
      </c>
      <c r="L1363" s="89">
        <v>45253.0</v>
      </c>
      <c r="M1363" s="33">
        <v>18575.38</v>
      </c>
      <c r="N1363" s="34">
        <v>20020.0</v>
      </c>
      <c r="O1363" s="27" t="s">
        <v>76</v>
      </c>
      <c r="P1363" s="35" t="s">
        <v>142</v>
      </c>
      <c r="Q1363" s="35" t="s">
        <v>108</v>
      </c>
      <c r="R1363" s="36">
        <v>45252.0</v>
      </c>
      <c r="S1363" s="35" t="s">
        <v>86</v>
      </c>
      <c r="T1363" s="35" t="s">
        <v>86</v>
      </c>
      <c r="U1363" s="37" t="s">
        <v>115</v>
      </c>
      <c r="V1363" s="38">
        <v>770000.0</v>
      </c>
      <c r="W1363" s="78">
        <v>952281.0</v>
      </c>
      <c r="X1363" s="27"/>
      <c r="Y1363" s="79" t="s">
        <v>1582</v>
      </c>
      <c r="Z1363" s="39"/>
      <c r="AA1363" s="39"/>
      <c r="AB1363" s="27"/>
      <c r="AC1363" s="27">
        <f t="shared" si="1100"/>
        <v>0</v>
      </c>
      <c r="AD1363" s="41">
        <f t="shared" si="1093"/>
        <v>2786.307</v>
      </c>
      <c r="AE1363" s="42">
        <v>400.0</v>
      </c>
      <c r="AF1363" s="27" t="s">
        <v>4414</v>
      </c>
      <c r="AG1363" s="43">
        <f>IF(O1363="Paid",IF(A1363="Wethaq",(M1363*28%)-((M1363*28%)*5%),IF((A1363="GIG"),(M1363*22%)-((M1363*22%)*5%),IF((A1363="Allianz"),(M1363*27%)-((M1363*27%)*20%),0))),0)</f>
        <v>3882.25442</v>
      </c>
      <c r="AH1363" s="29">
        <v>45211.0</v>
      </c>
      <c r="AI1363" s="29" t="s">
        <v>1181</v>
      </c>
      <c r="AJ1363" s="145">
        <v>0.22</v>
      </c>
      <c r="AK1363" s="182">
        <v>45278.0</v>
      </c>
      <c r="AL1363" s="85"/>
      <c r="AM1363" s="70"/>
      <c r="AN1363" s="127"/>
      <c r="AO1363" s="46"/>
      <c r="AP1363" s="229"/>
      <c r="AQ1363" s="84">
        <f>M1363*22%</f>
        <v>4086.5836</v>
      </c>
      <c r="AR1363" s="43">
        <f t="shared" si="448"/>
        <v>204.32918</v>
      </c>
      <c r="AS1363" s="43">
        <f t="shared" si="449"/>
        <v>715.15213</v>
      </c>
      <c r="AT1363" s="48">
        <f t="shared" si="753"/>
        <v>3167.10229</v>
      </c>
      <c r="AU1363" s="49">
        <f t="shared" si="1088"/>
        <v>3167.10229</v>
      </c>
      <c r="AV1363" s="48"/>
      <c r="AW1363" s="85">
        <f t="shared" si="1000"/>
        <v>16833.693</v>
      </c>
      <c r="AX1363" s="50">
        <f t="shared" si="1034"/>
        <v>-19.20471</v>
      </c>
      <c r="AY1363" s="43"/>
      <c r="AZ1363" s="47"/>
      <c r="BA1363" s="48">
        <f t="shared" si="1080"/>
        <v>3167.10229</v>
      </c>
      <c r="BB1363" s="27"/>
      <c r="BC1363" s="27"/>
      <c r="BD1363" s="51"/>
      <c r="BE1363" s="52"/>
      <c r="BF1363" s="27"/>
      <c r="BG1363" s="58" t="s">
        <v>4415</v>
      </c>
      <c r="BH1363" s="53" t="str">
        <f>'[1]2023'!Q1577</f>
        <v>#REF!</v>
      </c>
      <c r="BI1363" s="27"/>
      <c r="BJ1363" s="27"/>
      <c r="BK1363" s="27" t="s">
        <v>76</v>
      </c>
      <c r="BL1363" s="27"/>
    </row>
    <row r="1364" ht="14.25" customHeight="1">
      <c r="A1364" s="26" t="s">
        <v>111</v>
      </c>
      <c r="B1364" s="26" t="s">
        <v>56</v>
      </c>
      <c r="C1364" s="26" t="s">
        <v>57</v>
      </c>
      <c r="D1364" s="26" t="s">
        <v>71</v>
      </c>
      <c r="E1364" s="27" t="s">
        <v>4416</v>
      </c>
      <c r="F1364" s="28" t="s">
        <v>4417</v>
      </c>
      <c r="G1364" s="29">
        <v>45242.0</v>
      </c>
      <c r="H1364" s="30">
        <v>45242.0</v>
      </c>
      <c r="I1364" s="30">
        <v>45607.0</v>
      </c>
      <c r="J1364" s="31" t="s">
        <v>4418</v>
      </c>
      <c r="K1364" s="26" t="s">
        <v>2374</v>
      </c>
      <c r="L1364" s="89">
        <v>45242.0</v>
      </c>
      <c r="M1364" s="33">
        <v>31526.5</v>
      </c>
      <c r="N1364" s="34">
        <v>33800.0</v>
      </c>
      <c r="O1364" s="27" t="s">
        <v>76</v>
      </c>
      <c r="P1364" s="35" t="s">
        <v>430</v>
      </c>
      <c r="Q1364" s="35" t="s">
        <v>65</v>
      </c>
      <c r="R1364" s="36" t="e">
        <v>#VALUE!</v>
      </c>
      <c r="S1364" s="35" t="s">
        <v>66</v>
      </c>
      <c r="T1364" s="35" t="s">
        <v>86</v>
      </c>
      <c r="U1364" s="37" t="s">
        <v>115</v>
      </c>
      <c r="V1364" s="38">
        <v>1300000.0</v>
      </c>
      <c r="W1364" s="78">
        <v>6504207.0</v>
      </c>
      <c r="X1364" s="27"/>
      <c r="Y1364" s="79" t="s">
        <v>4419</v>
      </c>
      <c r="Z1364" s="39"/>
      <c r="AA1364" s="39"/>
      <c r="AB1364" s="27"/>
      <c r="AC1364" s="27">
        <f t="shared" si="1100"/>
        <v>0</v>
      </c>
      <c r="AD1364" s="41">
        <f t="shared" si="1093"/>
        <v>0</v>
      </c>
      <c r="AE1364" s="42"/>
      <c r="AF1364" s="27"/>
      <c r="AG1364" s="43">
        <f>IF(O1364="Paid",IF(A1364="Wethaq",(M1364*28%)-((M1364*28%)*5%),IF((A1364="GIG"),(M1364*25%)-((M1364*25%)*5%),IF((A1364="Allianz"),(M1364*27%)-((M1364*27%)*5%),0))),0)</f>
        <v>7487.54375</v>
      </c>
      <c r="AH1364" s="29" t="s">
        <v>4068</v>
      </c>
      <c r="AI1364" s="29" t="s">
        <v>3050</v>
      </c>
      <c r="AJ1364" s="29"/>
      <c r="AK1364" s="29" t="s">
        <v>2982</v>
      </c>
      <c r="AL1364" s="27"/>
      <c r="AM1364" s="140">
        <f>AU1364*30%</f>
        <v>1832.477813</v>
      </c>
      <c r="AN1364" s="71">
        <v>45654.0</v>
      </c>
      <c r="AO1364" s="46"/>
      <c r="AP1364" s="47"/>
      <c r="AQ1364" s="43">
        <f t="shared" ref="AQ1364:AQ1369" si="1101">IF(O1364="Paid",IF(U1364="Motor Plus",(M1364*27%),IF(U1364="Motor One",(M1364*22%),(IF(U1364="Golden",(M1364*25%),(IF(U1364="Classic",(M1364*15%),(IF(U1364="Wethaq",(M1364*28%),IF(U1364="Alwataniya",(M1364*21%))*0)))))))))</f>
        <v>7881.625</v>
      </c>
      <c r="AR1364" s="43">
        <f t="shared" si="448"/>
        <v>394.08125</v>
      </c>
      <c r="AS1364" s="43">
        <f t="shared" si="449"/>
        <v>1379.284375</v>
      </c>
      <c r="AT1364" s="48">
        <f t="shared" si="753"/>
        <v>6108.259375</v>
      </c>
      <c r="AU1364" s="49">
        <f t="shared" si="1088"/>
        <v>6108.259375</v>
      </c>
      <c r="AV1364" s="48"/>
      <c r="AW1364" s="34">
        <f t="shared" si="1000"/>
        <v>33800</v>
      </c>
      <c r="AX1364" s="50">
        <f t="shared" si="1034"/>
        <v>4275.781563</v>
      </c>
      <c r="AY1364" s="43"/>
      <c r="AZ1364" s="47"/>
      <c r="BA1364" s="48">
        <f t="shared" si="1080"/>
        <v>4275.781563</v>
      </c>
      <c r="BB1364" s="27"/>
      <c r="BC1364" s="27"/>
      <c r="BD1364" s="51"/>
      <c r="BE1364" s="52"/>
      <c r="BF1364" s="27"/>
      <c r="BG1364" s="53">
        <v>0.0</v>
      </c>
      <c r="BH1364" s="53" t="str">
        <f t="shared" ref="BH1364:BH1365" si="1102">'[1]2023'!Q1582</f>
        <v>#REF!</v>
      </c>
      <c r="BI1364" s="27"/>
      <c r="BJ1364" s="27"/>
      <c r="BK1364" s="27" t="s">
        <v>76</v>
      </c>
      <c r="BL1364" s="27"/>
    </row>
    <row r="1365" ht="14.25" customHeight="1">
      <c r="A1365" s="26" t="s">
        <v>55</v>
      </c>
      <c r="B1365" s="26" t="s">
        <v>56</v>
      </c>
      <c r="C1365" s="26" t="s">
        <v>57</v>
      </c>
      <c r="D1365" s="26" t="s">
        <v>71</v>
      </c>
      <c r="E1365" s="27" t="s">
        <v>4420</v>
      </c>
      <c r="F1365" s="28" t="s">
        <v>4421</v>
      </c>
      <c r="G1365" s="29">
        <v>45242.0</v>
      </c>
      <c r="H1365" s="30">
        <v>45242.0</v>
      </c>
      <c r="I1365" s="30">
        <v>45607.0</v>
      </c>
      <c r="J1365" s="31" t="s">
        <v>4422</v>
      </c>
      <c r="K1365" s="26" t="s">
        <v>2374</v>
      </c>
      <c r="L1365" s="89">
        <v>45260.0</v>
      </c>
      <c r="M1365" s="34">
        <v>38859.6</v>
      </c>
      <c r="N1365" s="33">
        <v>41546.62</v>
      </c>
      <c r="O1365" s="27" t="s">
        <v>76</v>
      </c>
      <c r="P1365" s="35" t="s">
        <v>142</v>
      </c>
      <c r="Q1365" s="35" t="s">
        <v>108</v>
      </c>
      <c r="R1365" s="36">
        <v>45242.0</v>
      </c>
      <c r="S1365" s="35" t="s">
        <v>86</v>
      </c>
      <c r="T1365" s="35">
        <v>0.0</v>
      </c>
      <c r="U1365" s="37" t="s">
        <v>67</v>
      </c>
      <c r="V1365" s="38">
        <v>1590000.0</v>
      </c>
      <c r="W1365" s="78">
        <v>163291.0</v>
      </c>
      <c r="X1365" s="27">
        <v>2024.0</v>
      </c>
      <c r="Y1365" s="79" t="s">
        <v>4371</v>
      </c>
      <c r="Z1365" s="39"/>
      <c r="AA1365" s="39"/>
      <c r="AB1365" s="27"/>
      <c r="AC1365" s="27">
        <f t="shared" si="1100"/>
        <v>0</v>
      </c>
      <c r="AD1365" s="41">
        <f t="shared" si="1093"/>
        <v>5828.94</v>
      </c>
      <c r="AE1365" s="42">
        <v>750.0</v>
      </c>
      <c r="AF1365" s="188">
        <v>45259.0</v>
      </c>
      <c r="AG1365" s="43">
        <f t="shared" ref="AG1365:AG1369" si="1103">IF(O1365="Paid",IF(A1365="Wethaq",(M1365*28%)-((M1365*28%)*5%),IF((A1365="GIG"),(M1365*25%)-((M1365*25%)*5%),IF((A1365="Allianz"),(M1365*27%)-((M1365*27%)*20%),0))),0)</f>
        <v>8393.6736</v>
      </c>
      <c r="AH1365" s="29"/>
      <c r="AI1365" s="29"/>
      <c r="AJ1365" s="29"/>
      <c r="AK1365" s="29"/>
      <c r="AL1365" s="77"/>
      <c r="AM1365" s="44"/>
      <c r="AN1365" s="47"/>
      <c r="AO1365" s="46"/>
      <c r="AP1365" s="47"/>
      <c r="AQ1365" s="43">
        <f t="shared" si="1101"/>
        <v>10492.092</v>
      </c>
      <c r="AR1365" s="43">
        <f t="shared" si="448"/>
        <v>524.6046</v>
      </c>
      <c r="AS1365" s="43">
        <f t="shared" si="449"/>
        <v>1836.1161</v>
      </c>
      <c r="AT1365" s="48">
        <f t="shared" si="753"/>
        <v>8131.3713</v>
      </c>
      <c r="AU1365" s="49">
        <f t="shared" si="1088"/>
        <v>8131.3713</v>
      </c>
      <c r="AV1365" s="48"/>
      <c r="AW1365" s="34">
        <f t="shared" si="1000"/>
        <v>34967.68</v>
      </c>
      <c r="AX1365" s="50">
        <f t="shared" si="1034"/>
        <v>-21.3825</v>
      </c>
      <c r="AY1365" s="43"/>
      <c r="AZ1365" s="47"/>
      <c r="BA1365" s="48">
        <f t="shared" si="1080"/>
        <v>8131.3713</v>
      </c>
      <c r="BB1365" s="27"/>
      <c r="BC1365" s="27"/>
      <c r="BD1365" s="51"/>
      <c r="BE1365" s="52"/>
      <c r="BF1365" s="27"/>
      <c r="BG1365" s="53">
        <v>0.0</v>
      </c>
      <c r="BH1365" s="53" t="str">
        <f t="shared" si="1102"/>
        <v>#REF!</v>
      </c>
      <c r="BI1365" s="27"/>
      <c r="BJ1365" s="27"/>
      <c r="BK1365" s="27" t="s">
        <v>76</v>
      </c>
      <c r="BL1365" s="27"/>
    </row>
    <row r="1366" ht="14.25" customHeight="1">
      <c r="A1366" s="26" t="s">
        <v>55</v>
      </c>
      <c r="B1366" s="26" t="s">
        <v>56</v>
      </c>
      <c r="C1366" s="26" t="s">
        <v>57</v>
      </c>
      <c r="D1366" s="26" t="s">
        <v>81</v>
      </c>
      <c r="E1366" s="27" t="s">
        <v>4423</v>
      </c>
      <c r="F1366" s="28" t="s">
        <v>4424</v>
      </c>
      <c r="G1366" s="29">
        <v>45242.0</v>
      </c>
      <c r="H1366" s="30">
        <v>45242.0</v>
      </c>
      <c r="I1366" s="30">
        <v>45607.0</v>
      </c>
      <c r="J1366" s="31" t="s">
        <v>4425</v>
      </c>
      <c r="K1366" s="26" t="s">
        <v>2374</v>
      </c>
      <c r="L1366" s="89">
        <v>45243.0</v>
      </c>
      <c r="M1366" s="33">
        <v>22830.72</v>
      </c>
      <c r="N1366" s="34">
        <v>24491.88</v>
      </c>
      <c r="O1366" s="27" t="s">
        <v>76</v>
      </c>
      <c r="P1366" s="35" t="s">
        <v>430</v>
      </c>
      <c r="Q1366" s="35" t="s">
        <v>90</v>
      </c>
      <c r="R1366" s="36">
        <v>45242.0</v>
      </c>
      <c r="S1366" s="35" t="s">
        <v>86</v>
      </c>
      <c r="T1366" s="35">
        <v>0.0</v>
      </c>
      <c r="U1366" s="37" t="s">
        <v>67</v>
      </c>
      <c r="V1366" s="38">
        <v>1012000.0</v>
      </c>
      <c r="W1366" s="78">
        <v>519107.0</v>
      </c>
      <c r="X1366" s="27">
        <v>2022.0</v>
      </c>
      <c r="Y1366" s="79" t="s">
        <v>232</v>
      </c>
      <c r="Z1366" s="39"/>
      <c r="AA1366" s="39"/>
      <c r="AB1366" s="27"/>
      <c r="AC1366" s="27">
        <f t="shared" si="1100"/>
        <v>0</v>
      </c>
      <c r="AD1366" s="41">
        <f t="shared" si="1093"/>
        <v>3424.608</v>
      </c>
      <c r="AE1366" s="42"/>
      <c r="AF1366" s="27"/>
      <c r="AG1366" s="43">
        <f t="shared" si="1103"/>
        <v>4931.43552</v>
      </c>
      <c r="AH1366" s="29"/>
      <c r="AI1366" s="29"/>
      <c r="AJ1366" s="29"/>
      <c r="AK1366" s="29"/>
      <c r="AL1366" s="27"/>
      <c r="AM1366" s="44"/>
      <c r="AN1366" s="47"/>
      <c r="AO1366" s="46"/>
      <c r="AP1366" s="47"/>
      <c r="AQ1366" s="43">
        <f t="shared" si="1101"/>
        <v>6164.2944</v>
      </c>
      <c r="AR1366" s="43">
        <f t="shared" si="448"/>
        <v>308.21472</v>
      </c>
      <c r="AS1366" s="43">
        <f t="shared" si="449"/>
        <v>1078.75152</v>
      </c>
      <c r="AT1366" s="48">
        <f t="shared" si="753"/>
        <v>4777.32816</v>
      </c>
      <c r="AU1366" s="49">
        <f t="shared" si="1088"/>
        <v>4777.32816</v>
      </c>
      <c r="AV1366" s="48"/>
      <c r="AW1366" s="34">
        <f t="shared" si="1000"/>
        <v>21067.272</v>
      </c>
      <c r="AX1366" s="50">
        <f t="shared" si="1034"/>
        <v>428.076</v>
      </c>
      <c r="AY1366" s="43"/>
      <c r="AZ1366" s="47"/>
      <c r="BA1366" s="48">
        <f t="shared" si="1080"/>
        <v>4777.32816</v>
      </c>
      <c r="BB1366" s="27"/>
      <c r="BC1366" s="27"/>
      <c r="BD1366" s="51"/>
      <c r="BE1366" s="52"/>
      <c r="BF1366" s="27"/>
      <c r="BG1366" s="53">
        <v>0.0</v>
      </c>
      <c r="BH1366" s="53" t="str">
        <f>'[1]2023'!Q1590</f>
        <v>#REF!</v>
      </c>
      <c r="BI1366" s="27"/>
      <c r="BJ1366" s="27"/>
      <c r="BK1366" s="27" t="s">
        <v>76</v>
      </c>
      <c r="BL1366" s="27"/>
    </row>
    <row r="1367" ht="14.25" customHeight="1">
      <c r="A1367" s="26" t="s">
        <v>55</v>
      </c>
      <c r="B1367" s="26" t="s">
        <v>56</v>
      </c>
      <c r="C1367" s="26" t="s">
        <v>57</v>
      </c>
      <c r="D1367" s="26" t="s">
        <v>81</v>
      </c>
      <c r="E1367" s="27" t="s">
        <v>4426</v>
      </c>
      <c r="F1367" s="28" t="s">
        <v>4427</v>
      </c>
      <c r="G1367" s="29">
        <v>45242.0</v>
      </c>
      <c r="H1367" s="30">
        <v>45242.0</v>
      </c>
      <c r="I1367" s="30">
        <v>45607.0</v>
      </c>
      <c r="J1367" s="31" t="s">
        <v>4428</v>
      </c>
      <c r="K1367" s="26" t="s">
        <v>2374</v>
      </c>
      <c r="L1367" s="89">
        <v>45245.0</v>
      </c>
      <c r="M1367" s="33">
        <v>21996.0</v>
      </c>
      <c r="N1367" s="34">
        <v>23603.75</v>
      </c>
      <c r="O1367" s="27" t="s">
        <v>76</v>
      </c>
      <c r="P1367" s="35" t="s">
        <v>430</v>
      </c>
      <c r="Q1367" s="35" t="s">
        <v>90</v>
      </c>
      <c r="R1367" s="36">
        <v>45242.0</v>
      </c>
      <c r="S1367" s="35" t="s">
        <v>86</v>
      </c>
      <c r="T1367" s="35">
        <v>0.0</v>
      </c>
      <c r="U1367" s="37" t="s">
        <v>67</v>
      </c>
      <c r="V1367" s="38">
        <v>1300000.0</v>
      </c>
      <c r="W1367" s="78">
        <v>27886.0</v>
      </c>
      <c r="X1367" s="27">
        <v>2019.0</v>
      </c>
      <c r="Y1367" s="79" t="s">
        <v>208</v>
      </c>
      <c r="Z1367" s="39"/>
      <c r="AA1367" s="39"/>
      <c r="AB1367" s="27"/>
      <c r="AC1367" s="27">
        <f t="shared" si="1100"/>
        <v>0</v>
      </c>
      <c r="AD1367" s="41">
        <f t="shared" si="1093"/>
        <v>3299.4</v>
      </c>
      <c r="AE1367" s="42"/>
      <c r="AF1367" s="27"/>
      <c r="AG1367" s="43">
        <f t="shared" si="1103"/>
        <v>4751.136</v>
      </c>
      <c r="AH1367" s="29"/>
      <c r="AI1367" s="29"/>
      <c r="AJ1367" s="29"/>
      <c r="AK1367" s="29"/>
      <c r="AL1367" s="27"/>
      <c r="AM1367" s="44"/>
      <c r="AN1367" s="47"/>
      <c r="AO1367" s="46"/>
      <c r="AP1367" s="47"/>
      <c r="AQ1367" s="43">
        <f t="shared" si="1101"/>
        <v>5938.92</v>
      </c>
      <c r="AR1367" s="43">
        <f t="shared" si="448"/>
        <v>296.946</v>
      </c>
      <c r="AS1367" s="43">
        <f t="shared" si="449"/>
        <v>1039.311</v>
      </c>
      <c r="AT1367" s="48">
        <f t="shared" si="753"/>
        <v>4602.663</v>
      </c>
      <c r="AU1367" s="49">
        <f t="shared" si="1088"/>
        <v>4602.663</v>
      </c>
      <c r="AV1367" s="48"/>
      <c r="AW1367" s="34">
        <f t="shared" si="1000"/>
        <v>20304.35</v>
      </c>
      <c r="AX1367" s="50">
        <f t="shared" si="1034"/>
        <v>412.425</v>
      </c>
      <c r="AY1367" s="43"/>
      <c r="AZ1367" s="47"/>
      <c r="BA1367" s="48">
        <f t="shared" si="1080"/>
        <v>4602.663</v>
      </c>
      <c r="BB1367" s="27"/>
      <c r="BC1367" s="27"/>
      <c r="BD1367" s="51"/>
      <c r="BE1367" s="52"/>
      <c r="BF1367" s="27"/>
      <c r="BG1367" s="53">
        <v>0.0</v>
      </c>
      <c r="BH1367" s="53" t="str">
        <f>'[1]2023'!Q1595</f>
        <v>#REF!</v>
      </c>
      <c r="BI1367" s="27"/>
      <c r="BJ1367" s="27"/>
      <c r="BK1367" s="27" t="s">
        <v>76</v>
      </c>
      <c r="BL1367" s="27"/>
    </row>
    <row r="1368" ht="14.25" customHeight="1">
      <c r="A1368" s="26" t="s">
        <v>55</v>
      </c>
      <c r="B1368" s="26" t="s">
        <v>56</v>
      </c>
      <c r="C1368" s="26" t="s">
        <v>57</v>
      </c>
      <c r="D1368" s="26" t="s">
        <v>81</v>
      </c>
      <c r="E1368" s="27" t="s">
        <v>4429</v>
      </c>
      <c r="F1368" s="28" t="s">
        <v>4430</v>
      </c>
      <c r="G1368" s="29">
        <v>45242.0</v>
      </c>
      <c r="H1368" s="30">
        <v>45242.0</v>
      </c>
      <c r="I1368" s="30">
        <v>45607.0</v>
      </c>
      <c r="J1368" s="31" t="s">
        <v>4431</v>
      </c>
      <c r="K1368" s="26" t="s">
        <v>2374</v>
      </c>
      <c r="L1368" s="89">
        <v>45251.0</v>
      </c>
      <c r="M1368" s="33">
        <v>24703.95</v>
      </c>
      <c r="N1368" s="34">
        <v>26485.0</v>
      </c>
      <c r="O1368" s="27" t="s">
        <v>76</v>
      </c>
      <c r="P1368" s="35" t="s">
        <v>122</v>
      </c>
      <c r="Q1368" s="35">
        <v>0.0</v>
      </c>
      <c r="R1368" s="36">
        <v>45242.0</v>
      </c>
      <c r="S1368" s="35" t="s">
        <v>86</v>
      </c>
      <c r="T1368" s="35">
        <v>0.0</v>
      </c>
      <c r="U1368" s="37" t="s">
        <v>67</v>
      </c>
      <c r="V1368" s="38">
        <v>1330000.0</v>
      </c>
      <c r="W1368" s="78">
        <v>280075.0</v>
      </c>
      <c r="X1368" s="27">
        <v>2015.0</v>
      </c>
      <c r="Y1368" s="79" t="s">
        <v>4432</v>
      </c>
      <c r="Z1368" s="39"/>
      <c r="AA1368" s="39"/>
      <c r="AB1368" s="27"/>
      <c r="AC1368" s="27">
        <f t="shared" si="1100"/>
        <v>0</v>
      </c>
      <c r="AD1368" s="41">
        <f t="shared" si="1093"/>
        <v>3705.5925</v>
      </c>
      <c r="AE1368" s="42"/>
      <c r="AF1368" s="27"/>
      <c r="AG1368" s="43">
        <f t="shared" si="1103"/>
        <v>5336.0532</v>
      </c>
      <c r="AH1368" s="29"/>
      <c r="AI1368" s="29"/>
      <c r="AJ1368" s="29"/>
      <c r="AK1368" s="29"/>
      <c r="AL1368" s="27"/>
      <c r="AM1368" s="44"/>
      <c r="AN1368" s="47"/>
      <c r="AO1368" s="46"/>
      <c r="AP1368" s="47"/>
      <c r="AQ1368" s="43">
        <f t="shared" si="1101"/>
        <v>6670.0665</v>
      </c>
      <c r="AR1368" s="43">
        <f t="shared" si="448"/>
        <v>333.503325</v>
      </c>
      <c r="AS1368" s="43">
        <f t="shared" si="449"/>
        <v>1167.261638</v>
      </c>
      <c r="AT1368" s="48">
        <f t="shared" si="753"/>
        <v>5169.301538</v>
      </c>
      <c r="AU1368" s="49">
        <f t="shared" si="1088"/>
        <v>5169.301538</v>
      </c>
      <c r="AV1368" s="48"/>
      <c r="AW1368" s="34">
        <f t="shared" si="1000"/>
        <v>22779.4075</v>
      </c>
      <c r="AX1368" s="50">
        <f t="shared" si="1034"/>
        <v>463.1990625</v>
      </c>
      <c r="AY1368" s="43"/>
      <c r="AZ1368" s="47"/>
      <c r="BA1368" s="48">
        <f t="shared" si="1080"/>
        <v>5169.301538</v>
      </c>
      <c r="BB1368" s="27"/>
      <c r="BC1368" s="27"/>
      <c r="BD1368" s="51"/>
      <c r="BE1368" s="52"/>
      <c r="BF1368" s="27"/>
      <c r="BG1368" s="53">
        <v>0.0</v>
      </c>
      <c r="BH1368" s="53" t="str">
        <f>'[1]2023'!Q1624</f>
        <v>#REF!</v>
      </c>
      <c r="BI1368" s="27"/>
      <c r="BJ1368" s="27"/>
      <c r="BK1368" s="27" t="s">
        <v>76</v>
      </c>
      <c r="BL1368" s="27"/>
    </row>
    <row r="1369" ht="14.25" customHeight="1">
      <c r="A1369" s="26" t="s">
        <v>55</v>
      </c>
      <c r="B1369" s="26" t="s">
        <v>56</v>
      </c>
      <c r="C1369" s="26" t="s">
        <v>57</v>
      </c>
      <c r="D1369" s="26" t="s">
        <v>81</v>
      </c>
      <c r="E1369" s="27" t="s">
        <v>4433</v>
      </c>
      <c r="F1369" s="28" t="s">
        <v>4434</v>
      </c>
      <c r="G1369" s="29">
        <v>45242.0</v>
      </c>
      <c r="H1369" s="30">
        <v>45242.0</v>
      </c>
      <c r="I1369" s="30">
        <v>45607.0</v>
      </c>
      <c r="J1369" s="31" t="s">
        <v>4435</v>
      </c>
      <c r="K1369" s="26" t="s">
        <v>2374</v>
      </c>
      <c r="L1369" s="89">
        <v>45258.0</v>
      </c>
      <c r="M1369" s="33">
        <v>19740.0</v>
      </c>
      <c r="N1369" s="34">
        <v>21203.36</v>
      </c>
      <c r="O1369" s="27" t="s">
        <v>76</v>
      </c>
      <c r="P1369" s="35" t="s">
        <v>122</v>
      </c>
      <c r="Q1369" s="35" t="s">
        <v>90</v>
      </c>
      <c r="R1369" s="36">
        <v>45242.0</v>
      </c>
      <c r="S1369" s="35" t="s">
        <v>86</v>
      </c>
      <c r="T1369" s="35">
        <v>0.0</v>
      </c>
      <c r="U1369" s="37" t="s">
        <v>67</v>
      </c>
      <c r="V1369" s="38">
        <v>1000000.0</v>
      </c>
      <c r="W1369" s="78">
        <v>12625.0</v>
      </c>
      <c r="X1369" s="27">
        <v>2021.0</v>
      </c>
      <c r="Y1369" s="79" t="s">
        <v>764</v>
      </c>
      <c r="Z1369" s="39" t="s">
        <v>3783</v>
      </c>
      <c r="AA1369" s="39"/>
      <c r="AB1369" s="27"/>
      <c r="AC1369" s="27">
        <f t="shared" si="1100"/>
        <v>0</v>
      </c>
      <c r="AD1369" s="41">
        <f t="shared" si="1093"/>
        <v>2961</v>
      </c>
      <c r="AE1369" s="42"/>
      <c r="AF1369" s="27"/>
      <c r="AG1369" s="43">
        <f t="shared" si="1103"/>
        <v>4263.84</v>
      </c>
      <c r="AH1369" s="29"/>
      <c r="AI1369" s="29"/>
      <c r="AJ1369" s="29"/>
      <c r="AK1369" s="29"/>
      <c r="AL1369" s="27"/>
      <c r="AM1369" s="44"/>
      <c r="AN1369" s="47"/>
      <c r="AO1369" s="46"/>
      <c r="AP1369" s="47"/>
      <c r="AQ1369" s="43">
        <f t="shared" si="1101"/>
        <v>5329.8</v>
      </c>
      <c r="AR1369" s="43">
        <f t="shared" si="448"/>
        <v>266.49</v>
      </c>
      <c r="AS1369" s="43">
        <f t="shared" si="449"/>
        <v>932.715</v>
      </c>
      <c r="AT1369" s="48">
        <f t="shared" si="753"/>
        <v>4130.595</v>
      </c>
      <c r="AU1369" s="49">
        <f t="shared" si="1088"/>
        <v>4130.595</v>
      </c>
      <c r="AV1369" s="48"/>
      <c r="AW1369" s="34">
        <f t="shared" si="1000"/>
        <v>18242.36</v>
      </c>
      <c r="AX1369" s="50">
        <f t="shared" si="1034"/>
        <v>370.125</v>
      </c>
      <c r="AY1369" s="43"/>
      <c r="AZ1369" s="47"/>
      <c r="BA1369" s="48">
        <f t="shared" si="1080"/>
        <v>4130.595</v>
      </c>
      <c r="BB1369" s="27"/>
      <c r="BC1369" s="27"/>
      <c r="BD1369" s="51"/>
      <c r="BE1369" s="52"/>
      <c r="BF1369" s="27"/>
      <c r="BG1369" s="53">
        <v>0.0</v>
      </c>
      <c r="BH1369" s="53" t="str">
        <f>'[1]2023'!Q1631</f>
        <v>#REF!</v>
      </c>
      <c r="BI1369" s="27"/>
      <c r="BJ1369" s="27"/>
      <c r="BK1369" s="27" t="s">
        <v>76</v>
      </c>
      <c r="BL1369" s="27"/>
    </row>
    <row r="1370" ht="14.25" customHeight="1">
      <c r="A1370" s="26" t="s">
        <v>68</v>
      </c>
      <c r="B1370" s="26" t="s">
        <v>56</v>
      </c>
      <c r="C1370" s="26" t="s">
        <v>57</v>
      </c>
      <c r="D1370" s="26" t="s">
        <v>71</v>
      </c>
      <c r="E1370" s="27" t="s">
        <v>4436</v>
      </c>
      <c r="F1370" s="28" t="s">
        <v>4437</v>
      </c>
      <c r="G1370" s="29">
        <v>45242.0</v>
      </c>
      <c r="H1370" s="30">
        <v>45242.0</v>
      </c>
      <c r="I1370" s="30">
        <v>45607.0</v>
      </c>
      <c r="J1370" s="31" t="s">
        <v>4438</v>
      </c>
      <c r="K1370" s="26" t="s">
        <v>2374</v>
      </c>
      <c r="L1370" s="89">
        <v>45252.0</v>
      </c>
      <c r="M1370" s="33">
        <v>18601.37</v>
      </c>
      <c r="N1370" s="34">
        <v>20000.0</v>
      </c>
      <c r="O1370" s="27" t="s">
        <v>76</v>
      </c>
      <c r="P1370" s="35" t="s">
        <v>430</v>
      </c>
      <c r="Q1370" s="35">
        <v>0.0</v>
      </c>
      <c r="R1370" s="36">
        <v>45262.0</v>
      </c>
      <c r="S1370" s="35" t="s">
        <v>66</v>
      </c>
      <c r="T1370" s="54" t="s">
        <v>1281</v>
      </c>
      <c r="U1370" s="37" t="s">
        <v>68</v>
      </c>
      <c r="V1370" s="38">
        <v>1000000.0</v>
      </c>
      <c r="W1370" s="78">
        <v>966.0</v>
      </c>
      <c r="X1370" s="27"/>
      <c r="Y1370" s="79" t="s">
        <v>4439</v>
      </c>
      <c r="Z1370" s="39"/>
      <c r="AA1370" s="39"/>
      <c r="AB1370" s="27"/>
      <c r="AC1370" s="27">
        <f t="shared" si="1100"/>
        <v>0</v>
      </c>
      <c r="AD1370" s="41">
        <f t="shared" si="1093"/>
        <v>0</v>
      </c>
      <c r="AE1370" s="42"/>
      <c r="AF1370" s="27"/>
      <c r="AG1370" s="43">
        <f>IF(O1370="Paid",IF(A1370="Wethaq",(M1370*28%)-((M1370*28%)*5%),IF((A1370="GIG"),(M1370*25%)-((M1370*25%)*5%),IF((A1370="Allianz"),(M1370*27%)-((M1370*27%)*5%),0))),0)</f>
        <v>4947.96442</v>
      </c>
      <c r="AH1370" s="29"/>
      <c r="AI1370" s="29">
        <v>45284.0</v>
      </c>
      <c r="AJ1370" s="55">
        <v>0.28</v>
      </c>
      <c r="AK1370" s="182">
        <v>45279.0</v>
      </c>
      <c r="AL1370" s="27"/>
      <c r="AM1370" s="140">
        <f>AU1370*30%</f>
        <v>373.887537</v>
      </c>
      <c r="AN1370" s="71">
        <v>45654.0</v>
      </c>
      <c r="AO1370" s="46">
        <f>M1370*15%</f>
        <v>2790.2055</v>
      </c>
      <c r="AP1370" s="47" t="s">
        <v>4414</v>
      </c>
      <c r="AQ1370" s="43">
        <f>M1370*AJ1370</f>
        <v>5208.3836</v>
      </c>
      <c r="AR1370" s="43">
        <f t="shared" si="448"/>
        <v>260.41918</v>
      </c>
      <c r="AS1370" s="43">
        <f t="shared" si="449"/>
        <v>911.46713</v>
      </c>
      <c r="AT1370" s="48">
        <f t="shared" si="753"/>
        <v>4036.49729</v>
      </c>
      <c r="AU1370" s="49">
        <f t="shared" si="1088"/>
        <v>1246.29179</v>
      </c>
      <c r="AV1370" s="48"/>
      <c r="AW1370" s="34">
        <f t="shared" si="1000"/>
        <v>20000</v>
      </c>
      <c r="AX1370" s="50">
        <f t="shared" si="1034"/>
        <v>872.404253</v>
      </c>
      <c r="AY1370" s="43"/>
      <c r="AZ1370" s="47"/>
      <c r="BA1370" s="48">
        <f t="shared" si="1080"/>
        <v>-1917.801247</v>
      </c>
      <c r="BB1370" s="27"/>
      <c r="BC1370" s="27"/>
      <c r="BD1370" s="51"/>
      <c r="BE1370" s="52"/>
      <c r="BF1370" s="27"/>
      <c r="BG1370" s="58" t="s">
        <v>562</v>
      </c>
      <c r="BH1370" s="53" t="str">
        <f>'[1]2023'!Q1657</f>
        <v>#REF!</v>
      </c>
      <c r="BI1370" s="27"/>
      <c r="BJ1370" s="27"/>
      <c r="BK1370" s="27" t="s">
        <v>76</v>
      </c>
      <c r="BL1370" s="27"/>
    </row>
    <row r="1371" ht="14.25" customHeight="1">
      <c r="A1371" s="26" t="s">
        <v>55</v>
      </c>
      <c r="B1371" s="26" t="s">
        <v>56</v>
      </c>
      <c r="C1371" s="26" t="s">
        <v>57</v>
      </c>
      <c r="D1371" s="26" t="s">
        <v>81</v>
      </c>
      <c r="E1371" s="27" t="s">
        <v>4440</v>
      </c>
      <c r="F1371" s="28" t="s">
        <v>4441</v>
      </c>
      <c r="G1371" s="29">
        <v>45243.0</v>
      </c>
      <c r="H1371" s="30">
        <v>45243.0</v>
      </c>
      <c r="I1371" s="30">
        <v>45608.0</v>
      </c>
      <c r="J1371" s="31" t="s">
        <v>4442</v>
      </c>
      <c r="K1371" s="26" t="s">
        <v>2374</v>
      </c>
      <c r="L1371" s="89">
        <v>45243.0</v>
      </c>
      <c r="M1371" s="33">
        <v>34051.5</v>
      </c>
      <c r="N1371" s="34">
        <v>36430.79</v>
      </c>
      <c r="O1371" s="27" t="s">
        <v>76</v>
      </c>
      <c r="P1371" s="35" t="s">
        <v>430</v>
      </c>
      <c r="Q1371" s="35" t="s">
        <v>108</v>
      </c>
      <c r="R1371" s="36">
        <v>45243.0</v>
      </c>
      <c r="S1371" s="35" t="s">
        <v>86</v>
      </c>
      <c r="T1371" s="35">
        <v>0.0</v>
      </c>
      <c r="U1371" s="37" t="s">
        <v>67</v>
      </c>
      <c r="V1371" s="38">
        <v>1150000.0</v>
      </c>
      <c r="W1371" s="78">
        <v>73198.0</v>
      </c>
      <c r="X1371" s="27">
        <v>2021.0</v>
      </c>
      <c r="Y1371" s="79" t="s">
        <v>1155</v>
      </c>
      <c r="Z1371" s="39"/>
      <c r="AA1371" s="39"/>
      <c r="AB1371" s="27"/>
      <c r="AC1371" s="27">
        <f t="shared" si="1100"/>
        <v>0</v>
      </c>
      <c r="AD1371" s="41">
        <f t="shared" si="1093"/>
        <v>5107.725</v>
      </c>
      <c r="AE1371" s="42"/>
      <c r="AF1371" s="188">
        <v>45259.0</v>
      </c>
      <c r="AG1371" s="43">
        <f t="shared" ref="AG1371:AG1376" si="1104">IF(O1371="Paid",IF(A1371="Wethaq",(M1371*28%)-((M1371*28%)*5%),IF((A1371="GIG"),(M1371*25%)-((M1371*25%)*5%),IF((A1371="Allianz"),(M1371*27%)-((M1371*27%)*20%),0))),0)</f>
        <v>7355.124</v>
      </c>
      <c r="AH1371" s="29"/>
      <c r="AI1371" s="29"/>
      <c r="AJ1371" s="29"/>
      <c r="AK1371" s="29"/>
      <c r="AL1371" s="27"/>
      <c r="AM1371" s="44"/>
      <c r="AN1371" s="47"/>
      <c r="AO1371" s="46"/>
      <c r="AP1371" s="47"/>
      <c r="AQ1371" s="43">
        <f t="shared" ref="AQ1371:AQ1372" si="1105">IF(O1371="Paid",IF(U1371="Motor Plus",(M1371*27%),IF(U1371="Motor One",(M1371*22%),(IF(U1371="Golden",(M1371*25%),(IF(U1371="Classic",(M1371*15%),(IF(U1371="Wethaq",(M1371*28%),IF(U1371="Alwataniya",(M1371*21%))*0)))))))))</f>
        <v>9193.905</v>
      </c>
      <c r="AR1371" s="43">
        <f t="shared" si="448"/>
        <v>459.69525</v>
      </c>
      <c r="AS1371" s="43">
        <f t="shared" si="449"/>
        <v>1608.933375</v>
      </c>
      <c r="AT1371" s="48">
        <f t="shared" si="753"/>
        <v>7125.276375</v>
      </c>
      <c r="AU1371" s="49">
        <f t="shared" si="1088"/>
        <v>7125.276375</v>
      </c>
      <c r="AV1371" s="48"/>
      <c r="AW1371" s="34">
        <f t="shared" si="1000"/>
        <v>31323.065</v>
      </c>
      <c r="AX1371" s="113">
        <f t="shared" si="1034"/>
        <v>638.465625</v>
      </c>
      <c r="AY1371" s="43"/>
      <c r="AZ1371" s="47"/>
      <c r="BA1371" s="48">
        <f t="shared" si="1080"/>
        <v>7125.276375</v>
      </c>
      <c r="BB1371" s="27"/>
      <c r="BC1371" s="27"/>
      <c r="BD1371" s="51"/>
      <c r="BE1371" s="52"/>
      <c r="BF1371" s="27"/>
      <c r="BG1371" s="53">
        <v>0.0</v>
      </c>
      <c r="BH1371" s="53" t="str">
        <f t="shared" ref="BH1371:BH1372" si="1106">'[1]2023'!Q1585</f>
        <v>#REF!</v>
      </c>
      <c r="BI1371" s="27"/>
      <c r="BJ1371" s="27"/>
      <c r="BK1371" s="27" t="s">
        <v>76</v>
      </c>
      <c r="BL1371" s="27"/>
    </row>
    <row r="1372" ht="14.25" customHeight="1">
      <c r="A1372" s="26" t="s">
        <v>111</v>
      </c>
      <c r="B1372" s="26" t="s">
        <v>56</v>
      </c>
      <c r="C1372" s="26" t="s">
        <v>57</v>
      </c>
      <c r="D1372" s="26" t="s">
        <v>71</v>
      </c>
      <c r="E1372" s="27" t="s">
        <v>4443</v>
      </c>
      <c r="F1372" s="28" t="s">
        <v>4444</v>
      </c>
      <c r="G1372" s="29">
        <v>45243.0</v>
      </c>
      <c r="H1372" s="30">
        <v>45243.0</v>
      </c>
      <c r="I1372" s="30">
        <v>45608.0</v>
      </c>
      <c r="J1372" s="31" t="s">
        <v>4445</v>
      </c>
      <c r="K1372" s="26" t="s">
        <v>2374</v>
      </c>
      <c r="L1372" s="89">
        <v>45243.0</v>
      </c>
      <c r="M1372" s="33">
        <v>30304.7</v>
      </c>
      <c r="N1372" s="34">
        <v>32500.0</v>
      </c>
      <c r="O1372" s="27" t="s">
        <v>76</v>
      </c>
      <c r="P1372" s="35" t="s">
        <v>430</v>
      </c>
      <c r="Q1372" s="35">
        <v>0.0</v>
      </c>
      <c r="R1372" s="36">
        <v>45253.0</v>
      </c>
      <c r="S1372" s="35" t="s">
        <v>676</v>
      </c>
      <c r="T1372" s="54" t="s">
        <v>1281</v>
      </c>
      <c r="U1372" s="37" t="s">
        <v>115</v>
      </c>
      <c r="V1372" s="38">
        <v>1250000.0</v>
      </c>
      <c r="W1372" s="78">
        <v>755.0</v>
      </c>
      <c r="X1372" s="27"/>
      <c r="Y1372" s="79" t="s">
        <v>4446</v>
      </c>
      <c r="Z1372" s="39"/>
      <c r="AA1372" s="39"/>
      <c r="AB1372" s="27"/>
      <c r="AC1372" s="27">
        <f t="shared" si="1100"/>
        <v>0</v>
      </c>
      <c r="AD1372" s="41">
        <f t="shared" si="1093"/>
        <v>0</v>
      </c>
      <c r="AE1372" s="42"/>
      <c r="AF1372" s="27"/>
      <c r="AG1372" s="43">
        <f t="shared" si="1104"/>
        <v>7197.36625</v>
      </c>
      <c r="AH1372" s="29" t="s">
        <v>4068</v>
      </c>
      <c r="AI1372" s="29" t="s">
        <v>3050</v>
      </c>
      <c r="AJ1372" s="29"/>
      <c r="AK1372" s="29" t="s">
        <v>2982</v>
      </c>
      <c r="AL1372" s="27"/>
      <c r="AM1372" s="215">
        <f>AU1372*30%</f>
        <v>397.7491875</v>
      </c>
      <c r="AN1372" s="71">
        <v>45654.0</v>
      </c>
      <c r="AO1372" s="46">
        <f>M1372*15%</f>
        <v>4545.705</v>
      </c>
      <c r="AP1372" s="47" t="s">
        <v>2972</v>
      </c>
      <c r="AQ1372" s="43">
        <f t="shared" si="1105"/>
        <v>7576.175</v>
      </c>
      <c r="AR1372" s="43">
        <f t="shared" si="448"/>
        <v>378.80875</v>
      </c>
      <c r="AS1372" s="43">
        <f t="shared" si="449"/>
        <v>1325.830625</v>
      </c>
      <c r="AT1372" s="48">
        <f t="shared" si="753"/>
        <v>5871.535625</v>
      </c>
      <c r="AU1372" s="49">
        <f t="shared" si="1088"/>
        <v>1325.830625</v>
      </c>
      <c r="AV1372" s="106">
        <f>(AU1372-AM1372)*10%</f>
        <v>92.80814375</v>
      </c>
      <c r="AW1372" s="34">
        <f t="shared" si="1000"/>
        <v>32500</v>
      </c>
      <c r="AX1372" s="50">
        <f t="shared" si="1034"/>
        <v>835.2732938</v>
      </c>
      <c r="AY1372" s="43"/>
      <c r="AZ1372" s="47"/>
      <c r="BA1372" s="48">
        <f t="shared" si="1080"/>
        <v>-3617.623563</v>
      </c>
      <c r="BB1372" s="27"/>
      <c r="BC1372" s="27"/>
      <c r="BD1372" s="51"/>
      <c r="BE1372" s="52"/>
      <c r="BF1372" s="27"/>
      <c r="BG1372" s="53">
        <v>0.0</v>
      </c>
      <c r="BH1372" s="53" t="str">
        <f t="shared" si="1106"/>
        <v>#REF!</v>
      </c>
      <c r="BI1372" s="27"/>
      <c r="BJ1372" s="27"/>
      <c r="BK1372" s="27" t="s">
        <v>76</v>
      </c>
      <c r="BL1372" s="27"/>
    </row>
    <row r="1373" ht="14.25" customHeight="1">
      <c r="A1373" s="26" t="s">
        <v>68</v>
      </c>
      <c r="B1373" s="26" t="s">
        <v>56</v>
      </c>
      <c r="C1373" s="26" t="s">
        <v>57</v>
      </c>
      <c r="D1373" s="26" t="s">
        <v>71</v>
      </c>
      <c r="E1373" s="27" t="s">
        <v>4447</v>
      </c>
      <c r="F1373" s="28" t="s">
        <v>4448</v>
      </c>
      <c r="G1373" s="29">
        <v>45243.0</v>
      </c>
      <c r="H1373" s="30">
        <v>45243.0</v>
      </c>
      <c r="I1373" s="30">
        <v>45608.0</v>
      </c>
      <c r="J1373" s="31" t="s">
        <v>4449</v>
      </c>
      <c r="K1373" s="26" t="s">
        <v>2374</v>
      </c>
      <c r="L1373" s="89">
        <v>45259.0</v>
      </c>
      <c r="M1373" s="33">
        <v>97380.69</v>
      </c>
      <c r="N1373" s="34">
        <v>104000.0</v>
      </c>
      <c r="O1373" s="27" t="s">
        <v>76</v>
      </c>
      <c r="P1373" s="35" t="s">
        <v>142</v>
      </c>
      <c r="Q1373" s="35" t="s">
        <v>108</v>
      </c>
      <c r="R1373" s="36">
        <v>45263.0</v>
      </c>
      <c r="S1373" s="35" t="s">
        <v>86</v>
      </c>
      <c r="T1373" s="35">
        <v>0.0</v>
      </c>
      <c r="U1373" s="37" t="s">
        <v>68</v>
      </c>
      <c r="V1373" s="38">
        <v>6500000.0</v>
      </c>
      <c r="W1373" s="78">
        <v>48749.0</v>
      </c>
      <c r="X1373" s="27"/>
      <c r="Y1373" s="79" t="s">
        <v>4450</v>
      </c>
      <c r="Z1373" s="39"/>
      <c r="AA1373" s="39"/>
      <c r="AB1373" s="27"/>
      <c r="AC1373" s="27">
        <f t="shared" si="1100"/>
        <v>0</v>
      </c>
      <c r="AD1373" s="41">
        <f t="shared" si="1093"/>
        <v>14607.1035</v>
      </c>
      <c r="AE1373" s="42">
        <v>3250.0</v>
      </c>
      <c r="AF1373" s="188">
        <v>45257.0</v>
      </c>
      <c r="AG1373" s="43">
        <f t="shared" si="1104"/>
        <v>25903.26354</v>
      </c>
      <c r="AH1373" s="29">
        <v>45295.0</v>
      </c>
      <c r="AI1373" s="29">
        <v>45284.0</v>
      </c>
      <c r="AJ1373" s="55">
        <v>0.28</v>
      </c>
      <c r="AK1373" s="182">
        <v>45279.0</v>
      </c>
      <c r="AL1373" s="77"/>
      <c r="AM1373" s="44"/>
      <c r="AN1373" s="47"/>
      <c r="AO1373" s="46"/>
      <c r="AP1373" s="47"/>
      <c r="AQ1373" s="43">
        <f>M1373*AJ1373</f>
        <v>27266.5932</v>
      </c>
      <c r="AR1373" s="43">
        <f t="shared" si="448"/>
        <v>1363.32966</v>
      </c>
      <c r="AS1373" s="43">
        <f t="shared" si="449"/>
        <v>4771.65381</v>
      </c>
      <c r="AT1373" s="48">
        <f t="shared" si="753"/>
        <v>21131.60973</v>
      </c>
      <c r="AU1373" s="49">
        <f t="shared" si="1088"/>
        <v>21131.60973</v>
      </c>
      <c r="AV1373" s="48"/>
      <c r="AW1373" s="34">
        <f t="shared" si="1000"/>
        <v>86142.8965</v>
      </c>
      <c r="AX1373" s="50">
        <f t="shared" si="1034"/>
        <v>3274.50623</v>
      </c>
      <c r="AY1373" s="43"/>
      <c r="AZ1373" s="47"/>
      <c r="BA1373" s="48">
        <f t="shared" si="1080"/>
        <v>21131.60973</v>
      </c>
      <c r="BB1373" s="27"/>
      <c r="BC1373" s="27"/>
      <c r="BD1373" s="51"/>
      <c r="BE1373" s="52"/>
      <c r="BF1373" s="27"/>
      <c r="BG1373" s="53">
        <v>0.0</v>
      </c>
      <c r="BH1373" s="53" t="str">
        <f>'[1]2023'!Q1588</f>
        <v>#REF!</v>
      </c>
      <c r="BI1373" s="27"/>
      <c r="BJ1373" s="27"/>
      <c r="BK1373" s="27" t="s">
        <v>76</v>
      </c>
      <c r="BL1373" s="27"/>
    </row>
    <row r="1374" ht="14.25" customHeight="1">
      <c r="A1374" s="26" t="s">
        <v>111</v>
      </c>
      <c r="B1374" s="26" t="s">
        <v>56</v>
      </c>
      <c r="C1374" s="26" t="s">
        <v>57</v>
      </c>
      <c r="D1374" s="26" t="s">
        <v>71</v>
      </c>
      <c r="E1374" s="27" t="s">
        <v>4451</v>
      </c>
      <c r="F1374" s="28" t="s">
        <v>4452</v>
      </c>
      <c r="G1374" s="29">
        <v>45243.0</v>
      </c>
      <c r="H1374" s="30">
        <v>45243.0</v>
      </c>
      <c r="I1374" s="30">
        <v>45608.0</v>
      </c>
      <c r="J1374" s="31" t="s">
        <v>4453</v>
      </c>
      <c r="K1374" s="26" t="s">
        <v>2374</v>
      </c>
      <c r="L1374" s="89">
        <v>45246.0</v>
      </c>
      <c r="M1374" s="33">
        <v>16864.85</v>
      </c>
      <c r="N1374" s="34">
        <v>18200.0</v>
      </c>
      <c r="O1374" s="27" t="s">
        <v>76</v>
      </c>
      <c r="P1374" s="35">
        <v>0.0</v>
      </c>
      <c r="Q1374" s="35" t="s">
        <v>114</v>
      </c>
      <c r="R1374" s="36">
        <v>45253.0</v>
      </c>
      <c r="S1374" s="35" t="s">
        <v>676</v>
      </c>
      <c r="T1374" s="35">
        <v>0.0</v>
      </c>
      <c r="U1374" s="37" t="s">
        <v>115</v>
      </c>
      <c r="V1374" s="38">
        <v>700000.0</v>
      </c>
      <c r="W1374" s="78">
        <v>14562.0</v>
      </c>
      <c r="X1374" s="27"/>
      <c r="Y1374" s="39" t="s">
        <v>3232</v>
      </c>
      <c r="Z1374" s="39"/>
      <c r="AA1374" s="39"/>
      <c r="AB1374" s="27"/>
      <c r="AC1374" s="27">
        <f t="shared" si="1100"/>
        <v>0</v>
      </c>
      <c r="AD1374" s="41">
        <f t="shared" si="1093"/>
        <v>0</v>
      </c>
      <c r="AE1374" s="42"/>
      <c r="AF1374" s="27"/>
      <c r="AG1374" s="156">
        <f t="shared" si="1104"/>
        <v>4005.401875</v>
      </c>
      <c r="AH1374" s="29" t="s">
        <v>3050</v>
      </c>
      <c r="AI1374" s="29"/>
      <c r="AJ1374" s="29"/>
      <c r="AK1374" s="201" t="s">
        <v>1181</v>
      </c>
      <c r="AL1374" s="27"/>
      <c r="AM1374" s="215">
        <f>AU1374*10%</f>
        <v>326.7564688</v>
      </c>
      <c r="AN1374" s="71">
        <v>45654.0</v>
      </c>
      <c r="AO1374" s="46"/>
      <c r="AP1374" s="47"/>
      <c r="AQ1374" s="43">
        <f t="shared" ref="AQ1374:AQ1380" si="1107">IF(O1374="Paid",IF(U1374="Motor Plus",(M1374*27%),IF(U1374="Motor One",(M1374*22%),(IF(U1374="Golden",(M1374*25%),(IF(U1374="Classic",(M1374*15%),(IF(U1374="Wethaq",(M1374*28%),IF(U1374="Alwataniya",(M1374*21%))*0)))))))))</f>
        <v>4216.2125</v>
      </c>
      <c r="AR1374" s="43">
        <f t="shared" si="448"/>
        <v>210.810625</v>
      </c>
      <c r="AS1374" s="43">
        <f t="shared" si="449"/>
        <v>737.8371875</v>
      </c>
      <c r="AT1374" s="48">
        <f t="shared" si="753"/>
        <v>3267.564688</v>
      </c>
      <c r="AU1374" s="49">
        <f t="shared" si="1088"/>
        <v>3267.564688</v>
      </c>
      <c r="AV1374" s="106">
        <f>(AU1374-AM1374)*10%</f>
        <v>294.0808219</v>
      </c>
      <c r="AW1374" s="34">
        <f t="shared" si="1000"/>
        <v>18200</v>
      </c>
      <c r="AX1374" s="50">
        <f t="shared" si="1034"/>
        <v>2646.727397</v>
      </c>
      <c r="AY1374" s="43"/>
      <c r="AZ1374" s="47"/>
      <c r="BA1374" s="48">
        <f t="shared" si="1080"/>
        <v>2940.808219</v>
      </c>
      <c r="BB1374" s="27"/>
      <c r="BC1374" s="27"/>
      <c r="BD1374" s="51"/>
      <c r="BE1374" s="52"/>
      <c r="BF1374" s="27"/>
      <c r="BG1374" s="53">
        <v>0.0</v>
      </c>
      <c r="BH1374" s="53" t="str">
        <f>'[1]2023'!Q1599</f>
        <v>#REF!</v>
      </c>
      <c r="BI1374" s="27"/>
      <c r="BJ1374" s="27"/>
      <c r="BK1374" s="27" t="s">
        <v>76</v>
      </c>
      <c r="BL1374" s="27"/>
    </row>
    <row r="1375" ht="14.25" customHeight="1">
      <c r="A1375" s="26" t="s">
        <v>55</v>
      </c>
      <c r="B1375" s="26" t="s">
        <v>56</v>
      </c>
      <c r="C1375" s="26" t="s">
        <v>57</v>
      </c>
      <c r="D1375" s="26" t="s">
        <v>81</v>
      </c>
      <c r="E1375" s="27" t="s">
        <v>4454</v>
      </c>
      <c r="F1375" s="28" t="s">
        <v>4455</v>
      </c>
      <c r="G1375" s="29">
        <v>45243.0</v>
      </c>
      <c r="H1375" s="30">
        <v>45243.0</v>
      </c>
      <c r="I1375" s="30">
        <v>45608.0</v>
      </c>
      <c r="J1375" s="31" t="s">
        <v>4456</v>
      </c>
      <c r="K1375" s="26" t="s">
        <v>2374</v>
      </c>
      <c r="L1375" s="32" t="s">
        <v>63</v>
      </c>
      <c r="M1375" s="33" t="s">
        <v>63</v>
      </c>
      <c r="N1375" s="34" t="s">
        <v>63</v>
      </c>
      <c r="O1375" s="27" t="s">
        <v>1102</v>
      </c>
      <c r="P1375" s="35">
        <v>0.0</v>
      </c>
      <c r="Q1375" s="35">
        <v>0.0</v>
      </c>
      <c r="R1375" s="36">
        <v>45243.0</v>
      </c>
      <c r="S1375" s="35" t="s">
        <v>86</v>
      </c>
      <c r="T1375" s="35">
        <v>0.0</v>
      </c>
      <c r="U1375" s="37" t="s">
        <v>67</v>
      </c>
      <c r="V1375" s="38"/>
      <c r="W1375" s="78"/>
      <c r="X1375" s="27"/>
      <c r="Y1375" s="39"/>
      <c r="Z1375" s="39"/>
      <c r="AA1375" s="39"/>
      <c r="AB1375" s="27"/>
      <c r="AC1375" s="27" t="str">
        <f t="shared" si="1100"/>
        <v>#VALUE!</v>
      </c>
      <c r="AD1375" s="41">
        <f t="shared" si="1093"/>
        <v>0</v>
      </c>
      <c r="AE1375" s="42"/>
      <c r="AF1375" s="27"/>
      <c r="AG1375" s="43">
        <f t="shared" si="1104"/>
        <v>0</v>
      </c>
      <c r="AH1375" s="29"/>
      <c r="AI1375" s="29"/>
      <c r="AJ1375" s="29"/>
      <c r="AK1375" s="29"/>
      <c r="AL1375" s="27"/>
      <c r="AM1375" s="44"/>
      <c r="AN1375" s="47"/>
      <c r="AO1375" s="46"/>
      <c r="AP1375" s="47"/>
      <c r="AQ1375" s="43" t="b">
        <f t="shared" si="1107"/>
        <v>0</v>
      </c>
      <c r="AR1375" s="43">
        <f t="shared" si="448"/>
        <v>0</v>
      </c>
      <c r="AS1375" s="43">
        <f t="shared" si="449"/>
        <v>0</v>
      </c>
      <c r="AT1375" s="48">
        <f t="shared" si="753"/>
        <v>0</v>
      </c>
      <c r="AU1375" s="49" t="str">
        <f t="shared" si="1088"/>
        <v>#VALUE!</v>
      </c>
      <c r="AV1375" s="48"/>
      <c r="AW1375" s="27" t="str">
        <f t="shared" si="1000"/>
        <v>#VALUE!</v>
      </c>
      <c r="AX1375" s="50">
        <f t="shared" si="1034"/>
        <v>0</v>
      </c>
      <c r="AY1375" s="43"/>
      <c r="AZ1375" s="47"/>
      <c r="BA1375" s="48" t="str">
        <f t="shared" si="1080"/>
        <v>#VALUE!</v>
      </c>
      <c r="BB1375" s="27"/>
      <c r="BC1375" s="27"/>
      <c r="BD1375" s="51"/>
      <c r="BE1375" s="52"/>
      <c r="BF1375" s="27"/>
      <c r="BG1375" s="53">
        <v>0.0</v>
      </c>
      <c r="BH1375" s="53" t="str">
        <f>'[1]2023'!Q1638</f>
        <v>#REF!</v>
      </c>
      <c r="BI1375" s="27"/>
      <c r="BJ1375" s="27"/>
      <c r="BK1375" s="27" t="s">
        <v>1102</v>
      </c>
      <c r="BL1375" s="27"/>
    </row>
    <row r="1376" ht="14.25" customHeight="1">
      <c r="A1376" s="26" t="s">
        <v>55</v>
      </c>
      <c r="B1376" s="26" t="s">
        <v>56</v>
      </c>
      <c r="C1376" s="26" t="s">
        <v>57</v>
      </c>
      <c r="D1376" s="26" t="s">
        <v>81</v>
      </c>
      <c r="E1376" s="27" t="s">
        <v>4457</v>
      </c>
      <c r="F1376" s="28" t="s">
        <v>4458</v>
      </c>
      <c r="G1376" s="29">
        <v>45243.0</v>
      </c>
      <c r="H1376" s="30">
        <v>45243.0</v>
      </c>
      <c r="I1376" s="30">
        <v>45608.0</v>
      </c>
      <c r="J1376" s="31" t="s">
        <v>4459</v>
      </c>
      <c r="K1376" s="26" t="s">
        <v>2374</v>
      </c>
      <c r="L1376" s="89">
        <v>45263.0</v>
      </c>
      <c r="M1376" s="33">
        <v>19500.48</v>
      </c>
      <c r="N1376" s="34">
        <v>20948.51</v>
      </c>
      <c r="O1376" s="27" t="s">
        <v>76</v>
      </c>
      <c r="P1376" s="35" t="s">
        <v>122</v>
      </c>
      <c r="Q1376" s="35">
        <v>0.0</v>
      </c>
      <c r="R1376" s="36">
        <v>45243.0</v>
      </c>
      <c r="S1376" s="35" t="s">
        <v>86</v>
      </c>
      <c r="T1376" s="35">
        <v>0.0</v>
      </c>
      <c r="U1376" s="37" t="s">
        <v>67</v>
      </c>
      <c r="V1376" s="38">
        <v>770000.0</v>
      </c>
      <c r="W1376" s="78" t="s">
        <v>4460</v>
      </c>
      <c r="X1376" s="27">
        <v>2018.0</v>
      </c>
      <c r="Y1376" s="79" t="s">
        <v>3771</v>
      </c>
      <c r="Z1376" s="39"/>
      <c r="AA1376" s="39"/>
      <c r="AB1376" s="27"/>
      <c r="AC1376" s="27">
        <f t="shared" si="1100"/>
        <v>0</v>
      </c>
      <c r="AD1376" s="41">
        <f t="shared" si="1093"/>
        <v>2925.072</v>
      </c>
      <c r="AE1376" s="42"/>
      <c r="AF1376" s="27"/>
      <c r="AG1376" s="43">
        <f t="shared" si="1104"/>
        <v>4212.10368</v>
      </c>
      <c r="AH1376" s="29"/>
      <c r="AI1376" s="29"/>
      <c r="AJ1376" s="29"/>
      <c r="AK1376" s="29"/>
      <c r="AL1376" s="27"/>
      <c r="AM1376" s="44"/>
      <c r="AN1376" s="47"/>
      <c r="AO1376" s="46"/>
      <c r="AP1376" s="47"/>
      <c r="AQ1376" s="43">
        <f t="shared" si="1107"/>
        <v>5265.1296</v>
      </c>
      <c r="AR1376" s="43">
        <f t="shared" si="448"/>
        <v>263.25648</v>
      </c>
      <c r="AS1376" s="43">
        <f t="shared" si="449"/>
        <v>921.39768</v>
      </c>
      <c r="AT1376" s="48">
        <f t="shared" si="753"/>
        <v>4080.47544</v>
      </c>
      <c r="AU1376" s="49">
        <f t="shared" si="1088"/>
        <v>4080.47544</v>
      </c>
      <c r="AV1376" s="48"/>
      <c r="AW1376" s="34">
        <f t="shared" si="1000"/>
        <v>18023.438</v>
      </c>
      <c r="AX1376" s="50">
        <f t="shared" si="1034"/>
        <v>365.634</v>
      </c>
      <c r="AY1376" s="43"/>
      <c r="AZ1376" s="47"/>
      <c r="BA1376" s="48">
        <f t="shared" si="1080"/>
        <v>4080.47544</v>
      </c>
      <c r="BB1376" s="27"/>
      <c r="BC1376" s="27"/>
      <c r="BD1376" s="51"/>
      <c r="BE1376" s="52"/>
      <c r="BF1376" s="27"/>
      <c r="BG1376" s="53">
        <v>0.0</v>
      </c>
      <c r="BH1376" s="53" t="str">
        <f>'[1]2023'!Q1642</f>
        <v>#REF!</v>
      </c>
      <c r="BI1376" s="27"/>
      <c r="BJ1376" s="27"/>
      <c r="BK1376" s="27" t="s">
        <v>76</v>
      </c>
      <c r="BL1376" s="27"/>
    </row>
    <row r="1377" ht="14.25" customHeight="1">
      <c r="A1377" s="26" t="s">
        <v>111</v>
      </c>
      <c r="B1377" s="26" t="s">
        <v>56</v>
      </c>
      <c r="C1377" s="26" t="s">
        <v>57</v>
      </c>
      <c r="D1377" s="26" t="s">
        <v>71</v>
      </c>
      <c r="E1377" s="27" t="s">
        <v>4461</v>
      </c>
      <c r="F1377" s="28" t="s">
        <v>4462</v>
      </c>
      <c r="G1377" s="29">
        <v>45244.0</v>
      </c>
      <c r="H1377" s="30">
        <v>45244.0</v>
      </c>
      <c r="I1377" s="30">
        <v>45609.0</v>
      </c>
      <c r="J1377" s="31" t="s">
        <v>4463</v>
      </c>
      <c r="K1377" s="26" t="s">
        <v>2374</v>
      </c>
      <c r="L1377" s="89">
        <v>45252.0</v>
      </c>
      <c r="M1377" s="33">
        <v>29082.89</v>
      </c>
      <c r="N1377" s="34">
        <v>31200.0</v>
      </c>
      <c r="O1377" s="27" t="s">
        <v>76</v>
      </c>
      <c r="P1377" s="35" t="s">
        <v>430</v>
      </c>
      <c r="Q1377" s="35">
        <v>0.0</v>
      </c>
      <c r="R1377" s="36">
        <v>45254.0</v>
      </c>
      <c r="S1377" s="35" t="s">
        <v>676</v>
      </c>
      <c r="T1377" s="35">
        <v>0.0</v>
      </c>
      <c r="U1377" s="37" t="s">
        <v>115</v>
      </c>
      <c r="V1377" s="38">
        <v>1200000.0</v>
      </c>
      <c r="W1377" s="78">
        <v>10661.0</v>
      </c>
      <c r="X1377" s="27"/>
      <c r="Y1377" s="79" t="s">
        <v>4464</v>
      </c>
      <c r="Z1377" s="39"/>
      <c r="AA1377" s="39"/>
      <c r="AB1377" s="27"/>
      <c r="AC1377" s="27">
        <f t="shared" si="1100"/>
        <v>0</v>
      </c>
      <c r="AD1377" s="41">
        <f t="shared" si="1093"/>
        <v>0</v>
      </c>
      <c r="AE1377" s="42"/>
      <c r="AF1377" s="27"/>
      <c r="AG1377" s="43">
        <f>IF(O1377="Paid",IF(A1377="Alwataniya",(M1377*21%)-((M1377*21%)*5%),IF((A1377="GIG"),(M1377*25%)-((M1377*25%)*5%),IF((A1377="Allianz"),(M1377*27%)-((M1377*27%)*5%),0))),(M1377*28%)-((M1377*28%)*5%))</f>
        <v>6907.186375</v>
      </c>
      <c r="AH1377" s="29"/>
      <c r="AI1377" s="29" t="s">
        <v>3511</v>
      </c>
      <c r="AJ1377" s="29"/>
      <c r="AK1377" s="182">
        <v>45278.0</v>
      </c>
      <c r="AL1377" s="27"/>
      <c r="AM1377" s="215">
        <f>AU1377*10%</f>
        <v>563.4809938</v>
      </c>
      <c r="AN1377" s="71">
        <v>45654.0</v>
      </c>
      <c r="AO1377" s="46"/>
      <c r="AP1377" s="47"/>
      <c r="AQ1377" s="43">
        <f t="shared" si="1107"/>
        <v>7270.7225</v>
      </c>
      <c r="AR1377" s="43">
        <f t="shared" si="448"/>
        <v>363.536125</v>
      </c>
      <c r="AS1377" s="43">
        <f t="shared" si="449"/>
        <v>1272.376438</v>
      </c>
      <c r="AT1377" s="48">
        <f t="shared" si="753"/>
        <v>5634.809938</v>
      </c>
      <c r="AU1377" s="49">
        <f t="shared" si="1088"/>
        <v>5634.809938</v>
      </c>
      <c r="AV1377" s="106">
        <f>(AU1377-AM1377)*10%</f>
        <v>507.1328944</v>
      </c>
      <c r="AW1377" s="34">
        <f t="shared" si="1000"/>
        <v>31200</v>
      </c>
      <c r="AX1377" s="50">
        <f t="shared" si="1034"/>
        <v>4564.196049</v>
      </c>
      <c r="AY1377" s="43"/>
      <c r="AZ1377" s="47"/>
      <c r="BA1377" s="48">
        <f t="shared" si="1080"/>
        <v>5071.328944</v>
      </c>
      <c r="BB1377" s="27"/>
      <c r="BC1377" s="27"/>
      <c r="BD1377" s="51"/>
      <c r="BE1377" s="52"/>
      <c r="BF1377" s="27"/>
      <c r="BG1377" s="53">
        <v>0.0</v>
      </c>
      <c r="BH1377" s="53" t="str">
        <f>'[1]2023'!Q1557</f>
        <v>#REF!</v>
      </c>
      <c r="BI1377" s="27"/>
      <c r="BJ1377" s="27"/>
      <c r="BK1377" s="27" t="s">
        <v>76</v>
      </c>
      <c r="BL1377" s="27"/>
    </row>
    <row r="1378" ht="14.25" customHeight="1">
      <c r="A1378" s="26" t="s">
        <v>55</v>
      </c>
      <c r="B1378" s="26" t="s">
        <v>56</v>
      </c>
      <c r="C1378" s="26" t="s">
        <v>57</v>
      </c>
      <c r="D1378" s="26" t="s">
        <v>81</v>
      </c>
      <c r="E1378" s="27" t="s">
        <v>4465</v>
      </c>
      <c r="F1378" s="28" t="s">
        <v>4466</v>
      </c>
      <c r="G1378" s="29">
        <v>45244.0</v>
      </c>
      <c r="H1378" s="30">
        <v>45244.0</v>
      </c>
      <c r="I1378" s="30">
        <v>45609.0</v>
      </c>
      <c r="J1378" s="31" t="s">
        <v>4467</v>
      </c>
      <c r="K1378" s="26" t="s">
        <v>2374</v>
      </c>
      <c r="L1378" s="32" t="s">
        <v>63</v>
      </c>
      <c r="M1378" s="33" t="s">
        <v>63</v>
      </c>
      <c r="N1378" s="33" t="s">
        <v>63</v>
      </c>
      <c r="O1378" s="27" t="s">
        <v>1102</v>
      </c>
      <c r="P1378" s="35">
        <v>0.0</v>
      </c>
      <c r="Q1378" s="35">
        <v>0.0</v>
      </c>
      <c r="R1378" s="36">
        <v>45244.0</v>
      </c>
      <c r="S1378" s="35" t="s">
        <v>86</v>
      </c>
      <c r="T1378" s="35">
        <v>0.0</v>
      </c>
      <c r="U1378" s="37" t="s">
        <v>67</v>
      </c>
      <c r="V1378" s="38"/>
      <c r="W1378" s="78"/>
      <c r="X1378" s="27"/>
      <c r="Y1378" s="39"/>
      <c r="Z1378" s="39"/>
      <c r="AA1378" s="39"/>
      <c r="AB1378" s="27"/>
      <c r="AC1378" s="27" t="str">
        <f t="shared" si="1100"/>
        <v>#VALUE!</v>
      </c>
      <c r="AD1378" s="41">
        <f t="shared" si="1093"/>
        <v>0</v>
      </c>
      <c r="AE1378" s="42"/>
      <c r="AF1378" s="27"/>
      <c r="AG1378" s="43">
        <f t="shared" ref="AG1378:AG1379" si="1108">IF(O1378="Paid",IF(A1378="Wethaq",(M1378*28%)-((M1378*28%)*5%),IF((A1378="GIG"),(M1378*25%)-((M1378*25%)*5%),IF((A1378="Allianz"),(M1378*27%)-((M1378*27%)*20%),0))),0)</f>
        <v>0</v>
      </c>
      <c r="AH1378" s="29"/>
      <c r="AI1378" s="29"/>
      <c r="AJ1378" s="29"/>
      <c r="AK1378" s="29"/>
      <c r="AL1378" s="27"/>
      <c r="AM1378" s="44"/>
      <c r="AN1378" s="47"/>
      <c r="AO1378" s="46"/>
      <c r="AP1378" s="47"/>
      <c r="AQ1378" s="43" t="b">
        <f t="shared" si="1107"/>
        <v>0</v>
      </c>
      <c r="AR1378" s="43">
        <f t="shared" si="448"/>
        <v>0</v>
      </c>
      <c r="AS1378" s="43">
        <f t="shared" si="449"/>
        <v>0</v>
      </c>
      <c r="AT1378" s="48">
        <f t="shared" si="753"/>
        <v>0</v>
      </c>
      <c r="AU1378" s="49" t="str">
        <f t="shared" si="1088"/>
        <v>#VALUE!</v>
      </c>
      <c r="AV1378" s="48"/>
      <c r="AW1378" s="27" t="str">
        <f t="shared" si="1000"/>
        <v>#VALUE!</v>
      </c>
      <c r="AX1378" s="50">
        <f t="shared" si="1034"/>
        <v>0</v>
      </c>
      <c r="AY1378" s="43"/>
      <c r="AZ1378" s="47"/>
      <c r="BA1378" s="48" t="str">
        <f t="shared" si="1080"/>
        <v>#VALUE!</v>
      </c>
      <c r="BB1378" s="27"/>
      <c r="BC1378" s="27"/>
      <c r="BD1378" s="51"/>
      <c r="BE1378" s="52"/>
      <c r="BF1378" s="27"/>
      <c r="BG1378" s="53">
        <v>0.0</v>
      </c>
      <c r="BH1378" s="53" t="str">
        <f>'[1]2023'!Q1626</f>
        <v>#REF!</v>
      </c>
      <c r="BI1378" s="27"/>
      <c r="BJ1378" s="27"/>
      <c r="BK1378" s="27" t="s">
        <v>1102</v>
      </c>
      <c r="BL1378" s="27"/>
    </row>
    <row r="1379" ht="14.25" customHeight="1">
      <c r="A1379" s="26" t="s">
        <v>55</v>
      </c>
      <c r="B1379" s="26" t="s">
        <v>56</v>
      </c>
      <c r="C1379" s="26" t="s">
        <v>57</v>
      </c>
      <c r="D1379" s="26" t="s">
        <v>71</v>
      </c>
      <c r="E1379" s="27" t="s">
        <v>4468</v>
      </c>
      <c r="F1379" s="28" t="s">
        <v>4469</v>
      </c>
      <c r="G1379" s="29">
        <v>45244.0</v>
      </c>
      <c r="H1379" s="30">
        <v>45244.0</v>
      </c>
      <c r="I1379" s="30">
        <v>45609.0</v>
      </c>
      <c r="J1379" s="31" t="s">
        <v>4470</v>
      </c>
      <c r="K1379" s="26" t="s">
        <v>2374</v>
      </c>
      <c r="L1379" s="89">
        <v>45250.0</v>
      </c>
      <c r="M1379" s="33">
        <v>72358.0</v>
      </c>
      <c r="N1379" s="33">
        <v>77189.92</v>
      </c>
      <c r="O1379" s="27" t="s">
        <v>76</v>
      </c>
      <c r="P1379" s="35" t="s">
        <v>89</v>
      </c>
      <c r="Q1379" s="35" t="s">
        <v>90</v>
      </c>
      <c r="R1379" s="36">
        <v>45244.0</v>
      </c>
      <c r="S1379" s="35" t="s">
        <v>86</v>
      </c>
      <c r="T1379" s="35">
        <v>0.0</v>
      </c>
      <c r="U1379" s="37" t="s">
        <v>67</v>
      </c>
      <c r="V1379" s="38">
        <v>2200000.0</v>
      </c>
      <c r="W1379" s="78">
        <v>1011688.0</v>
      </c>
      <c r="X1379" s="27">
        <v>2024.0</v>
      </c>
      <c r="Y1379" s="79" t="s">
        <v>3185</v>
      </c>
      <c r="Z1379" s="39"/>
      <c r="AA1379" s="39"/>
      <c r="AB1379" s="27"/>
      <c r="AC1379" s="27">
        <f t="shared" si="1100"/>
        <v>0</v>
      </c>
      <c r="AD1379" s="41">
        <f t="shared" si="1093"/>
        <v>10853.7</v>
      </c>
      <c r="AE1379" s="42">
        <v>400.0</v>
      </c>
      <c r="AF1379" s="188">
        <v>45260.0</v>
      </c>
      <c r="AG1379" s="43">
        <f t="shared" si="1108"/>
        <v>15629.328</v>
      </c>
      <c r="AH1379" s="29"/>
      <c r="AI1379" s="29"/>
      <c r="AJ1379" s="29"/>
      <c r="AK1379" s="29"/>
      <c r="AL1379" s="27"/>
      <c r="AM1379" s="44"/>
      <c r="AN1379" s="47"/>
      <c r="AO1379" s="46"/>
      <c r="AP1379" s="47"/>
      <c r="AQ1379" s="43">
        <f t="shared" si="1107"/>
        <v>19536.66</v>
      </c>
      <c r="AR1379" s="43">
        <f t="shared" si="448"/>
        <v>976.833</v>
      </c>
      <c r="AS1379" s="43">
        <f t="shared" si="449"/>
        <v>3418.9155</v>
      </c>
      <c r="AT1379" s="48">
        <f t="shared" si="753"/>
        <v>15140.9115</v>
      </c>
      <c r="AU1379" s="49">
        <f t="shared" si="1088"/>
        <v>15140.9115</v>
      </c>
      <c r="AV1379" s="48"/>
      <c r="AW1379" s="34">
        <f t="shared" si="1000"/>
        <v>65936.22</v>
      </c>
      <c r="AX1379" s="50">
        <f t="shared" si="1034"/>
        <v>956.7125</v>
      </c>
      <c r="AY1379" s="43"/>
      <c r="AZ1379" s="47"/>
      <c r="BA1379" s="48">
        <f t="shared" si="1080"/>
        <v>15140.9115</v>
      </c>
      <c r="BB1379" s="27"/>
      <c r="BC1379" s="27"/>
      <c r="BD1379" s="51"/>
      <c r="BE1379" s="52"/>
      <c r="BF1379" s="27"/>
      <c r="BG1379" s="53" t="s">
        <v>4471</v>
      </c>
      <c r="BH1379" s="53" t="str">
        <f t="shared" ref="BH1379:BH1380" si="1109">'[1]2023'!Q1652</f>
        <v>#REF!</v>
      </c>
      <c r="BI1379" s="27"/>
      <c r="BJ1379" s="27"/>
      <c r="BK1379" s="27" t="s">
        <v>76</v>
      </c>
      <c r="BL1379" s="64" t="s">
        <v>4472</v>
      </c>
    </row>
    <row r="1380" ht="14.25" customHeight="1">
      <c r="A1380" s="26" t="s">
        <v>111</v>
      </c>
      <c r="B1380" s="26" t="s">
        <v>56</v>
      </c>
      <c r="C1380" s="26" t="s">
        <v>57</v>
      </c>
      <c r="D1380" s="26" t="s">
        <v>71</v>
      </c>
      <c r="E1380" s="27" t="s">
        <v>4473</v>
      </c>
      <c r="F1380" s="28" t="s">
        <v>4474</v>
      </c>
      <c r="G1380" s="29">
        <v>45244.0</v>
      </c>
      <c r="H1380" s="30">
        <v>45244.0</v>
      </c>
      <c r="I1380" s="30">
        <v>45609.0</v>
      </c>
      <c r="J1380" s="31" t="s">
        <v>4475</v>
      </c>
      <c r="K1380" s="26" t="s">
        <v>2374</v>
      </c>
      <c r="L1380" s="89">
        <v>45249.0</v>
      </c>
      <c r="M1380" s="33">
        <v>17095.11</v>
      </c>
      <c r="N1380" s="33">
        <v>18445.0</v>
      </c>
      <c r="O1380" s="27" t="s">
        <v>76</v>
      </c>
      <c r="P1380" s="35" t="s">
        <v>430</v>
      </c>
      <c r="Q1380" s="35" t="s">
        <v>114</v>
      </c>
      <c r="R1380" s="36">
        <v>45254.0</v>
      </c>
      <c r="S1380" s="35" t="s">
        <v>848</v>
      </c>
      <c r="T1380" s="35">
        <v>0.0</v>
      </c>
      <c r="U1380" s="37" t="s">
        <v>149</v>
      </c>
      <c r="V1380" s="38">
        <v>850000.0</v>
      </c>
      <c r="W1380" s="78">
        <v>14517.0</v>
      </c>
      <c r="X1380" s="27"/>
      <c r="Y1380" s="39" t="s">
        <v>4476</v>
      </c>
      <c r="Z1380" s="39"/>
      <c r="AA1380" s="39"/>
      <c r="AB1380" s="27"/>
      <c r="AC1380" s="27">
        <f t="shared" si="1100"/>
        <v>0</v>
      </c>
      <c r="AD1380" s="41">
        <f t="shared" si="1093"/>
        <v>0</v>
      </c>
      <c r="AE1380" s="42"/>
      <c r="AF1380" s="27"/>
      <c r="AG1380" s="43">
        <f>IF(O1380="Paid",IF(A1380="Wethaq",(M1380*28%)-((M1380*28%)*5%),IF((A1380="GIG"),(M1380*15%)-((M1380*15%)*5%),IF((A1380="Allianz"),(M1380*27%)-((M1380*27%)*20%),0))),0)</f>
        <v>2436.053175</v>
      </c>
      <c r="AH1380" s="29"/>
      <c r="AI1380" s="200" t="s">
        <v>4255</v>
      </c>
      <c r="AJ1380" s="29"/>
      <c r="AK1380" s="230">
        <v>45322.0</v>
      </c>
      <c r="AL1380" s="27"/>
      <c r="AM1380" s="44"/>
      <c r="AN1380" s="47"/>
      <c r="AO1380" s="46"/>
      <c r="AP1380" s="47"/>
      <c r="AQ1380" s="43">
        <f t="shared" si="1107"/>
        <v>2564.2665</v>
      </c>
      <c r="AR1380" s="43">
        <f t="shared" si="448"/>
        <v>128.213325</v>
      </c>
      <c r="AS1380" s="43">
        <f t="shared" si="449"/>
        <v>448.7466375</v>
      </c>
      <c r="AT1380" s="48">
        <f t="shared" si="753"/>
        <v>1987.306538</v>
      </c>
      <c r="AU1380" s="49">
        <f t="shared" si="1088"/>
        <v>1987.306538</v>
      </c>
      <c r="AV1380" s="48"/>
      <c r="AW1380" s="34">
        <f t="shared" si="1000"/>
        <v>18445</v>
      </c>
      <c r="AX1380" s="50">
        <f t="shared" si="1034"/>
        <v>1987.306538</v>
      </c>
      <c r="AY1380" s="43"/>
      <c r="AZ1380" s="47"/>
      <c r="BA1380" s="48">
        <f t="shared" si="1080"/>
        <v>1987.306538</v>
      </c>
      <c r="BB1380" s="27"/>
      <c r="BC1380" s="27"/>
      <c r="BD1380" s="51"/>
      <c r="BE1380" s="52"/>
      <c r="BF1380" s="27"/>
      <c r="BG1380" s="53">
        <v>0.0</v>
      </c>
      <c r="BH1380" s="53" t="str">
        <f t="shared" si="1109"/>
        <v>#REF!</v>
      </c>
      <c r="BI1380" s="27"/>
      <c r="BJ1380" s="27"/>
      <c r="BK1380" s="27" t="s">
        <v>76</v>
      </c>
      <c r="BL1380" s="27"/>
    </row>
    <row r="1381" ht="14.25" customHeight="1">
      <c r="A1381" s="26" t="s">
        <v>68</v>
      </c>
      <c r="B1381" s="26" t="s">
        <v>56</v>
      </c>
      <c r="C1381" s="26" t="s">
        <v>57</v>
      </c>
      <c r="D1381" s="26" t="s">
        <v>71</v>
      </c>
      <c r="E1381" s="27" t="s">
        <v>4477</v>
      </c>
      <c r="F1381" s="28" t="s">
        <v>4478</v>
      </c>
      <c r="G1381" s="29">
        <v>45245.0</v>
      </c>
      <c r="H1381" s="30">
        <v>45245.0</v>
      </c>
      <c r="I1381" s="30">
        <v>45610.0</v>
      </c>
      <c r="J1381" s="31" t="s">
        <v>4479</v>
      </c>
      <c r="K1381" s="26" t="s">
        <v>2374</v>
      </c>
      <c r="L1381" s="89">
        <v>45253.0</v>
      </c>
      <c r="M1381" s="33">
        <v>89889.86</v>
      </c>
      <c r="N1381" s="33">
        <v>96000.0</v>
      </c>
      <c r="O1381" s="27" t="s">
        <v>76</v>
      </c>
      <c r="P1381" s="35" t="s">
        <v>142</v>
      </c>
      <c r="Q1381" s="35" t="s">
        <v>108</v>
      </c>
      <c r="R1381" s="36">
        <v>45265.0</v>
      </c>
      <c r="S1381" s="35" t="s">
        <v>86</v>
      </c>
      <c r="T1381" s="35">
        <v>0.0</v>
      </c>
      <c r="U1381" s="37" t="s">
        <v>68</v>
      </c>
      <c r="V1381" s="38">
        <v>6000000.0</v>
      </c>
      <c r="W1381" s="78">
        <v>44797.0</v>
      </c>
      <c r="X1381" s="27"/>
      <c r="Y1381" s="79" t="s">
        <v>4480</v>
      </c>
      <c r="Z1381" s="39"/>
      <c r="AA1381" s="39"/>
      <c r="AB1381" s="27"/>
      <c r="AC1381" s="27">
        <f t="shared" si="1100"/>
        <v>0</v>
      </c>
      <c r="AD1381" s="41">
        <f t="shared" si="1093"/>
        <v>13483.479</v>
      </c>
      <c r="AE1381" s="42">
        <v>3000.0</v>
      </c>
      <c r="AF1381" s="27" t="s">
        <v>4414</v>
      </c>
      <c r="AG1381" s="43">
        <f t="shared" ref="AG1381:AG1387" si="1110">IF(O1381="Paid",IF(A1381="Wethaq",(M1381*28%)-((M1381*28%)*5%),IF((A1381="GIG"),(M1381*25%)-((M1381*25%)*5%),IF((A1381="Allianz"),(M1381*27%)-((M1381*27%)*20%),0))),0)</f>
        <v>23910.70276</v>
      </c>
      <c r="AH1381" s="29"/>
      <c r="AI1381" s="29">
        <v>45284.0</v>
      </c>
      <c r="AJ1381" s="55">
        <v>0.28</v>
      </c>
      <c r="AK1381" s="182">
        <v>45279.0</v>
      </c>
      <c r="AL1381" s="77"/>
      <c r="AM1381" s="44"/>
      <c r="AN1381" s="47"/>
      <c r="AO1381" s="46"/>
      <c r="AP1381" s="47"/>
      <c r="AQ1381" s="43">
        <f>M1381*AJ1381</f>
        <v>25169.1608</v>
      </c>
      <c r="AR1381" s="43">
        <f t="shared" si="448"/>
        <v>1258.45804</v>
      </c>
      <c r="AS1381" s="43">
        <f t="shared" si="449"/>
        <v>4404.60314</v>
      </c>
      <c r="AT1381" s="48">
        <f t="shared" si="753"/>
        <v>19506.09962</v>
      </c>
      <c r="AU1381" s="49">
        <f t="shared" si="1088"/>
        <v>19506.09962</v>
      </c>
      <c r="AV1381" s="48"/>
      <c r="AW1381" s="85">
        <f t="shared" si="1000"/>
        <v>79516.521</v>
      </c>
      <c r="AX1381" s="50">
        <f t="shared" si="1034"/>
        <v>3022.62062</v>
      </c>
      <c r="AY1381" s="43"/>
      <c r="AZ1381" s="47"/>
      <c r="BA1381" s="48">
        <f t="shared" si="1080"/>
        <v>19506.09962</v>
      </c>
      <c r="BB1381" s="27"/>
      <c r="BC1381" s="27"/>
      <c r="BD1381" s="51"/>
      <c r="BE1381" s="52"/>
      <c r="BF1381" s="27"/>
      <c r="BG1381" s="53">
        <v>0.0</v>
      </c>
      <c r="BH1381" s="53" t="str">
        <f>'[1]2023'!Q1600</f>
        <v>#REF!</v>
      </c>
      <c r="BI1381" s="27"/>
      <c r="BJ1381" s="27"/>
      <c r="BK1381" s="27" t="s">
        <v>76</v>
      </c>
      <c r="BL1381" s="27"/>
    </row>
    <row r="1382" ht="14.25" customHeight="1">
      <c r="A1382" s="26" t="s">
        <v>55</v>
      </c>
      <c r="B1382" s="26" t="s">
        <v>56</v>
      </c>
      <c r="C1382" s="26" t="s">
        <v>57</v>
      </c>
      <c r="D1382" s="26" t="s">
        <v>81</v>
      </c>
      <c r="E1382" s="27" t="s">
        <v>4481</v>
      </c>
      <c r="F1382" s="28" t="s">
        <v>4482</v>
      </c>
      <c r="G1382" s="29">
        <v>45245.0</v>
      </c>
      <c r="H1382" s="30">
        <v>45245.0</v>
      </c>
      <c r="I1382" s="30">
        <v>45610.0</v>
      </c>
      <c r="J1382" s="31" t="s">
        <v>4483</v>
      </c>
      <c r="K1382" s="26" t="s">
        <v>2374</v>
      </c>
      <c r="L1382" s="32" t="s">
        <v>63</v>
      </c>
      <c r="M1382" s="33" t="s">
        <v>63</v>
      </c>
      <c r="N1382" s="33" t="s">
        <v>63</v>
      </c>
      <c r="O1382" s="27" t="s">
        <v>1102</v>
      </c>
      <c r="P1382" s="35">
        <v>0.0</v>
      </c>
      <c r="Q1382" s="35">
        <v>0.0</v>
      </c>
      <c r="R1382" s="36">
        <v>45245.0</v>
      </c>
      <c r="S1382" s="35" t="s">
        <v>86</v>
      </c>
      <c r="T1382" s="35">
        <v>0.0</v>
      </c>
      <c r="U1382" s="37" t="s">
        <v>67</v>
      </c>
      <c r="V1382" s="38"/>
      <c r="W1382" s="78"/>
      <c r="X1382" s="27"/>
      <c r="Y1382" s="39"/>
      <c r="Z1382" s="39"/>
      <c r="AA1382" s="39"/>
      <c r="AB1382" s="27"/>
      <c r="AC1382" s="27" t="str">
        <f t="shared" si="1100"/>
        <v>#VALUE!</v>
      </c>
      <c r="AD1382" s="41">
        <f t="shared" si="1093"/>
        <v>0</v>
      </c>
      <c r="AE1382" s="42"/>
      <c r="AF1382" s="27"/>
      <c r="AG1382" s="43">
        <f t="shared" si="1110"/>
        <v>0</v>
      </c>
      <c r="AH1382" s="29"/>
      <c r="AI1382" s="29"/>
      <c r="AJ1382" s="29"/>
      <c r="AK1382" s="29"/>
      <c r="AL1382" s="27"/>
      <c r="AM1382" s="44"/>
      <c r="AN1382" s="47"/>
      <c r="AO1382" s="46"/>
      <c r="AP1382" s="47"/>
      <c r="AQ1382" s="43" t="b">
        <f t="shared" ref="AQ1382:AQ1387" si="1111">IF(O1382="Paid",IF(U1382="Motor Plus",(M1382*27%),IF(U1382="Motor One",(M1382*22%),(IF(U1382="Golden",(M1382*25%),(IF(U1382="Classic",(M1382*15%),(IF(U1382="Wethaq",(M1382*28%),IF(U1382="Alwataniya",(M1382*21%))*0)))))))))</f>
        <v>0</v>
      </c>
      <c r="AR1382" s="43">
        <f t="shared" si="448"/>
        <v>0</v>
      </c>
      <c r="AS1382" s="43">
        <f t="shared" si="449"/>
        <v>0</v>
      </c>
      <c r="AT1382" s="48">
        <f t="shared" si="753"/>
        <v>0</v>
      </c>
      <c r="AU1382" s="49" t="str">
        <f t="shared" si="1088"/>
        <v>#VALUE!</v>
      </c>
      <c r="AV1382" s="48"/>
      <c r="AW1382" s="27" t="str">
        <f t="shared" si="1000"/>
        <v>#VALUE!</v>
      </c>
      <c r="AX1382" s="50">
        <f t="shared" si="1034"/>
        <v>0</v>
      </c>
      <c r="AY1382" s="43"/>
      <c r="AZ1382" s="47"/>
      <c r="BA1382" s="48" t="str">
        <f t="shared" si="1080"/>
        <v>#VALUE!</v>
      </c>
      <c r="BB1382" s="27"/>
      <c r="BC1382" s="27"/>
      <c r="BD1382" s="51"/>
      <c r="BE1382" s="52"/>
      <c r="BF1382" s="27"/>
      <c r="BG1382" s="53">
        <v>0.0</v>
      </c>
      <c r="BH1382" s="53" t="str">
        <f>'[1]2023'!Q1636</f>
        <v>#REF!</v>
      </c>
      <c r="BI1382" s="27"/>
      <c r="BJ1382" s="27"/>
      <c r="BK1382" s="27" t="s">
        <v>1102</v>
      </c>
      <c r="BL1382" s="27"/>
    </row>
    <row r="1383" ht="14.25" customHeight="1">
      <c r="A1383" s="26" t="s">
        <v>55</v>
      </c>
      <c r="B1383" s="26" t="s">
        <v>56</v>
      </c>
      <c r="C1383" s="26" t="s">
        <v>57</v>
      </c>
      <c r="D1383" s="26" t="s">
        <v>81</v>
      </c>
      <c r="E1383" s="27" t="s">
        <v>4484</v>
      </c>
      <c r="F1383" s="28" t="s">
        <v>4485</v>
      </c>
      <c r="G1383" s="29">
        <v>45245.0</v>
      </c>
      <c r="H1383" s="30">
        <v>45245.0</v>
      </c>
      <c r="I1383" s="30">
        <v>45610.0</v>
      </c>
      <c r="J1383" s="31" t="s">
        <v>4486</v>
      </c>
      <c r="K1383" s="26" t="s">
        <v>2374</v>
      </c>
      <c r="L1383" s="32" t="s">
        <v>63</v>
      </c>
      <c r="M1383" s="33" t="s">
        <v>63</v>
      </c>
      <c r="N1383" s="33" t="s">
        <v>63</v>
      </c>
      <c r="O1383" s="27" t="s">
        <v>1102</v>
      </c>
      <c r="P1383" s="35">
        <v>0.0</v>
      </c>
      <c r="Q1383" s="35">
        <v>0.0</v>
      </c>
      <c r="R1383" s="36">
        <v>45245.0</v>
      </c>
      <c r="S1383" s="35" t="s">
        <v>86</v>
      </c>
      <c r="T1383" s="35">
        <v>0.0</v>
      </c>
      <c r="U1383" s="37" t="s">
        <v>67</v>
      </c>
      <c r="V1383" s="38"/>
      <c r="W1383" s="78"/>
      <c r="X1383" s="27"/>
      <c r="Y1383" s="39"/>
      <c r="Z1383" s="39"/>
      <c r="AA1383" s="39"/>
      <c r="AB1383" s="27"/>
      <c r="AC1383" s="27" t="str">
        <f t="shared" si="1100"/>
        <v>#VALUE!</v>
      </c>
      <c r="AD1383" s="41">
        <f t="shared" si="1093"/>
        <v>0</v>
      </c>
      <c r="AE1383" s="42"/>
      <c r="AF1383" s="27"/>
      <c r="AG1383" s="43">
        <f t="shared" si="1110"/>
        <v>0</v>
      </c>
      <c r="AH1383" s="29"/>
      <c r="AI1383" s="29"/>
      <c r="AJ1383" s="29"/>
      <c r="AK1383" s="29"/>
      <c r="AL1383" s="27"/>
      <c r="AM1383" s="44"/>
      <c r="AN1383" s="47"/>
      <c r="AO1383" s="46"/>
      <c r="AP1383" s="47"/>
      <c r="AQ1383" s="43" t="b">
        <f t="shared" si="1111"/>
        <v>0</v>
      </c>
      <c r="AR1383" s="43">
        <f t="shared" si="448"/>
        <v>0</v>
      </c>
      <c r="AS1383" s="43">
        <f t="shared" si="449"/>
        <v>0</v>
      </c>
      <c r="AT1383" s="48">
        <f t="shared" si="753"/>
        <v>0</v>
      </c>
      <c r="AU1383" s="49" t="str">
        <f t="shared" si="1088"/>
        <v>#VALUE!</v>
      </c>
      <c r="AV1383" s="48"/>
      <c r="AW1383" s="27" t="str">
        <f t="shared" si="1000"/>
        <v>#VALUE!</v>
      </c>
      <c r="AX1383" s="50">
        <f t="shared" si="1034"/>
        <v>0</v>
      </c>
      <c r="AY1383" s="43"/>
      <c r="AZ1383" s="47"/>
      <c r="BA1383" s="48" t="str">
        <f t="shared" si="1080"/>
        <v>#VALUE!</v>
      </c>
      <c r="BB1383" s="27"/>
      <c r="BC1383" s="27"/>
      <c r="BD1383" s="51"/>
      <c r="BE1383" s="52"/>
      <c r="BF1383" s="27"/>
      <c r="BG1383" s="53">
        <v>0.0</v>
      </c>
      <c r="BH1383" s="53" t="str">
        <f>'[1]2023'!Q1645</f>
        <v>#REF!</v>
      </c>
      <c r="BI1383" s="27"/>
      <c r="BJ1383" s="27"/>
      <c r="BK1383" s="27" t="s">
        <v>1102</v>
      </c>
      <c r="BL1383" s="27"/>
    </row>
    <row r="1384" ht="14.25" customHeight="1">
      <c r="A1384" s="123" t="s">
        <v>55</v>
      </c>
      <c r="B1384" s="123" t="s">
        <v>56</v>
      </c>
      <c r="C1384" s="123" t="s">
        <v>57</v>
      </c>
      <c r="D1384" s="123" t="s">
        <v>58</v>
      </c>
      <c r="E1384" s="231" t="s">
        <v>4487</v>
      </c>
      <c r="F1384" s="28" t="s">
        <v>4488</v>
      </c>
      <c r="G1384" s="29">
        <v>45245.0</v>
      </c>
      <c r="H1384" s="30">
        <v>45245.0</v>
      </c>
      <c r="I1384" s="30">
        <v>45610.0</v>
      </c>
      <c r="J1384" s="31" t="s">
        <v>86</v>
      </c>
      <c r="K1384" s="26" t="s">
        <v>4489</v>
      </c>
      <c r="L1384" s="89">
        <v>45287.0</v>
      </c>
      <c r="M1384" s="33">
        <v>967.1</v>
      </c>
      <c r="N1384" s="33">
        <v>1028.99</v>
      </c>
      <c r="O1384" s="27" t="s">
        <v>76</v>
      </c>
      <c r="P1384" s="35" t="s">
        <v>89</v>
      </c>
      <c r="Q1384" s="35" t="s">
        <v>108</v>
      </c>
      <c r="R1384" s="36">
        <v>0.0</v>
      </c>
      <c r="S1384" s="35" t="s">
        <v>86</v>
      </c>
      <c r="T1384" s="35">
        <v>0.0</v>
      </c>
      <c r="U1384" s="37">
        <v>0.0</v>
      </c>
      <c r="V1384" s="38"/>
      <c r="W1384" s="78"/>
      <c r="X1384" s="27"/>
      <c r="Y1384" s="39"/>
      <c r="Z1384" s="39"/>
      <c r="AA1384" s="39"/>
      <c r="AB1384" s="27"/>
      <c r="AC1384" s="27">
        <f t="shared" si="1100"/>
        <v>0</v>
      </c>
      <c r="AD1384" s="41">
        <f t="shared" si="1093"/>
        <v>145.065</v>
      </c>
      <c r="AE1384" s="42"/>
      <c r="AF1384" s="27"/>
      <c r="AG1384" s="43">
        <f t="shared" si="1110"/>
        <v>208.8936</v>
      </c>
      <c r="AH1384" s="29"/>
      <c r="AI1384" s="29"/>
      <c r="AJ1384" s="29"/>
      <c r="AK1384" s="29"/>
      <c r="AL1384" s="27"/>
      <c r="AM1384" s="44"/>
      <c r="AN1384" s="47"/>
      <c r="AO1384" s="46"/>
      <c r="AP1384" s="47"/>
      <c r="AQ1384" s="43">
        <f t="shared" si="1111"/>
        <v>0</v>
      </c>
      <c r="AR1384" s="43">
        <f t="shared" si="448"/>
        <v>0</v>
      </c>
      <c r="AS1384" s="43">
        <f t="shared" si="449"/>
        <v>0</v>
      </c>
      <c r="AT1384" s="48">
        <f t="shared" si="753"/>
        <v>0</v>
      </c>
      <c r="AU1384" s="49">
        <f t="shared" si="1088"/>
        <v>0</v>
      </c>
      <c r="AV1384" s="48"/>
      <c r="AW1384" s="34">
        <f t="shared" si="1000"/>
        <v>883.925</v>
      </c>
      <c r="AX1384" s="50">
        <f t="shared" si="1034"/>
        <v>63.8286</v>
      </c>
      <c r="AY1384" s="43"/>
      <c r="AZ1384" s="47"/>
      <c r="BA1384" s="48">
        <f t="shared" si="1080"/>
        <v>0</v>
      </c>
      <c r="BB1384" s="27"/>
      <c r="BC1384" s="27"/>
      <c r="BD1384" s="51"/>
      <c r="BE1384" s="52"/>
      <c r="BF1384" s="27"/>
      <c r="BG1384" s="53">
        <v>0.0</v>
      </c>
      <c r="BH1384" s="53" t="str">
        <f>'[1]2023'!Q1690</f>
        <v>#REF!</v>
      </c>
      <c r="BI1384" s="27"/>
      <c r="BJ1384" s="27"/>
      <c r="BK1384" s="27" t="s">
        <v>1102</v>
      </c>
      <c r="BL1384" s="27"/>
    </row>
    <row r="1385" ht="14.25" customHeight="1">
      <c r="A1385" s="26" t="s">
        <v>68</v>
      </c>
      <c r="B1385" s="26" t="s">
        <v>56</v>
      </c>
      <c r="C1385" s="26" t="s">
        <v>57</v>
      </c>
      <c r="D1385" s="26" t="s">
        <v>71</v>
      </c>
      <c r="E1385" s="27" t="s">
        <v>4490</v>
      </c>
      <c r="F1385" s="28" t="s">
        <v>4491</v>
      </c>
      <c r="G1385" s="29">
        <v>45246.0</v>
      </c>
      <c r="H1385" s="30">
        <v>45246.0</v>
      </c>
      <c r="I1385" s="30">
        <v>45611.0</v>
      </c>
      <c r="J1385" s="31" t="s">
        <v>4492</v>
      </c>
      <c r="K1385" s="26" t="s">
        <v>2374</v>
      </c>
      <c r="L1385" s="32" t="s">
        <v>63</v>
      </c>
      <c r="M1385" s="108">
        <v>6937.8</v>
      </c>
      <c r="N1385" s="33">
        <v>7500.0</v>
      </c>
      <c r="O1385" s="27" t="s">
        <v>64</v>
      </c>
      <c r="P1385" s="35" t="s">
        <v>142</v>
      </c>
      <c r="Q1385" s="35">
        <v>0.0</v>
      </c>
      <c r="R1385" s="36">
        <v>45266.0</v>
      </c>
      <c r="S1385" s="35" t="s">
        <v>66</v>
      </c>
      <c r="T1385" s="35">
        <v>0.0</v>
      </c>
      <c r="U1385" s="37" t="s">
        <v>68</v>
      </c>
      <c r="V1385" s="38">
        <v>500000.0</v>
      </c>
      <c r="W1385" s="78">
        <v>709893.0</v>
      </c>
      <c r="X1385" s="27"/>
      <c r="Y1385" s="79" t="s">
        <v>4493</v>
      </c>
      <c r="Z1385" s="39"/>
      <c r="AA1385" s="39"/>
      <c r="AB1385" s="27"/>
      <c r="AC1385" s="27">
        <f t="shared" si="1100"/>
        <v>0</v>
      </c>
      <c r="AD1385" s="41">
        <f t="shared" si="1093"/>
        <v>0</v>
      </c>
      <c r="AE1385" s="42"/>
      <c r="AF1385" s="27"/>
      <c r="AG1385" s="43">
        <f t="shared" si="1110"/>
        <v>0</v>
      </c>
      <c r="AH1385" s="29"/>
      <c r="AI1385" s="29"/>
      <c r="AJ1385" s="29"/>
      <c r="AK1385" s="29"/>
      <c r="AL1385" s="27"/>
      <c r="AM1385" s="44"/>
      <c r="AN1385" s="47"/>
      <c r="AO1385" s="46"/>
      <c r="AP1385" s="47"/>
      <c r="AQ1385" s="43" t="b">
        <f t="shared" si="1111"/>
        <v>0</v>
      </c>
      <c r="AR1385" s="43">
        <f t="shared" si="448"/>
        <v>0</v>
      </c>
      <c r="AS1385" s="43">
        <f t="shared" si="449"/>
        <v>0</v>
      </c>
      <c r="AT1385" s="48">
        <f t="shared" si="753"/>
        <v>0</v>
      </c>
      <c r="AU1385" s="49">
        <f t="shared" si="1088"/>
        <v>0</v>
      </c>
      <c r="AV1385" s="48"/>
      <c r="AW1385" s="34">
        <f t="shared" si="1000"/>
        <v>7500</v>
      </c>
      <c r="AX1385" s="50">
        <f t="shared" si="1034"/>
        <v>0</v>
      </c>
      <c r="AY1385" s="43"/>
      <c r="AZ1385" s="47"/>
      <c r="BA1385" s="48">
        <f t="shared" si="1080"/>
        <v>0</v>
      </c>
      <c r="BB1385" s="27"/>
      <c r="BC1385" s="27"/>
      <c r="BD1385" s="51"/>
      <c r="BE1385" s="52"/>
      <c r="BF1385" s="27"/>
      <c r="BG1385" s="58" t="s">
        <v>562</v>
      </c>
      <c r="BH1385" s="53" t="str">
        <f>'[1]2023'!Q1605</f>
        <v>#REF!</v>
      </c>
      <c r="BI1385" s="27"/>
      <c r="BJ1385" s="27"/>
      <c r="BK1385" s="27" t="s">
        <v>1102</v>
      </c>
      <c r="BL1385" s="27"/>
    </row>
    <row r="1386" ht="14.25" customHeight="1">
      <c r="A1386" s="26" t="s">
        <v>55</v>
      </c>
      <c r="B1386" s="26" t="s">
        <v>56</v>
      </c>
      <c r="C1386" s="26" t="s">
        <v>57</v>
      </c>
      <c r="D1386" s="26" t="s">
        <v>81</v>
      </c>
      <c r="E1386" s="27" t="s">
        <v>1843</v>
      </c>
      <c r="F1386" s="28" t="s">
        <v>4494</v>
      </c>
      <c r="G1386" s="29">
        <v>45246.0</v>
      </c>
      <c r="H1386" s="30">
        <v>45246.0</v>
      </c>
      <c r="I1386" s="30">
        <v>45611.0</v>
      </c>
      <c r="J1386" s="31" t="s">
        <v>4495</v>
      </c>
      <c r="K1386" s="26" t="s">
        <v>2374</v>
      </c>
      <c r="L1386" s="89">
        <v>45258.0</v>
      </c>
      <c r="M1386" s="33">
        <v>27072.0</v>
      </c>
      <c r="N1386" s="33">
        <v>29004.6</v>
      </c>
      <c r="O1386" s="27" t="s">
        <v>76</v>
      </c>
      <c r="P1386" s="35" t="s">
        <v>89</v>
      </c>
      <c r="Q1386" s="35" t="s">
        <v>90</v>
      </c>
      <c r="R1386" s="36">
        <v>45246.0</v>
      </c>
      <c r="S1386" s="35" t="s">
        <v>86</v>
      </c>
      <c r="T1386" s="35">
        <v>0.0</v>
      </c>
      <c r="U1386" s="37" t="s">
        <v>67</v>
      </c>
      <c r="V1386" s="38">
        <v>1200000.0</v>
      </c>
      <c r="W1386" s="78">
        <v>519247.0</v>
      </c>
      <c r="X1386" s="27">
        <v>2022.0</v>
      </c>
      <c r="Y1386" s="79" t="s">
        <v>232</v>
      </c>
      <c r="Z1386" s="39"/>
      <c r="AA1386" s="39"/>
      <c r="AB1386" s="27"/>
      <c r="AC1386" s="27">
        <f t="shared" si="1100"/>
        <v>0</v>
      </c>
      <c r="AD1386" s="41">
        <f t="shared" si="1093"/>
        <v>4060.8</v>
      </c>
      <c r="AE1386" s="42"/>
      <c r="AF1386" s="27"/>
      <c r="AG1386" s="43">
        <f t="shared" si="1110"/>
        <v>5847.552</v>
      </c>
      <c r="AH1386" s="29"/>
      <c r="AI1386" s="29"/>
      <c r="AJ1386" s="29"/>
      <c r="AK1386" s="29"/>
      <c r="AL1386" s="27"/>
      <c r="AM1386" s="44"/>
      <c r="AN1386" s="47"/>
      <c r="AO1386" s="46"/>
      <c r="AP1386" s="47"/>
      <c r="AQ1386" s="43">
        <f t="shared" si="1111"/>
        <v>7309.44</v>
      </c>
      <c r="AR1386" s="43">
        <f t="shared" si="448"/>
        <v>365.472</v>
      </c>
      <c r="AS1386" s="43">
        <f t="shared" si="449"/>
        <v>1279.152</v>
      </c>
      <c r="AT1386" s="48">
        <f t="shared" si="753"/>
        <v>5664.816</v>
      </c>
      <c r="AU1386" s="49">
        <f t="shared" si="1088"/>
        <v>5664.816</v>
      </c>
      <c r="AV1386" s="48"/>
      <c r="AW1386" s="34">
        <f t="shared" si="1000"/>
        <v>24943.8</v>
      </c>
      <c r="AX1386" s="50">
        <f t="shared" si="1034"/>
        <v>507.6</v>
      </c>
      <c r="AY1386" s="43"/>
      <c r="AZ1386" s="47"/>
      <c r="BA1386" s="48">
        <f t="shared" si="1080"/>
        <v>5664.816</v>
      </c>
      <c r="BB1386" s="27"/>
      <c r="BC1386" s="27"/>
      <c r="BD1386" s="51"/>
      <c r="BE1386" s="52"/>
      <c r="BF1386" s="27"/>
      <c r="BG1386" s="53">
        <v>0.0</v>
      </c>
      <c r="BH1386" s="53" t="str">
        <f>'[1]2023'!Q1627</f>
        <v>#REF!</v>
      </c>
      <c r="BI1386" s="27"/>
      <c r="BJ1386" s="27"/>
      <c r="BK1386" s="27" t="s">
        <v>76</v>
      </c>
      <c r="BL1386" s="27"/>
    </row>
    <row r="1387" ht="14.25" customHeight="1">
      <c r="A1387" s="26" t="s">
        <v>55</v>
      </c>
      <c r="B1387" s="26" t="s">
        <v>56</v>
      </c>
      <c r="C1387" s="26" t="s">
        <v>57</v>
      </c>
      <c r="D1387" s="26" t="s">
        <v>81</v>
      </c>
      <c r="E1387" s="27" t="s">
        <v>4496</v>
      </c>
      <c r="F1387" s="28" t="s">
        <v>4497</v>
      </c>
      <c r="G1387" s="29">
        <v>45246.0</v>
      </c>
      <c r="H1387" s="30">
        <v>45246.0</v>
      </c>
      <c r="I1387" s="30">
        <v>45611.0</v>
      </c>
      <c r="J1387" s="31" t="s">
        <v>4498</v>
      </c>
      <c r="K1387" s="26" t="s">
        <v>2374</v>
      </c>
      <c r="L1387" s="89">
        <v>45271.0</v>
      </c>
      <c r="M1387" s="33">
        <v>30854.78</v>
      </c>
      <c r="N1387" s="33">
        <v>33029.48</v>
      </c>
      <c r="O1387" s="27" t="s">
        <v>76</v>
      </c>
      <c r="P1387" s="35" t="s">
        <v>95</v>
      </c>
      <c r="Q1387" s="35" t="s">
        <v>65</v>
      </c>
      <c r="R1387" s="36">
        <v>45246.0</v>
      </c>
      <c r="S1387" s="35" t="s">
        <v>86</v>
      </c>
      <c r="T1387" s="35">
        <v>0.0</v>
      </c>
      <c r="U1387" s="37" t="s">
        <v>67</v>
      </c>
      <c r="V1387" s="38">
        <v>960000.0</v>
      </c>
      <c r="W1387" s="78">
        <v>507787.0</v>
      </c>
      <c r="X1387" s="27">
        <v>2021.0</v>
      </c>
      <c r="Y1387" s="79" t="s">
        <v>2944</v>
      </c>
      <c r="Z1387" s="39"/>
      <c r="AA1387" s="39"/>
      <c r="AB1387" s="27"/>
      <c r="AC1387" s="27">
        <f t="shared" si="1100"/>
        <v>0</v>
      </c>
      <c r="AD1387" s="41">
        <f t="shared" si="1093"/>
        <v>4628.217</v>
      </c>
      <c r="AE1387" s="42"/>
      <c r="AF1387" s="27"/>
      <c r="AG1387" s="43">
        <f t="shared" si="1110"/>
        <v>6664.63248</v>
      </c>
      <c r="AH1387" s="29"/>
      <c r="AI1387" s="29"/>
      <c r="AJ1387" s="29"/>
      <c r="AK1387" s="29"/>
      <c r="AL1387" s="27"/>
      <c r="AM1387" s="44"/>
      <c r="AN1387" s="47"/>
      <c r="AO1387" s="46"/>
      <c r="AP1387" s="47"/>
      <c r="AQ1387" s="43">
        <f t="shared" si="1111"/>
        <v>8330.7906</v>
      </c>
      <c r="AR1387" s="43">
        <f t="shared" si="448"/>
        <v>416.53953</v>
      </c>
      <c r="AS1387" s="43">
        <f t="shared" si="449"/>
        <v>1457.888355</v>
      </c>
      <c r="AT1387" s="48">
        <f t="shared" si="753"/>
        <v>6456.362715</v>
      </c>
      <c r="AU1387" s="49">
        <f t="shared" si="1088"/>
        <v>6456.362715</v>
      </c>
      <c r="AV1387" s="48"/>
      <c r="AW1387" s="34">
        <f t="shared" si="1000"/>
        <v>28401.263</v>
      </c>
      <c r="AX1387" s="50">
        <f t="shared" si="1034"/>
        <v>578.527125</v>
      </c>
      <c r="AY1387" s="43"/>
      <c r="AZ1387" s="47"/>
      <c r="BA1387" s="48">
        <f t="shared" si="1080"/>
        <v>6456.362715</v>
      </c>
      <c r="BB1387" s="27"/>
      <c r="BC1387" s="27"/>
      <c r="BD1387" s="51"/>
      <c r="BE1387" s="52"/>
      <c r="BF1387" s="27"/>
      <c r="BG1387" s="53">
        <v>0.0</v>
      </c>
      <c r="BH1387" s="53" t="str">
        <f>'[1]2023'!Q1640</f>
        <v>#REF!</v>
      </c>
      <c r="BI1387" s="27"/>
      <c r="BJ1387" s="27"/>
      <c r="BK1387" s="27" t="s">
        <v>1102</v>
      </c>
      <c r="BL1387" s="27"/>
    </row>
    <row r="1388" ht="14.25" customHeight="1">
      <c r="A1388" s="26" t="s">
        <v>55</v>
      </c>
      <c r="B1388" s="26" t="s">
        <v>1099</v>
      </c>
      <c r="C1388" s="26" t="s">
        <v>57</v>
      </c>
      <c r="D1388" s="26" t="s">
        <v>81</v>
      </c>
      <c r="E1388" s="27" t="s">
        <v>4499</v>
      </c>
      <c r="F1388" s="26" t="s">
        <v>4500</v>
      </c>
      <c r="G1388" s="29">
        <v>45247.0</v>
      </c>
      <c r="H1388" s="30">
        <v>45247.0</v>
      </c>
      <c r="I1388" s="30">
        <v>45612.0</v>
      </c>
      <c r="J1388" s="31" t="s">
        <v>4501</v>
      </c>
      <c r="K1388" s="26" t="s">
        <v>2374</v>
      </c>
      <c r="L1388" s="89">
        <v>45224.0</v>
      </c>
      <c r="M1388" s="33">
        <v>20405.81</v>
      </c>
      <c r="N1388" s="33">
        <v>20948.52</v>
      </c>
      <c r="O1388" s="27" t="s">
        <v>76</v>
      </c>
      <c r="P1388" s="35" t="s">
        <v>430</v>
      </c>
      <c r="Q1388" s="35">
        <v>0.0</v>
      </c>
      <c r="R1388" s="36">
        <v>45247.0</v>
      </c>
      <c r="S1388" s="35" t="s">
        <v>86</v>
      </c>
      <c r="T1388" s="35">
        <v>0.0</v>
      </c>
      <c r="U1388" s="37" t="s">
        <v>1099</v>
      </c>
      <c r="V1388" s="38"/>
      <c r="W1388" s="78"/>
      <c r="X1388" s="27"/>
      <c r="Y1388" s="39"/>
      <c r="Z1388" s="39"/>
      <c r="AA1388" s="39"/>
      <c r="AB1388" s="27"/>
      <c r="AC1388" s="27">
        <f t="shared" si="1100"/>
        <v>0</v>
      </c>
      <c r="AD1388" s="41"/>
      <c r="AE1388" s="42"/>
      <c r="AF1388" s="27"/>
      <c r="AG1388" s="43">
        <f>IF(O1388="Paid",IF(A1388="Alwataniya",(M1388*21%)-((M1388*21%)*5%),IF((A1388="GIG"),(M1388*25%)-((M1388*25%)*5%),IF((A1388="Allianz"),(M1388*27%)-((M1388*27%)*5%),0))),0)</f>
        <v>5234.090265</v>
      </c>
      <c r="AH1388" s="29"/>
      <c r="AI1388" s="29"/>
      <c r="AJ1388" s="29"/>
      <c r="AK1388" s="29"/>
      <c r="AL1388" s="27"/>
      <c r="AM1388" s="44"/>
      <c r="AN1388" s="47"/>
      <c r="AO1388" s="46"/>
      <c r="AP1388" s="47"/>
      <c r="AQ1388" s="43">
        <f>IF(U1388="Motor Plus",(M1388*27%),IF(U1388="Motor One",(M1388*22%),(IF(U1388="Golden",(M1388*25%),(IF(U1388="Classic",(M1388*15%),(IF(U1388="Wethaq",(M1388*28%),IF(U1388="Alwataniya",(M1388*21%))*0))))))))</f>
        <v>0</v>
      </c>
      <c r="AR1388" s="43">
        <f t="shared" si="448"/>
        <v>0</v>
      </c>
      <c r="AS1388" s="43">
        <f t="shared" si="449"/>
        <v>0</v>
      </c>
      <c r="AT1388" s="48">
        <f t="shared" si="753"/>
        <v>0</v>
      </c>
      <c r="AU1388" s="49">
        <f t="shared" si="1088"/>
        <v>0</v>
      </c>
      <c r="AV1388" s="48"/>
      <c r="AW1388" s="34">
        <f t="shared" si="1000"/>
        <v>20948.52</v>
      </c>
      <c r="AX1388" s="50">
        <f t="shared" si="1034"/>
        <v>5234.090265</v>
      </c>
      <c r="AY1388" s="43"/>
      <c r="AZ1388" s="47"/>
      <c r="BA1388" s="48">
        <f t="shared" si="1080"/>
        <v>0</v>
      </c>
      <c r="BB1388" s="27"/>
      <c r="BC1388" s="27"/>
      <c r="BD1388" s="51"/>
      <c r="BE1388" s="52"/>
      <c r="BF1388" s="27"/>
      <c r="BG1388" s="58" t="s">
        <v>4502</v>
      </c>
      <c r="BH1388" s="53" t="str">
        <f>'[1]2023'!Q1486</f>
        <v>#REF!</v>
      </c>
      <c r="BI1388" s="27"/>
      <c r="BJ1388" s="27"/>
      <c r="BK1388" s="27" t="s">
        <v>76</v>
      </c>
      <c r="BL1388" s="27"/>
    </row>
    <row r="1389" ht="14.25" customHeight="1">
      <c r="A1389" s="26" t="s">
        <v>55</v>
      </c>
      <c r="B1389" s="26" t="s">
        <v>56</v>
      </c>
      <c r="C1389" s="26" t="s">
        <v>57</v>
      </c>
      <c r="D1389" s="26" t="s">
        <v>81</v>
      </c>
      <c r="E1389" s="27" t="s">
        <v>4503</v>
      </c>
      <c r="F1389" s="28" t="s">
        <v>4504</v>
      </c>
      <c r="G1389" s="29">
        <v>45247.0</v>
      </c>
      <c r="H1389" s="30">
        <v>45247.0</v>
      </c>
      <c r="I1389" s="30">
        <v>45612.0</v>
      </c>
      <c r="J1389" s="31" t="s">
        <v>4505</v>
      </c>
      <c r="K1389" s="26" t="s">
        <v>2374</v>
      </c>
      <c r="L1389" s="89">
        <v>45246.0</v>
      </c>
      <c r="M1389" s="33">
        <v>22644.25</v>
      </c>
      <c r="N1389" s="33">
        <v>24293.48</v>
      </c>
      <c r="O1389" s="27" t="s">
        <v>76</v>
      </c>
      <c r="P1389" s="35" t="s">
        <v>77</v>
      </c>
      <c r="Q1389" s="35">
        <v>0.0</v>
      </c>
      <c r="R1389" s="36">
        <v>45247.0</v>
      </c>
      <c r="S1389" s="35" t="s">
        <v>86</v>
      </c>
      <c r="T1389" s="35">
        <v>0.0</v>
      </c>
      <c r="U1389" s="37" t="s">
        <v>67</v>
      </c>
      <c r="V1389" s="38">
        <v>1150000.0</v>
      </c>
      <c r="W1389" s="78" t="s">
        <v>4506</v>
      </c>
      <c r="X1389" s="27">
        <v>2021.0</v>
      </c>
      <c r="Y1389" s="79" t="s">
        <v>1155</v>
      </c>
      <c r="Z1389" s="39"/>
      <c r="AA1389" s="39"/>
      <c r="AB1389" s="27"/>
      <c r="AC1389" s="27">
        <f t="shared" si="1100"/>
        <v>0</v>
      </c>
      <c r="AD1389" s="41">
        <f t="shared" ref="AD1389:AD1421" si="1112">IF(AND(S1389="0",O1389="Paid"),(M1389*15%)-AC1389,0)</f>
        <v>3396.6375</v>
      </c>
      <c r="AE1389" s="42"/>
      <c r="AF1389" s="27"/>
      <c r="AG1389" s="43">
        <f t="shared" ref="AG1389:AG1392" si="1113">IF(O1389="Paid",IF(A1389="Wethaq",(M1389*28%)-((M1389*28%)*5%),IF((A1389="GIG"),(M1389*25%)-((M1389*25%)*5%),IF((A1389="Allianz"),(M1389*27%)-((M1389*27%)*20%),0))),0)</f>
        <v>4891.158</v>
      </c>
      <c r="AH1389" s="29"/>
      <c r="AI1389" s="29"/>
      <c r="AJ1389" s="29"/>
      <c r="AK1389" s="29"/>
      <c r="AL1389" s="27"/>
      <c r="AM1389" s="44"/>
      <c r="AN1389" s="47"/>
      <c r="AO1389" s="46"/>
      <c r="AP1389" s="47"/>
      <c r="AQ1389" s="43">
        <f t="shared" ref="AQ1389:AQ1421" si="1114">IF(O1389="Paid",IF(U1389="Motor Plus",(M1389*27%),IF(U1389="Motor One",(M1389*22%),(IF(U1389="Golden",(M1389*25%),(IF(U1389="Classic",(M1389*15%),(IF(U1389="Wethaq",(M1389*28%),IF(U1389="Alwataniya",(M1389*21%))*0)))))))))</f>
        <v>6113.9475</v>
      </c>
      <c r="AR1389" s="43">
        <f t="shared" si="448"/>
        <v>305.697375</v>
      </c>
      <c r="AS1389" s="43">
        <f t="shared" si="449"/>
        <v>1069.940813</v>
      </c>
      <c r="AT1389" s="48">
        <f t="shared" si="753"/>
        <v>4738.309313</v>
      </c>
      <c r="AU1389" s="49">
        <f t="shared" si="1088"/>
        <v>4738.309313</v>
      </c>
      <c r="AV1389" s="48"/>
      <c r="AW1389" s="34">
        <f t="shared" si="1000"/>
        <v>20896.8425</v>
      </c>
      <c r="AX1389" s="50">
        <f t="shared" si="1034"/>
        <v>424.5796875</v>
      </c>
      <c r="AY1389" s="43"/>
      <c r="AZ1389" s="47"/>
      <c r="BA1389" s="48">
        <f t="shared" si="1080"/>
        <v>4738.309313</v>
      </c>
      <c r="BB1389" s="27"/>
      <c r="BC1389" s="27"/>
      <c r="BD1389" s="51"/>
      <c r="BE1389" s="52"/>
      <c r="BF1389" s="27"/>
      <c r="BG1389" s="53">
        <v>0.0</v>
      </c>
      <c r="BH1389" s="53" t="str">
        <f>'[1]2023'!Q1597</f>
        <v>#REF!</v>
      </c>
      <c r="BI1389" s="27"/>
      <c r="BJ1389" s="27"/>
      <c r="BK1389" s="27" t="s">
        <v>76</v>
      </c>
      <c r="BL1389" s="27"/>
    </row>
    <row r="1390" ht="14.25" customHeight="1">
      <c r="A1390" s="26" t="s">
        <v>55</v>
      </c>
      <c r="B1390" s="26" t="s">
        <v>56</v>
      </c>
      <c r="C1390" s="26" t="s">
        <v>57</v>
      </c>
      <c r="D1390" s="26" t="s">
        <v>81</v>
      </c>
      <c r="E1390" s="27" t="s">
        <v>4507</v>
      </c>
      <c r="F1390" s="28" t="s">
        <v>4508</v>
      </c>
      <c r="G1390" s="29">
        <v>45248.0</v>
      </c>
      <c r="H1390" s="30">
        <v>45248.0</v>
      </c>
      <c r="I1390" s="30">
        <v>45613.0</v>
      </c>
      <c r="J1390" s="31" t="s">
        <v>1574</v>
      </c>
      <c r="K1390" s="26" t="s">
        <v>2374</v>
      </c>
      <c r="L1390" s="89">
        <v>45250.0</v>
      </c>
      <c r="M1390" s="33">
        <v>24195.6</v>
      </c>
      <c r="N1390" s="33">
        <v>25944.12</v>
      </c>
      <c r="O1390" s="27" t="s">
        <v>76</v>
      </c>
      <c r="P1390" s="35" t="s">
        <v>430</v>
      </c>
      <c r="Q1390" s="35" t="s">
        <v>90</v>
      </c>
      <c r="R1390" s="36">
        <v>45248.0</v>
      </c>
      <c r="S1390" s="35" t="s">
        <v>86</v>
      </c>
      <c r="T1390" s="35">
        <v>0.0</v>
      </c>
      <c r="U1390" s="37" t="s">
        <v>67</v>
      </c>
      <c r="V1390" s="38">
        <v>1300000.0</v>
      </c>
      <c r="W1390" s="232" t="s">
        <v>4509</v>
      </c>
      <c r="X1390" s="27">
        <v>2019.0</v>
      </c>
      <c r="Y1390" s="79" t="s">
        <v>208</v>
      </c>
      <c r="Z1390" s="39"/>
      <c r="AA1390" s="39"/>
      <c r="AB1390" s="27"/>
      <c r="AC1390" s="27">
        <f t="shared" si="1100"/>
        <v>0</v>
      </c>
      <c r="AD1390" s="41">
        <f t="shared" si="1112"/>
        <v>3629.34</v>
      </c>
      <c r="AE1390" s="42"/>
      <c r="AF1390" s="27"/>
      <c r="AG1390" s="43">
        <f t="shared" si="1113"/>
        <v>5226.2496</v>
      </c>
      <c r="AH1390" s="29"/>
      <c r="AI1390" s="29"/>
      <c r="AJ1390" s="29"/>
      <c r="AK1390" s="29"/>
      <c r="AL1390" s="27"/>
      <c r="AM1390" s="44"/>
      <c r="AN1390" s="47"/>
      <c r="AO1390" s="46"/>
      <c r="AP1390" s="47"/>
      <c r="AQ1390" s="43">
        <f t="shared" si="1114"/>
        <v>6532.812</v>
      </c>
      <c r="AR1390" s="43">
        <f t="shared" si="448"/>
        <v>326.6406</v>
      </c>
      <c r="AS1390" s="43">
        <f t="shared" si="449"/>
        <v>1143.2421</v>
      </c>
      <c r="AT1390" s="48">
        <f t="shared" si="753"/>
        <v>5062.9293</v>
      </c>
      <c r="AU1390" s="49">
        <f t="shared" si="1088"/>
        <v>5062.9293</v>
      </c>
      <c r="AV1390" s="48"/>
      <c r="AW1390" s="34">
        <f t="shared" si="1000"/>
        <v>22314.78</v>
      </c>
      <c r="AX1390" s="50">
        <f t="shared" si="1034"/>
        <v>453.6675</v>
      </c>
      <c r="AY1390" s="43"/>
      <c r="AZ1390" s="47"/>
      <c r="BA1390" s="48">
        <f t="shared" si="1080"/>
        <v>5062.9293</v>
      </c>
      <c r="BB1390" s="27"/>
      <c r="BC1390" s="27"/>
      <c r="BD1390" s="51"/>
      <c r="BE1390" s="52"/>
      <c r="BF1390" s="27"/>
      <c r="BG1390" s="53">
        <v>0.0</v>
      </c>
      <c r="BH1390" s="53" t="str">
        <f>'[1]2023'!Q1655</f>
        <v>#REF!</v>
      </c>
      <c r="BI1390" s="27"/>
      <c r="BJ1390" s="27"/>
      <c r="BK1390" s="27" t="s">
        <v>76</v>
      </c>
      <c r="BL1390" s="27"/>
    </row>
    <row r="1391" ht="14.25" customHeight="1">
      <c r="A1391" s="26" t="s">
        <v>111</v>
      </c>
      <c r="B1391" s="26" t="s">
        <v>56</v>
      </c>
      <c r="C1391" s="26" t="s">
        <v>57</v>
      </c>
      <c r="D1391" s="26" t="s">
        <v>71</v>
      </c>
      <c r="E1391" s="27" t="s">
        <v>4510</v>
      </c>
      <c r="F1391" s="28" t="s">
        <v>4511</v>
      </c>
      <c r="G1391" s="29">
        <v>45249.0</v>
      </c>
      <c r="H1391" s="30">
        <v>45249.0</v>
      </c>
      <c r="I1391" s="30">
        <v>45614.0</v>
      </c>
      <c r="J1391" s="31" t="s">
        <v>4512</v>
      </c>
      <c r="K1391" s="26" t="s">
        <v>2374</v>
      </c>
      <c r="L1391" s="89">
        <v>45259.0</v>
      </c>
      <c r="M1391" s="33">
        <v>21141.17</v>
      </c>
      <c r="N1391" s="33">
        <v>22750.0</v>
      </c>
      <c r="O1391" s="27" t="s">
        <v>76</v>
      </c>
      <c r="P1391" s="35" t="s">
        <v>142</v>
      </c>
      <c r="Q1391" s="35" t="s">
        <v>108</v>
      </c>
      <c r="R1391" s="36">
        <v>45259.0</v>
      </c>
      <c r="S1391" s="35" t="s">
        <v>86</v>
      </c>
      <c r="T1391" s="35">
        <v>0.0</v>
      </c>
      <c r="U1391" s="37" t="s">
        <v>115</v>
      </c>
      <c r="V1391" s="38">
        <v>875000.0</v>
      </c>
      <c r="W1391" s="78">
        <v>33785.0</v>
      </c>
      <c r="X1391" s="27"/>
      <c r="Y1391" s="79" t="s">
        <v>900</v>
      </c>
      <c r="Z1391" s="39"/>
      <c r="AA1391" s="39"/>
      <c r="AB1391" s="27"/>
      <c r="AC1391" s="27">
        <f t="shared" si="1100"/>
        <v>0</v>
      </c>
      <c r="AD1391" s="41">
        <f t="shared" si="1112"/>
        <v>3171.1755</v>
      </c>
      <c r="AE1391" s="42">
        <v>400.0</v>
      </c>
      <c r="AF1391" s="188">
        <v>45259.0</v>
      </c>
      <c r="AG1391" s="43">
        <f t="shared" si="1113"/>
        <v>5021.027875</v>
      </c>
      <c r="AH1391" s="29"/>
      <c r="AI1391" s="29" t="s">
        <v>3511</v>
      </c>
      <c r="AJ1391" s="29"/>
      <c r="AK1391" s="182">
        <v>45278.0</v>
      </c>
      <c r="AL1391" s="77"/>
      <c r="AM1391" s="44"/>
      <c r="AN1391" s="47"/>
      <c r="AO1391" s="46"/>
      <c r="AP1391" s="47"/>
      <c r="AQ1391" s="43">
        <f t="shared" si="1114"/>
        <v>5285.2925</v>
      </c>
      <c r="AR1391" s="43">
        <f t="shared" si="448"/>
        <v>264.264625</v>
      </c>
      <c r="AS1391" s="43">
        <f t="shared" si="449"/>
        <v>924.9261875</v>
      </c>
      <c r="AT1391" s="48">
        <f t="shared" si="753"/>
        <v>4096.101688</v>
      </c>
      <c r="AU1391" s="49">
        <f t="shared" si="1088"/>
        <v>4096.101688</v>
      </c>
      <c r="AV1391" s="48"/>
      <c r="AW1391" s="34">
        <f t="shared" si="1000"/>
        <v>19178.8245</v>
      </c>
      <c r="AX1391" s="50">
        <f t="shared" si="1034"/>
        <v>524.9261875</v>
      </c>
      <c r="AY1391" s="43"/>
      <c r="AZ1391" s="47"/>
      <c r="BA1391" s="48">
        <f t="shared" si="1080"/>
        <v>4096.101688</v>
      </c>
      <c r="BB1391" s="27"/>
      <c r="BC1391" s="27"/>
      <c r="BD1391" s="51"/>
      <c r="BE1391" s="52"/>
      <c r="BF1391" s="27"/>
      <c r="BG1391" s="53">
        <v>0.0</v>
      </c>
      <c r="BH1391" s="53" t="str">
        <f>'[1]2023'!Q1601</f>
        <v>#REF!</v>
      </c>
      <c r="BI1391" s="27"/>
      <c r="BJ1391" s="27"/>
      <c r="BK1391" s="27" t="s">
        <v>76</v>
      </c>
      <c r="BL1391" s="27"/>
    </row>
    <row r="1392" ht="14.25" customHeight="1">
      <c r="A1392" s="26" t="s">
        <v>111</v>
      </c>
      <c r="B1392" s="26" t="s">
        <v>56</v>
      </c>
      <c r="C1392" s="26" t="s">
        <v>57</v>
      </c>
      <c r="D1392" s="26" t="s">
        <v>71</v>
      </c>
      <c r="E1392" s="27" t="s">
        <v>4513</v>
      </c>
      <c r="F1392" s="28" t="s">
        <v>4514</v>
      </c>
      <c r="G1392" s="29">
        <v>45249.0</v>
      </c>
      <c r="H1392" s="30">
        <v>45249.0</v>
      </c>
      <c r="I1392" s="30">
        <v>45614.0</v>
      </c>
      <c r="J1392" s="31" t="s">
        <v>4515</v>
      </c>
      <c r="K1392" s="26" t="s">
        <v>2374</v>
      </c>
      <c r="L1392" s="89">
        <v>45253.0</v>
      </c>
      <c r="M1392" s="33">
        <v>20774.62</v>
      </c>
      <c r="N1392" s="33">
        <v>22360.0</v>
      </c>
      <c r="O1392" s="27" t="s">
        <v>76</v>
      </c>
      <c r="P1392" s="35" t="s">
        <v>142</v>
      </c>
      <c r="Q1392" s="35" t="s">
        <v>108</v>
      </c>
      <c r="R1392" s="36">
        <v>45259.0</v>
      </c>
      <c r="S1392" s="35" t="s">
        <v>86</v>
      </c>
      <c r="T1392" s="35">
        <v>0.0</v>
      </c>
      <c r="U1392" s="37" t="s">
        <v>115</v>
      </c>
      <c r="V1392" s="38">
        <v>860000.0</v>
      </c>
      <c r="W1392" s="78">
        <v>49411.0</v>
      </c>
      <c r="X1392" s="27"/>
      <c r="Y1392" s="79" t="s">
        <v>4516</v>
      </c>
      <c r="Z1392" s="39"/>
      <c r="AA1392" s="39"/>
      <c r="AB1392" s="27"/>
      <c r="AC1392" s="27">
        <f t="shared" si="1100"/>
        <v>0</v>
      </c>
      <c r="AD1392" s="41">
        <f t="shared" si="1112"/>
        <v>3116.193</v>
      </c>
      <c r="AE1392" s="42">
        <v>400.0</v>
      </c>
      <c r="AF1392" s="27" t="s">
        <v>4414</v>
      </c>
      <c r="AG1392" s="43">
        <f t="shared" si="1113"/>
        <v>4933.97225</v>
      </c>
      <c r="AH1392" s="29">
        <v>45211.0</v>
      </c>
      <c r="AI1392" s="29" t="s">
        <v>1181</v>
      </c>
      <c r="AJ1392" s="29"/>
      <c r="AK1392" s="182">
        <v>45278.0</v>
      </c>
      <c r="AL1392" s="77"/>
      <c r="AM1392" s="44"/>
      <c r="AN1392" s="47"/>
      <c r="AO1392" s="46"/>
      <c r="AP1392" s="47"/>
      <c r="AQ1392" s="84">
        <f t="shared" si="1114"/>
        <v>5193.655</v>
      </c>
      <c r="AR1392" s="43">
        <f t="shared" si="448"/>
        <v>259.68275</v>
      </c>
      <c r="AS1392" s="43">
        <f t="shared" si="449"/>
        <v>908.889625</v>
      </c>
      <c r="AT1392" s="48">
        <f t="shared" si="753"/>
        <v>4025.082625</v>
      </c>
      <c r="AU1392" s="49">
        <f t="shared" si="1088"/>
        <v>4025.082625</v>
      </c>
      <c r="AV1392" s="48"/>
      <c r="AW1392" s="85">
        <f t="shared" si="1000"/>
        <v>18843.807</v>
      </c>
      <c r="AX1392" s="50">
        <f t="shared" si="1034"/>
        <v>508.889625</v>
      </c>
      <c r="AY1392" s="43"/>
      <c r="AZ1392" s="47"/>
      <c r="BA1392" s="48">
        <f t="shared" si="1080"/>
        <v>4025.082625</v>
      </c>
      <c r="BB1392" s="27"/>
      <c r="BC1392" s="27"/>
      <c r="BD1392" s="51"/>
      <c r="BE1392" s="52"/>
      <c r="BF1392" s="27"/>
      <c r="BG1392" s="58" t="s">
        <v>562</v>
      </c>
      <c r="BH1392" s="53" t="str">
        <f>'[1]2023'!Q1606</f>
        <v>#REF!</v>
      </c>
      <c r="BI1392" s="27"/>
      <c r="BJ1392" s="27"/>
      <c r="BK1392" s="27" t="s">
        <v>76</v>
      </c>
      <c r="BL1392" s="27"/>
    </row>
    <row r="1393" ht="14.25" customHeight="1">
      <c r="A1393" s="26" t="s">
        <v>55</v>
      </c>
      <c r="B1393" s="26" t="s">
        <v>56</v>
      </c>
      <c r="C1393" s="26" t="s">
        <v>57</v>
      </c>
      <c r="D1393" s="26" t="s">
        <v>71</v>
      </c>
      <c r="E1393" s="27" t="s">
        <v>4517</v>
      </c>
      <c r="F1393" s="28" t="s">
        <v>4518</v>
      </c>
      <c r="G1393" s="29">
        <v>45249.0</v>
      </c>
      <c r="H1393" s="30">
        <v>45249.0</v>
      </c>
      <c r="I1393" s="30">
        <v>45614.0</v>
      </c>
      <c r="J1393" s="31" t="s">
        <v>4519</v>
      </c>
      <c r="K1393" s="26" t="s">
        <v>2374</v>
      </c>
      <c r="L1393" s="89">
        <v>45250.0</v>
      </c>
      <c r="M1393" s="33">
        <f>30942.45+3085.93</f>
        <v>34028.38</v>
      </c>
      <c r="N1393" s="33">
        <f>33122.75+3283.44</f>
        <v>36406.19</v>
      </c>
      <c r="O1393" s="27" t="s">
        <v>76</v>
      </c>
      <c r="P1393" s="35" t="s">
        <v>430</v>
      </c>
      <c r="Q1393" s="35" t="s">
        <v>65</v>
      </c>
      <c r="R1393" s="36">
        <v>45249.0</v>
      </c>
      <c r="S1393" s="35" t="s">
        <v>66</v>
      </c>
      <c r="T1393" s="35">
        <v>0.0</v>
      </c>
      <c r="U1393" s="37" t="s">
        <v>67</v>
      </c>
      <c r="V1393" s="38">
        <v>1100000.0</v>
      </c>
      <c r="W1393" s="78" t="s">
        <v>4520</v>
      </c>
      <c r="X1393" s="27">
        <v>2020.0</v>
      </c>
      <c r="Y1393" s="79" t="s">
        <v>1155</v>
      </c>
      <c r="Z1393" s="39"/>
      <c r="AA1393" s="39"/>
      <c r="AB1393" s="233">
        <v>0.056</v>
      </c>
      <c r="AC1393" s="27">
        <f t="shared" si="1100"/>
        <v>1905.58928</v>
      </c>
      <c r="AD1393" s="41">
        <f t="shared" si="1112"/>
        <v>0</v>
      </c>
      <c r="AE1393" s="42"/>
      <c r="AF1393" s="27"/>
      <c r="AG1393" s="43">
        <f>IF(O1393="Paid",IF(A1393="Wethaq",(M1393*28%)-((M1393*28%)*5%),IF((A1393="GIG"),(M1393*25%)-((M1393*25%)*5%),IF((A1393="Allianz"),(M1393*27%)-((M1393*27%)*5%),0))),0)</f>
        <v>8728.27947</v>
      </c>
      <c r="AH1393" s="29"/>
      <c r="AI1393" s="29"/>
      <c r="AJ1393" s="29"/>
      <c r="AK1393" s="29"/>
      <c r="AL1393" s="27"/>
      <c r="AM1393" s="140">
        <f>AU1393*30%</f>
        <v>1564.454771</v>
      </c>
      <c r="AN1393" s="71">
        <v>45654.0</v>
      </c>
      <c r="AO1393" s="46"/>
      <c r="AP1393" s="47"/>
      <c r="AQ1393" s="43">
        <f t="shared" si="1114"/>
        <v>9187.6626</v>
      </c>
      <c r="AR1393" s="43">
        <f t="shared" si="448"/>
        <v>459.38313</v>
      </c>
      <c r="AS1393" s="43">
        <f t="shared" si="449"/>
        <v>1607.840955</v>
      </c>
      <c r="AT1393" s="48">
        <f t="shared" si="753"/>
        <v>7120.438515</v>
      </c>
      <c r="AU1393" s="49">
        <f t="shared" si="1088"/>
        <v>5214.849235</v>
      </c>
      <c r="AV1393" s="48"/>
      <c r="AW1393" s="34">
        <f t="shared" si="1000"/>
        <v>34500.60072</v>
      </c>
      <c r="AX1393" s="50">
        <f t="shared" si="1034"/>
        <v>5555.983745</v>
      </c>
      <c r="AY1393" s="43"/>
      <c r="AZ1393" s="47"/>
      <c r="BA1393" s="48">
        <f t="shared" si="1080"/>
        <v>3650.394465</v>
      </c>
      <c r="BB1393" s="27"/>
      <c r="BC1393" s="27"/>
      <c r="BD1393" s="51"/>
      <c r="BE1393" s="52"/>
      <c r="BF1393" s="27"/>
      <c r="BG1393" s="53">
        <v>0.0</v>
      </c>
      <c r="BH1393" s="53" t="str">
        <f>'[1]2023'!Q1656</f>
        <v>#REF!</v>
      </c>
      <c r="BI1393" s="27"/>
      <c r="BJ1393" s="27"/>
      <c r="BK1393" s="27" t="s">
        <v>76</v>
      </c>
      <c r="BL1393" s="27"/>
    </row>
    <row r="1394" ht="14.25" customHeight="1">
      <c r="A1394" s="26" t="s">
        <v>55</v>
      </c>
      <c r="B1394" s="26" t="s">
        <v>1099</v>
      </c>
      <c r="C1394" s="26" t="s">
        <v>70</v>
      </c>
      <c r="D1394" s="26" t="s">
        <v>81</v>
      </c>
      <c r="E1394" s="27" t="s">
        <v>4521</v>
      </c>
      <c r="F1394" s="28" t="s">
        <v>2852</v>
      </c>
      <c r="G1394" s="29" t="s">
        <v>4388</v>
      </c>
      <c r="H1394" s="30">
        <v>45250.0</v>
      </c>
      <c r="I1394" s="30">
        <v>45615.0</v>
      </c>
      <c r="J1394" s="31" t="s">
        <v>2853</v>
      </c>
      <c r="K1394" s="26" t="s">
        <v>2374</v>
      </c>
      <c r="L1394" s="89">
        <v>45301.0</v>
      </c>
      <c r="M1394" s="33">
        <v>99912.0</v>
      </c>
      <c r="N1394" s="33">
        <v>101810.0</v>
      </c>
      <c r="O1394" s="27" t="s">
        <v>76</v>
      </c>
      <c r="P1394" s="35" t="s">
        <v>89</v>
      </c>
      <c r="Q1394" s="35">
        <v>0.0</v>
      </c>
      <c r="R1394" s="36" t="e">
        <v>#VALUE!</v>
      </c>
      <c r="S1394" s="35" t="s">
        <v>78</v>
      </c>
      <c r="T1394" s="35">
        <v>0.0</v>
      </c>
      <c r="U1394" s="37" t="s">
        <v>1099</v>
      </c>
      <c r="V1394" s="38"/>
      <c r="W1394" s="38"/>
      <c r="X1394" s="27"/>
      <c r="Y1394" s="39"/>
      <c r="Z1394" s="39"/>
      <c r="AA1394" s="39"/>
      <c r="AB1394" s="55">
        <v>0.1</v>
      </c>
      <c r="AC1394" s="27">
        <v>10000.0</v>
      </c>
      <c r="AD1394" s="41">
        <f t="shared" si="1112"/>
        <v>0</v>
      </c>
      <c r="AE1394" s="42"/>
      <c r="AF1394" s="27"/>
      <c r="AG1394" s="43">
        <f>IF(O1394="Paid",IF(A1394="Alwataniya",(M1394*21%)-((M1394*21%)*5%),IF((A1394="GIG"),(M1394*25%)-((M1394*25%)*5%),IF((A1394="Allianz"),(M1394*27%)-((M1394*27%)*5%),0))),0)</f>
        <v>25627.428</v>
      </c>
      <c r="AH1394" s="29"/>
      <c r="AI1394" s="29"/>
      <c r="AJ1394" s="29"/>
      <c r="AK1394" s="29"/>
      <c r="AL1394" s="27"/>
      <c r="AM1394" s="44"/>
      <c r="AN1394" s="47"/>
      <c r="AO1394" s="46"/>
      <c r="AP1394" s="47"/>
      <c r="AQ1394" s="43">
        <f t="shared" si="1114"/>
        <v>0</v>
      </c>
      <c r="AR1394" s="43">
        <f t="shared" si="448"/>
        <v>0</v>
      </c>
      <c r="AS1394" s="43">
        <f t="shared" si="449"/>
        <v>0</v>
      </c>
      <c r="AT1394" s="48">
        <f t="shared" si="753"/>
        <v>0</v>
      </c>
      <c r="AU1394" s="49">
        <f t="shared" si="1088"/>
        <v>-10000</v>
      </c>
      <c r="AV1394" s="48"/>
      <c r="AW1394" s="34">
        <f t="shared" si="1000"/>
        <v>91810</v>
      </c>
      <c r="AX1394" s="50">
        <f t="shared" si="1034"/>
        <v>25627.428</v>
      </c>
      <c r="AY1394" s="43"/>
      <c r="AZ1394" s="47"/>
      <c r="BA1394" s="48">
        <f t="shared" si="1080"/>
        <v>-10000</v>
      </c>
      <c r="BB1394" s="27"/>
      <c r="BC1394" s="27"/>
      <c r="BD1394" s="51"/>
      <c r="BE1394" s="52"/>
      <c r="BF1394" s="27"/>
      <c r="BG1394" s="53" t="s">
        <v>4522</v>
      </c>
      <c r="BH1394" s="53" t="str">
        <f>'[1]2023'!Q1221</f>
        <v>#REF!</v>
      </c>
      <c r="BI1394" s="27"/>
      <c r="BJ1394" s="27"/>
      <c r="BK1394" s="27" t="s">
        <v>1102</v>
      </c>
      <c r="BL1394" s="27"/>
    </row>
    <row r="1395" ht="14.25" customHeight="1">
      <c r="A1395" s="26" t="s">
        <v>55</v>
      </c>
      <c r="B1395" s="26" t="s">
        <v>56</v>
      </c>
      <c r="C1395" s="26" t="s">
        <v>57</v>
      </c>
      <c r="D1395" s="26" t="s">
        <v>81</v>
      </c>
      <c r="E1395" s="27" t="s">
        <v>4523</v>
      </c>
      <c r="F1395" s="28" t="s">
        <v>4524</v>
      </c>
      <c r="G1395" s="29">
        <v>45250.0</v>
      </c>
      <c r="H1395" s="30">
        <v>45250.0</v>
      </c>
      <c r="I1395" s="30">
        <v>45615.0</v>
      </c>
      <c r="J1395" s="31" t="s">
        <v>4525</v>
      </c>
      <c r="K1395" s="26" t="s">
        <v>2374</v>
      </c>
      <c r="L1395" s="32" t="s">
        <v>63</v>
      </c>
      <c r="M1395" s="33" t="s">
        <v>63</v>
      </c>
      <c r="N1395" s="33" t="s">
        <v>63</v>
      </c>
      <c r="O1395" s="27" t="s">
        <v>1102</v>
      </c>
      <c r="P1395" s="35">
        <v>0.0</v>
      </c>
      <c r="Q1395" s="35">
        <v>0.0</v>
      </c>
      <c r="R1395" s="36">
        <v>45250.0</v>
      </c>
      <c r="S1395" s="35" t="s">
        <v>86</v>
      </c>
      <c r="T1395" s="35">
        <v>0.0</v>
      </c>
      <c r="U1395" s="37" t="s">
        <v>67</v>
      </c>
      <c r="V1395" s="38"/>
      <c r="W1395" s="78"/>
      <c r="X1395" s="27"/>
      <c r="Y1395" s="39"/>
      <c r="Z1395" s="39"/>
      <c r="AA1395" s="39"/>
      <c r="AB1395" s="27"/>
      <c r="AC1395" s="27" t="str">
        <f t="shared" ref="AC1395:AC1451" si="1115">M1395*AB1395</f>
        <v>#VALUE!</v>
      </c>
      <c r="AD1395" s="41">
        <f t="shared" si="1112"/>
        <v>0</v>
      </c>
      <c r="AE1395" s="42"/>
      <c r="AF1395" s="27"/>
      <c r="AG1395" s="43">
        <f t="shared" ref="AG1395:AG1400" si="1116">IF(O1395="Paid",IF(A1395="Wethaq",(M1395*28%)-((M1395*28%)*5%),IF((A1395="GIG"),(M1395*25%)-((M1395*25%)*5%),IF((A1395="Allianz"),(M1395*27%)-((M1395*27%)*20%),0))),0)</f>
        <v>0</v>
      </c>
      <c r="AH1395" s="29"/>
      <c r="AI1395" s="29"/>
      <c r="AJ1395" s="29"/>
      <c r="AK1395" s="29"/>
      <c r="AL1395" s="27"/>
      <c r="AM1395" s="44"/>
      <c r="AN1395" s="47"/>
      <c r="AO1395" s="46"/>
      <c r="AP1395" s="47"/>
      <c r="AQ1395" s="43" t="b">
        <f t="shared" si="1114"/>
        <v>0</v>
      </c>
      <c r="AR1395" s="43">
        <f t="shared" si="448"/>
        <v>0</v>
      </c>
      <c r="AS1395" s="43">
        <f t="shared" si="449"/>
        <v>0</v>
      </c>
      <c r="AT1395" s="48">
        <f t="shared" si="753"/>
        <v>0</v>
      </c>
      <c r="AU1395" s="49" t="str">
        <f t="shared" si="1088"/>
        <v>#VALUE!</v>
      </c>
      <c r="AV1395" s="48"/>
      <c r="AW1395" s="27" t="str">
        <f t="shared" si="1000"/>
        <v>#VALUE!</v>
      </c>
      <c r="AX1395" s="50">
        <f t="shared" si="1034"/>
        <v>0</v>
      </c>
      <c r="AY1395" s="43"/>
      <c r="AZ1395" s="47"/>
      <c r="BA1395" s="48" t="str">
        <f t="shared" si="1080"/>
        <v>#VALUE!</v>
      </c>
      <c r="BB1395" s="27"/>
      <c r="BC1395" s="27"/>
      <c r="BD1395" s="51"/>
      <c r="BE1395" s="52"/>
      <c r="BF1395" s="27"/>
      <c r="BG1395" s="53">
        <v>0.0</v>
      </c>
      <c r="BH1395" s="53" t="str">
        <f>'[1]2023'!Q1647</f>
        <v>#REF!</v>
      </c>
      <c r="BI1395" s="27"/>
      <c r="BJ1395" s="27"/>
      <c r="BK1395" s="27" t="s">
        <v>1102</v>
      </c>
      <c r="BL1395" s="27"/>
    </row>
    <row r="1396" ht="14.25" customHeight="1">
      <c r="A1396" s="26" t="s">
        <v>55</v>
      </c>
      <c r="B1396" s="26" t="s">
        <v>56</v>
      </c>
      <c r="C1396" s="26" t="s">
        <v>57</v>
      </c>
      <c r="D1396" s="26" t="s">
        <v>58</v>
      </c>
      <c r="E1396" s="27" t="s">
        <v>4526</v>
      </c>
      <c r="F1396" s="28" t="s">
        <v>3793</v>
      </c>
      <c r="G1396" s="29">
        <v>45250.0</v>
      </c>
      <c r="H1396" s="30">
        <v>45250.0</v>
      </c>
      <c r="I1396" s="30">
        <v>45615.0</v>
      </c>
      <c r="J1396" s="31">
        <v>0.0</v>
      </c>
      <c r="K1396" s="26" t="s">
        <v>2374</v>
      </c>
      <c r="L1396" s="89">
        <v>45258.0</v>
      </c>
      <c r="M1396" s="33">
        <v>6394.84</v>
      </c>
      <c r="N1396" s="33">
        <v>6772.13</v>
      </c>
      <c r="O1396" s="27" t="s">
        <v>76</v>
      </c>
      <c r="P1396" s="35" t="s">
        <v>89</v>
      </c>
      <c r="Q1396" s="35" t="s">
        <v>108</v>
      </c>
      <c r="R1396" s="36">
        <v>45250.0</v>
      </c>
      <c r="S1396" s="35" t="s">
        <v>66</v>
      </c>
      <c r="T1396" s="35">
        <v>0.0</v>
      </c>
      <c r="U1396" s="37" t="s">
        <v>67</v>
      </c>
      <c r="V1396" s="38">
        <v>1400000.0</v>
      </c>
      <c r="W1396" s="78">
        <v>102158.0</v>
      </c>
      <c r="X1396" s="27">
        <v>2021.0</v>
      </c>
      <c r="Y1396" s="79" t="s">
        <v>1155</v>
      </c>
      <c r="Z1396" s="39"/>
      <c r="AA1396" s="39"/>
      <c r="AB1396" s="27"/>
      <c r="AC1396" s="27">
        <f t="shared" si="1115"/>
        <v>0</v>
      </c>
      <c r="AD1396" s="41">
        <f t="shared" si="1112"/>
        <v>0</v>
      </c>
      <c r="AE1396" s="42"/>
      <c r="AF1396" s="27"/>
      <c r="AG1396" s="43">
        <f t="shared" si="1116"/>
        <v>1381.28544</v>
      </c>
      <c r="AH1396" s="29"/>
      <c r="AI1396" s="29"/>
      <c r="AJ1396" s="29"/>
      <c r="AK1396" s="29"/>
      <c r="AL1396" s="27"/>
      <c r="AM1396" s="44"/>
      <c r="AN1396" s="47"/>
      <c r="AO1396" s="46"/>
      <c r="AP1396" s="47"/>
      <c r="AQ1396" s="43">
        <f t="shared" si="1114"/>
        <v>1726.6068</v>
      </c>
      <c r="AR1396" s="43">
        <f t="shared" si="448"/>
        <v>86.33034</v>
      </c>
      <c r="AS1396" s="43">
        <f t="shared" si="449"/>
        <v>302.15619</v>
      </c>
      <c r="AT1396" s="48">
        <f t="shared" si="753"/>
        <v>1338.12027</v>
      </c>
      <c r="AU1396" s="49">
        <f t="shared" si="1088"/>
        <v>1338.12027</v>
      </c>
      <c r="AV1396" s="48"/>
      <c r="AW1396" s="34">
        <f t="shared" si="1000"/>
        <v>6772.13</v>
      </c>
      <c r="AX1396" s="50">
        <f t="shared" si="1034"/>
        <v>1079.12925</v>
      </c>
      <c r="AY1396" s="43"/>
      <c r="AZ1396" s="47"/>
      <c r="BA1396" s="48">
        <f t="shared" si="1080"/>
        <v>1338.12027</v>
      </c>
      <c r="BB1396" s="27"/>
      <c r="BC1396" s="27"/>
      <c r="BD1396" s="51"/>
      <c r="BE1396" s="52"/>
      <c r="BF1396" s="27"/>
      <c r="BG1396" s="53">
        <v>0.0</v>
      </c>
      <c r="BH1396" s="53" t="str">
        <f>'[1]2023'!Q1675</f>
        <v>#REF!</v>
      </c>
      <c r="BI1396" s="27"/>
      <c r="BJ1396" s="27"/>
      <c r="BK1396" s="27" t="s">
        <v>76</v>
      </c>
      <c r="BL1396" s="27"/>
    </row>
    <row r="1397" ht="14.25" customHeight="1">
      <c r="A1397" s="26" t="s">
        <v>55</v>
      </c>
      <c r="B1397" s="26" t="s">
        <v>56</v>
      </c>
      <c r="C1397" s="26" t="s">
        <v>57</v>
      </c>
      <c r="D1397" s="26" t="s">
        <v>71</v>
      </c>
      <c r="E1397" s="27" t="s">
        <v>4527</v>
      </c>
      <c r="F1397" s="28" t="s">
        <v>1000</v>
      </c>
      <c r="G1397" s="29">
        <v>45250.0</v>
      </c>
      <c r="H1397" s="30">
        <v>45250.0</v>
      </c>
      <c r="I1397" s="30">
        <v>45615.0</v>
      </c>
      <c r="J1397" s="31" t="s">
        <v>4528</v>
      </c>
      <c r="K1397" s="26" t="s">
        <v>4144</v>
      </c>
      <c r="L1397" s="89">
        <v>45284.0</v>
      </c>
      <c r="M1397" s="33">
        <v>65010.4</v>
      </c>
      <c r="N1397" s="33">
        <v>69369.06</v>
      </c>
      <c r="O1397" s="27" t="s">
        <v>76</v>
      </c>
      <c r="P1397" s="35" t="s">
        <v>95</v>
      </c>
      <c r="Q1397" s="35" t="s">
        <v>65</v>
      </c>
      <c r="R1397" s="36">
        <v>0.0</v>
      </c>
      <c r="S1397" s="35" t="s">
        <v>78</v>
      </c>
      <c r="T1397" s="35">
        <v>0.0</v>
      </c>
      <c r="U1397" s="37">
        <v>0.0</v>
      </c>
      <c r="V1397" s="38">
        <v>2800000.0</v>
      </c>
      <c r="W1397" s="78">
        <v>271947.0</v>
      </c>
      <c r="X1397" s="27">
        <v>2022.0</v>
      </c>
      <c r="Y1397" s="79" t="s">
        <v>1003</v>
      </c>
      <c r="Z1397" s="39"/>
      <c r="AA1397" s="39"/>
      <c r="AB1397" s="27"/>
      <c r="AC1397" s="27">
        <f t="shared" si="1115"/>
        <v>0</v>
      </c>
      <c r="AD1397" s="41">
        <f t="shared" si="1112"/>
        <v>0</v>
      </c>
      <c r="AE1397" s="42"/>
      <c r="AF1397" s="27"/>
      <c r="AG1397" s="43">
        <f t="shared" si="1116"/>
        <v>14042.2464</v>
      </c>
      <c r="AH1397" s="29"/>
      <c r="AI1397" s="29"/>
      <c r="AJ1397" s="29"/>
      <c r="AK1397" s="29"/>
      <c r="AL1397" s="27"/>
      <c r="AM1397" s="44"/>
      <c r="AN1397" s="47"/>
      <c r="AO1397" s="46"/>
      <c r="AP1397" s="47"/>
      <c r="AQ1397" s="43">
        <f t="shared" si="1114"/>
        <v>0</v>
      </c>
      <c r="AR1397" s="43">
        <f t="shared" si="448"/>
        <v>0</v>
      </c>
      <c r="AS1397" s="43">
        <f t="shared" si="449"/>
        <v>0</v>
      </c>
      <c r="AT1397" s="48">
        <f t="shared" si="753"/>
        <v>0</v>
      </c>
      <c r="AU1397" s="49">
        <f t="shared" si="1088"/>
        <v>0</v>
      </c>
      <c r="AV1397" s="48"/>
      <c r="AW1397" s="34">
        <f t="shared" si="1000"/>
        <v>69369.06</v>
      </c>
      <c r="AX1397" s="50">
        <f t="shared" si="1034"/>
        <v>14042.2464</v>
      </c>
      <c r="AY1397" s="43"/>
      <c r="AZ1397" s="47"/>
      <c r="BA1397" s="48">
        <f t="shared" si="1080"/>
        <v>0</v>
      </c>
      <c r="BB1397" s="27"/>
      <c r="BC1397" s="27"/>
      <c r="BD1397" s="51"/>
      <c r="BE1397" s="52"/>
      <c r="BF1397" s="27"/>
      <c r="BG1397" s="53">
        <v>0.0</v>
      </c>
      <c r="BH1397" s="53" t="str">
        <f t="shared" ref="BH1397:BH1398" si="1117">'[1]2023'!Q1682</f>
        <v>#REF!</v>
      </c>
      <c r="BI1397" s="27"/>
      <c r="BJ1397" s="27"/>
      <c r="BK1397" s="27" t="s">
        <v>1102</v>
      </c>
      <c r="BL1397" s="27"/>
    </row>
    <row r="1398" ht="14.25" customHeight="1">
      <c r="A1398" s="26" t="s">
        <v>55</v>
      </c>
      <c r="B1398" s="26" t="s">
        <v>56</v>
      </c>
      <c r="C1398" s="26" t="s">
        <v>57</v>
      </c>
      <c r="D1398" s="26" t="s">
        <v>71</v>
      </c>
      <c r="E1398" s="231" t="s">
        <v>4529</v>
      </c>
      <c r="F1398" s="28" t="s">
        <v>4530</v>
      </c>
      <c r="G1398" s="29">
        <v>45250.0</v>
      </c>
      <c r="H1398" s="30">
        <v>45250.0</v>
      </c>
      <c r="I1398" s="30">
        <v>45615.0</v>
      </c>
      <c r="J1398" s="31" t="s">
        <v>4528</v>
      </c>
      <c r="K1398" s="26" t="s">
        <v>4144</v>
      </c>
      <c r="L1398" s="89">
        <v>45284.0</v>
      </c>
      <c r="M1398" s="33">
        <v>117312.0</v>
      </c>
      <c r="N1398" s="33">
        <v>125019.96</v>
      </c>
      <c r="O1398" s="27" t="s">
        <v>76</v>
      </c>
      <c r="P1398" s="35" t="s">
        <v>95</v>
      </c>
      <c r="Q1398" s="35" t="s">
        <v>65</v>
      </c>
      <c r="R1398" s="36">
        <v>0.0</v>
      </c>
      <c r="S1398" s="35" t="s">
        <v>78</v>
      </c>
      <c r="T1398" s="35">
        <v>0.0</v>
      </c>
      <c r="U1398" s="37">
        <v>0.0</v>
      </c>
      <c r="V1398" s="38">
        <v>4800000.0</v>
      </c>
      <c r="W1398" s="78">
        <v>20356.0</v>
      </c>
      <c r="X1398" s="27">
        <v>2022.0</v>
      </c>
      <c r="Y1398" s="79" t="s">
        <v>4531</v>
      </c>
      <c r="Z1398" s="39"/>
      <c r="AA1398" s="39"/>
      <c r="AB1398" s="27"/>
      <c r="AC1398" s="27">
        <f t="shared" si="1115"/>
        <v>0</v>
      </c>
      <c r="AD1398" s="41">
        <f t="shared" si="1112"/>
        <v>0</v>
      </c>
      <c r="AE1398" s="42"/>
      <c r="AF1398" s="27"/>
      <c r="AG1398" s="43">
        <f t="shared" si="1116"/>
        <v>25339.392</v>
      </c>
      <c r="AH1398" s="29"/>
      <c r="AI1398" s="29"/>
      <c r="AJ1398" s="29"/>
      <c r="AK1398" s="29"/>
      <c r="AL1398" s="27"/>
      <c r="AM1398" s="44"/>
      <c r="AN1398" s="47"/>
      <c r="AO1398" s="46"/>
      <c r="AP1398" s="47"/>
      <c r="AQ1398" s="43">
        <f t="shared" si="1114"/>
        <v>0</v>
      </c>
      <c r="AR1398" s="43">
        <f t="shared" si="448"/>
        <v>0</v>
      </c>
      <c r="AS1398" s="43">
        <f t="shared" si="449"/>
        <v>0</v>
      </c>
      <c r="AT1398" s="48">
        <f t="shared" si="753"/>
        <v>0</v>
      </c>
      <c r="AU1398" s="49">
        <f t="shared" si="1088"/>
        <v>0</v>
      </c>
      <c r="AV1398" s="48"/>
      <c r="AW1398" s="34">
        <f t="shared" si="1000"/>
        <v>125019.96</v>
      </c>
      <c r="AX1398" s="50">
        <f t="shared" si="1034"/>
        <v>25339.392</v>
      </c>
      <c r="AY1398" s="43"/>
      <c r="AZ1398" s="47"/>
      <c r="BA1398" s="48">
        <f t="shared" si="1080"/>
        <v>0</v>
      </c>
      <c r="BB1398" s="27"/>
      <c r="BC1398" s="27"/>
      <c r="BD1398" s="51"/>
      <c r="BE1398" s="52"/>
      <c r="BF1398" s="27"/>
      <c r="BG1398" s="53">
        <v>0.0</v>
      </c>
      <c r="BH1398" s="53" t="str">
        <f t="shared" si="1117"/>
        <v>#REF!</v>
      </c>
      <c r="BI1398" s="27"/>
      <c r="BJ1398" s="27"/>
      <c r="BK1398" s="27" t="s">
        <v>1102</v>
      </c>
      <c r="BL1398" s="27"/>
    </row>
    <row r="1399" ht="14.25" customHeight="1">
      <c r="A1399" s="26" t="s">
        <v>55</v>
      </c>
      <c r="B1399" s="26" t="s">
        <v>56</v>
      </c>
      <c r="C1399" s="26" t="s">
        <v>57</v>
      </c>
      <c r="D1399" s="26" t="s">
        <v>81</v>
      </c>
      <c r="E1399" s="27" t="s">
        <v>4532</v>
      </c>
      <c r="F1399" s="28" t="s">
        <v>4533</v>
      </c>
      <c r="G1399" s="29">
        <v>45251.0</v>
      </c>
      <c r="H1399" s="30">
        <v>45251.0</v>
      </c>
      <c r="I1399" s="30">
        <v>45616.0</v>
      </c>
      <c r="J1399" s="31" t="s">
        <v>4534</v>
      </c>
      <c r="K1399" s="26" t="s">
        <v>2374</v>
      </c>
      <c r="L1399" s="89">
        <v>45242.0</v>
      </c>
      <c r="M1399" s="33">
        <v>20304.0</v>
      </c>
      <c r="N1399" s="33">
        <v>21803.45</v>
      </c>
      <c r="O1399" s="27" t="s">
        <v>76</v>
      </c>
      <c r="P1399" s="35" t="s">
        <v>122</v>
      </c>
      <c r="Q1399" s="35" t="s">
        <v>90</v>
      </c>
      <c r="R1399" s="36">
        <v>45251.0</v>
      </c>
      <c r="S1399" s="35" t="s">
        <v>86</v>
      </c>
      <c r="T1399" s="35" t="s">
        <v>86</v>
      </c>
      <c r="U1399" s="37" t="s">
        <v>67</v>
      </c>
      <c r="V1399" s="38">
        <v>1200000.0</v>
      </c>
      <c r="W1399" s="78">
        <v>25784.0</v>
      </c>
      <c r="X1399" s="27">
        <v>2019.0</v>
      </c>
      <c r="Y1399" s="79" t="s">
        <v>208</v>
      </c>
      <c r="Z1399" s="39"/>
      <c r="AA1399" s="39"/>
      <c r="AB1399" s="27"/>
      <c r="AC1399" s="27">
        <f t="shared" si="1115"/>
        <v>0</v>
      </c>
      <c r="AD1399" s="41">
        <f t="shared" si="1112"/>
        <v>3045.6</v>
      </c>
      <c r="AE1399" s="42"/>
      <c r="AF1399" s="27"/>
      <c r="AG1399" s="43">
        <f t="shared" si="1116"/>
        <v>4385.664</v>
      </c>
      <c r="AH1399" s="29"/>
      <c r="AI1399" s="29"/>
      <c r="AJ1399" s="29"/>
      <c r="AK1399" s="29"/>
      <c r="AL1399" s="27"/>
      <c r="AM1399" s="44"/>
      <c r="AN1399" s="47"/>
      <c r="AO1399" s="46"/>
      <c r="AP1399" s="47"/>
      <c r="AQ1399" s="43">
        <f t="shared" si="1114"/>
        <v>5482.08</v>
      </c>
      <c r="AR1399" s="43">
        <f t="shared" si="448"/>
        <v>274.104</v>
      </c>
      <c r="AS1399" s="43">
        <f t="shared" si="449"/>
        <v>959.364</v>
      </c>
      <c r="AT1399" s="48">
        <f t="shared" si="753"/>
        <v>4248.612</v>
      </c>
      <c r="AU1399" s="49">
        <f t="shared" si="1088"/>
        <v>4248.612</v>
      </c>
      <c r="AV1399" s="48"/>
      <c r="AW1399" s="34">
        <f t="shared" si="1000"/>
        <v>18757.85</v>
      </c>
      <c r="AX1399" s="50">
        <f t="shared" si="1034"/>
        <v>380.7</v>
      </c>
      <c r="AY1399" s="43"/>
      <c r="AZ1399" s="47"/>
      <c r="BA1399" s="48">
        <f t="shared" si="1080"/>
        <v>4248.612</v>
      </c>
      <c r="BB1399" s="27"/>
      <c r="BC1399" s="27"/>
      <c r="BD1399" s="51"/>
      <c r="BE1399" s="52"/>
      <c r="BF1399" s="27"/>
      <c r="BG1399" s="53">
        <v>0.0</v>
      </c>
      <c r="BH1399" s="53" t="str">
        <f>'[1]2023'!Q1580</f>
        <v>#REF!</v>
      </c>
      <c r="BI1399" s="27"/>
      <c r="BJ1399" s="27"/>
      <c r="BK1399" s="27" t="s">
        <v>76</v>
      </c>
      <c r="BL1399" s="27"/>
    </row>
    <row r="1400" ht="14.25" customHeight="1">
      <c r="A1400" s="26" t="s">
        <v>55</v>
      </c>
      <c r="B1400" s="26" t="s">
        <v>56</v>
      </c>
      <c r="C1400" s="26" t="s">
        <v>57</v>
      </c>
      <c r="D1400" s="26" t="s">
        <v>58</v>
      </c>
      <c r="E1400" s="90" t="s">
        <v>4535</v>
      </c>
      <c r="F1400" s="28" t="s">
        <v>4536</v>
      </c>
      <c r="G1400" s="29">
        <v>45251.0</v>
      </c>
      <c r="H1400" s="30">
        <v>45251.0</v>
      </c>
      <c r="I1400" s="30">
        <v>45616.0</v>
      </c>
      <c r="J1400" s="31">
        <v>0.0</v>
      </c>
      <c r="K1400" s="26" t="s">
        <v>2374</v>
      </c>
      <c r="L1400" s="89">
        <v>45252.0</v>
      </c>
      <c r="M1400" s="33">
        <v>3269.59</v>
      </c>
      <c r="N1400" s="33">
        <v>3462.5</v>
      </c>
      <c r="O1400" s="27" t="s">
        <v>76</v>
      </c>
      <c r="P1400" s="35" t="s">
        <v>89</v>
      </c>
      <c r="Q1400" s="35" t="s">
        <v>90</v>
      </c>
      <c r="R1400" s="36">
        <v>45251.0</v>
      </c>
      <c r="S1400" s="35" t="s">
        <v>231</v>
      </c>
      <c r="T1400" s="35">
        <v>0.0</v>
      </c>
      <c r="U1400" s="37" t="s">
        <v>67</v>
      </c>
      <c r="V1400" s="38"/>
      <c r="W1400" s="78"/>
      <c r="X1400" s="27"/>
      <c r="Y1400" s="39"/>
      <c r="Z1400" s="39"/>
      <c r="AA1400" s="39"/>
      <c r="AB1400" s="27"/>
      <c r="AC1400" s="27">
        <f t="shared" si="1115"/>
        <v>0</v>
      </c>
      <c r="AD1400" s="41">
        <f t="shared" si="1112"/>
        <v>0</v>
      </c>
      <c r="AE1400" s="42"/>
      <c r="AF1400" s="27"/>
      <c r="AG1400" s="43">
        <f t="shared" si="1116"/>
        <v>706.23144</v>
      </c>
      <c r="AH1400" s="29"/>
      <c r="AI1400" s="29"/>
      <c r="AJ1400" s="29"/>
      <c r="AK1400" s="29"/>
      <c r="AL1400" s="27"/>
      <c r="AM1400" s="44"/>
      <c r="AN1400" s="47"/>
      <c r="AO1400" s="46">
        <v>273.6646830000001</v>
      </c>
      <c r="AP1400" s="71">
        <v>45302.0</v>
      </c>
      <c r="AQ1400" s="43">
        <f t="shared" si="1114"/>
        <v>882.7893</v>
      </c>
      <c r="AR1400" s="43">
        <f t="shared" si="448"/>
        <v>44.139465</v>
      </c>
      <c r="AS1400" s="43">
        <f t="shared" si="449"/>
        <v>154.4881275</v>
      </c>
      <c r="AT1400" s="48">
        <f t="shared" si="753"/>
        <v>684.1617075</v>
      </c>
      <c r="AU1400" s="49">
        <f t="shared" si="1088"/>
        <v>410.4970245</v>
      </c>
      <c r="AV1400" s="48"/>
      <c r="AW1400" s="34">
        <f t="shared" si="1000"/>
        <v>3462.5</v>
      </c>
      <c r="AX1400" s="50">
        <f t="shared" si="1034"/>
        <v>278.0786295</v>
      </c>
      <c r="AY1400" s="43"/>
      <c r="AZ1400" s="47"/>
      <c r="BA1400" s="48">
        <f t="shared" si="1080"/>
        <v>136.8323415</v>
      </c>
      <c r="BB1400" s="27"/>
      <c r="BC1400" s="27"/>
      <c r="BD1400" s="51"/>
      <c r="BE1400" s="52"/>
      <c r="BF1400" s="27"/>
      <c r="BG1400" s="53">
        <v>0.0</v>
      </c>
      <c r="BH1400" s="53" t="str">
        <f>'[1]2023'!Q1658</f>
        <v>#REF!</v>
      </c>
      <c r="BI1400" s="27"/>
      <c r="BJ1400" s="27"/>
      <c r="BK1400" s="27" t="s">
        <v>76</v>
      </c>
      <c r="BL1400" s="27"/>
    </row>
    <row r="1401" ht="14.25" customHeight="1">
      <c r="A1401" s="26" t="s">
        <v>55</v>
      </c>
      <c r="B1401" s="26" t="s">
        <v>56</v>
      </c>
      <c r="C1401" s="26" t="s">
        <v>57</v>
      </c>
      <c r="D1401" s="26" t="s">
        <v>58</v>
      </c>
      <c r="E1401" s="27" t="s">
        <v>4537</v>
      </c>
      <c r="F1401" s="28" t="s">
        <v>4538</v>
      </c>
      <c r="G1401" s="29">
        <v>45252.0</v>
      </c>
      <c r="H1401" s="30">
        <v>45252.0</v>
      </c>
      <c r="I1401" s="30">
        <v>45617.0</v>
      </c>
      <c r="J1401" s="31">
        <v>0.0</v>
      </c>
      <c r="K1401" s="26" t="s">
        <v>931</v>
      </c>
      <c r="L1401" s="32" t="s">
        <v>2981</v>
      </c>
      <c r="M1401" s="33">
        <v>182.79</v>
      </c>
      <c r="N1401" s="33">
        <v>193.58</v>
      </c>
      <c r="O1401" s="27" t="s">
        <v>76</v>
      </c>
      <c r="P1401" s="35" t="s">
        <v>122</v>
      </c>
      <c r="Q1401" s="35">
        <v>0.0</v>
      </c>
      <c r="R1401" s="36">
        <v>45252.0</v>
      </c>
      <c r="S1401" s="35" t="s">
        <v>78</v>
      </c>
      <c r="T1401" s="35">
        <v>0.0</v>
      </c>
      <c r="U1401" s="37" t="s">
        <v>58</v>
      </c>
      <c r="V1401" s="38"/>
      <c r="W1401" s="78"/>
      <c r="X1401" s="27"/>
      <c r="Y1401" s="39"/>
      <c r="Z1401" s="39"/>
      <c r="AA1401" s="39"/>
      <c r="AB1401" s="27"/>
      <c r="AC1401" s="27">
        <f t="shared" si="1115"/>
        <v>0</v>
      </c>
      <c r="AD1401" s="41">
        <f t="shared" si="1112"/>
        <v>0</v>
      </c>
      <c r="AE1401" s="42"/>
      <c r="AF1401" s="27"/>
      <c r="AG1401" s="43">
        <f t="shared" ref="AG1401:AG1402" si="1118">IF(O1401="Paid",IF(A1401="Alwataniya",(M1401*21%)-((M1401*21%)*5%),IF((A1401="GIG"),(M1401*25%)-((M1401*25%)*5%),IF((A1401="Allianz"),(M1401*27%)-((M1401*27%)*5%),0))),0)</f>
        <v>46.885635</v>
      </c>
      <c r="AH1401" s="29"/>
      <c r="AI1401" s="29"/>
      <c r="AJ1401" s="29"/>
      <c r="AK1401" s="29"/>
      <c r="AL1401" s="27"/>
      <c r="AM1401" s="44"/>
      <c r="AN1401" s="47"/>
      <c r="AO1401" s="46"/>
      <c r="AP1401" s="47"/>
      <c r="AQ1401" s="43">
        <f t="shared" si="1114"/>
        <v>0</v>
      </c>
      <c r="AR1401" s="43">
        <f t="shared" si="448"/>
        <v>0</v>
      </c>
      <c r="AS1401" s="43">
        <f t="shared" si="449"/>
        <v>0</v>
      </c>
      <c r="AT1401" s="48">
        <f t="shared" si="753"/>
        <v>0</v>
      </c>
      <c r="AU1401" s="49">
        <f t="shared" si="1088"/>
        <v>0</v>
      </c>
      <c r="AV1401" s="48"/>
      <c r="AW1401" s="34">
        <f t="shared" si="1000"/>
        <v>193.58</v>
      </c>
      <c r="AX1401" s="50">
        <f t="shared" si="1034"/>
        <v>46.885635</v>
      </c>
      <c r="AY1401" s="43"/>
      <c r="AZ1401" s="47"/>
      <c r="BA1401" s="48">
        <f t="shared" si="1080"/>
        <v>0</v>
      </c>
      <c r="BB1401" s="27"/>
      <c r="BC1401" s="27"/>
      <c r="BD1401" s="51"/>
      <c r="BE1401" s="52"/>
      <c r="BF1401" s="27"/>
      <c r="BG1401" s="53">
        <v>0.0</v>
      </c>
      <c r="BH1401" s="53" t="str">
        <f>'[1]2023'!Q1515</f>
        <v>#REF!</v>
      </c>
      <c r="BI1401" s="27"/>
      <c r="BJ1401" s="27"/>
      <c r="BK1401" s="27" t="s">
        <v>76</v>
      </c>
      <c r="BL1401" s="27"/>
    </row>
    <row r="1402" ht="14.25" customHeight="1">
      <c r="A1402" s="26" t="s">
        <v>55</v>
      </c>
      <c r="B1402" s="26" t="s">
        <v>56</v>
      </c>
      <c r="C1402" s="26" t="s">
        <v>57</v>
      </c>
      <c r="D1402" s="26" t="s">
        <v>58</v>
      </c>
      <c r="E1402" s="27" t="s">
        <v>4539</v>
      </c>
      <c r="F1402" s="28" t="s">
        <v>4540</v>
      </c>
      <c r="G1402" s="29">
        <v>45252.0</v>
      </c>
      <c r="H1402" s="30">
        <v>45252.0</v>
      </c>
      <c r="I1402" s="30">
        <v>45617.0</v>
      </c>
      <c r="J1402" s="31" t="s">
        <v>4541</v>
      </c>
      <c r="K1402" s="26" t="s">
        <v>931</v>
      </c>
      <c r="L1402" s="89">
        <v>45246.0</v>
      </c>
      <c r="M1402" s="33">
        <v>11638.8</v>
      </c>
      <c r="N1402" s="33">
        <v>12583.68</v>
      </c>
      <c r="O1402" s="27" t="s">
        <v>76</v>
      </c>
      <c r="P1402" s="35" t="s">
        <v>122</v>
      </c>
      <c r="Q1402" s="35">
        <v>0.0</v>
      </c>
      <c r="R1402" s="36">
        <v>45252.0</v>
      </c>
      <c r="S1402" s="35" t="s">
        <v>231</v>
      </c>
      <c r="T1402" s="35">
        <v>0.0</v>
      </c>
      <c r="U1402" s="37" t="s">
        <v>812</v>
      </c>
      <c r="V1402" s="38">
        <v>560000.0</v>
      </c>
      <c r="W1402" s="78">
        <v>705281.0</v>
      </c>
      <c r="X1402" s="27">
        <v>2016.0</v>
      </c>
      <c r="Y1402" s="79" t="s">
        <v>4218</v>
      </c>
      <c r="Z1402" s="39"/>
      <c r="AA1402" s="39"/>
      <c r="AB1402" s="27"/>
      <c r="AC1402" s="27">
        <f t="shared" si="1115"/>
        <v>0</v>
      </c>
      <c r="AD1402" s="41">
        <f t="shared" si="1112"/>
        <v>0</v>
      </c>
      <c r="AE1402" s="42"/>
      <c r="AF1402" s="27"/>
      <c r="AG1402" s="43">
        <f t="shared" si="1118"/>
        <v>2985.3522</v>
      </c>
      <c r="AH1402" s="29"/>
      <c r="AI1402" s="29"/>
      <c r="AJ1402" s="29"/>
      <c r="AK1402" s="29"/>
      <c r="AL1402" s="27"/>
      <c r="AM1402" s="44"/>
      <c r="AN1402" s="47"/>
      <c r="AO1402" s="46">
        <v>273.6646830000001</v>
      </c>
      <c r="AP1402" s="71">
        <v>45302.0</v>
      </c>
      <c r="AQ1402" s="43">
        <f t="shared" si="1114"/>
        <v>0</v>
      </c>
      <c r="AR1402" s="43">
        <f t="shared" si="448"/>
        <v>0</v>
      </c>
      <c r="AS1402" s="43">
        <f t="shared" si="449"/>
        <v>0</v>
      </c>
      <c r="AT1402" s="48">
        <f t="shared" si="753"/>
        <v>0</v>
      </c>
      <c r="AU1402" s="49">
        <f t="shared" si="1088"/>
        <v>-273.664683</v>
      </c>
      <c r="AV1402" s="48"/>
      <c r="AW1402" s="34">
        <f t="shared" si="1000"/>
        <v>12583.68</v>
      </c>
      <c r="AX1402" s="50">
        <f t="shared" si="1034"/>
        <v>2711.687517</v>
      </c>
      <c r="AY1402" s="43"/>
      <c r="AZ1402" s="47"/>
      <c r="BA1402" s="48">
        <f t="shared" si="1080"/>
        <v>-547.329366</v>
      </c>
      <c r="BB1402" s="27"/>
      <c r="BC1402" s="27"/>
      <c r="BD1402" s="51"/>
      <c r="BE1402" s="52"/>
      <c r="BF1402" s="27"/>
      <c r="BG1402" s="53">
        <v>0.0</v>
      </c>
      <c r="BH1402" s="53" t="str">
        <f>'[1]2023'!Q1519</f>
        <v>#REF!</v>
      </c>
      <c r="BI1402" s="27"/>
      <c r="BJ1402" s="27"/>
      <c r="BK1402" s="27" t="s">
        <v>76</v>
      </c>
      <c r="BL1402" s="27"/>
    </row>
    <row r="1403" ht="14.25" customHeight="1">
      <c r="A1403" s="26" t="s">
        <v>55</v>
      </c>
      <c r="B1403" s="26" t="s">
        <v>56</v>
      </c>
      <c r="C1403" s="26" t="s">
        <v>57</v>
      </c>
      <c r="D1403" s="26" t="s">
        <v>81</v>
      </c>
      <c r="E1403" s="27" t="s">
        <v>4542</v>
      </c>
      <c r="F1403" s="28" t="s">
        <v>4543</v>
      </c>
      <c r="G1403" s="29">
        <v>45252.0</v>
      </c>
      <c r="H1403" s="30">
        <v>45252.0</v>
      </c>
      <c r="I1403" s="30">
        <v>45617.0</v>
      </c>
      <c r="J1403" s="31" t="s">
        <v>4544</v>
      </c>
      <c r="K1403" s="26" t="s">
        <v>2374</v>
      </c>
      <c r="L1403" s="89">
        <v>45257.0</v>
      </c>
      <c r="M1403" s="33">
        <v>31584.0</v>
      </c>
      <c r="N1403" s="33">
        <v>33805.36</v>
      </c>
      <c r="O1403" s="27" t="s">
        <v>76</v>
      </c>
      <c r="P1403" s="35" t="s">
        <v>89</v>
      </c>
      <c r="Q1403" s="35" t="s">
        <v>90</v>
      </c>
      <c r="R1403" s="36">
        <v>45252.0</v>
      </c>
      <c r="S1403" s="35" t="s">
        <v>86</v>
      </c>
      <c r="T1403" s="35">
        <v>0.0</v>
      </c>
      <c r="U1403" s="37" t="s">
        <v>67</v>
      </c>
      <c r="V1403" s="38">
        <v>1600000.0</v>
      </c>
      <c r="W1403" s="78">
        <v>3965.0</v>
      </c>
      <c r="X1403" s="27">
        <v>2021.0</v>
      </c>
      <c r="Y1403" s="79" t="s">
        <v>208</v>
      </c>
      <c r="Z1403" s="39"/>
      <c r="AA1403" s="39"/>
      <c r="AB1403" s="27"/>
      <c r="AC1403" s="27">
        <f t="shared" si="1115"/>
        <v>0</v>
      </c>
      <c r="AD1403" s="41">
        <f t="shared" si="1112"/>
        <v>4737.6</v>
      </c>
      <c r="AE1403" s="42"/>
      <c r="AF1403" s="27"/>
      <c r="AG1403" s="43">
        <f t="shared" ref="AG1403:AG1409" si="1119">IF(O1403="Paid",IF(A1403="Wethaq",(M1403*28%)-((M1403*28%)*5%),IF((A1403="GIG"),(M1403*25%)-((M1403*25%)*5%),IF((A1403="Allianz"),(M1403*27%)-((M1403*27%)*20%),0))),0)</f>
        <v>6822.144</v>
      </c>
      <c r="AH1403" s="29"/>
      <c r="AI1403" s="29"/>
      <c r="AJ1403" s="29"/>
      <c r="AK1403" s="29"/>
      <c r="AL1403" s="27"/>
      <c r="AM1403" s="44"/>
      <c r="AN1403" s="47"/>
      <c r="AO1403" s="46"/>
      <c r="AP1403" s="47"/>
      <c r="AQ1403" s="43">
        <f t="shared" si="1114"/>
        <v>8527.68</v>
      </c>
      <c r="AR1403" s="43">
        <f t="shared" si="448"/>
        <v>426.384</v>
      </c>
      <c r="AS1403" s="43">
        <f t="shared" si="449"/>
        <v>1492.344</v>
      </c>
      <c r="AT1403" s="48">
        <f t="shared" si="753"/>
        <v>6608.952</v>
      </c>
      <c r="AU1403" s="49">
        <f t="shared" si="1088"/>
        <v>6608.952</v>
      </c>
      <c r="AV1403" s="48"/>
      <c r="AW1403" s="34">
        <f t="shared" si="1000"/>
        <v>29067.76</v>
      </c>
      <c r="AX1403" s="50">
        <f t="shared" si="1034"/>
        <v>592.2</v>
      </c>
      <c r="AY1403" s="43"/>
      <c r="AZ1403" s="47"/>
      <c r="BA1403" s="48">
        <f t="shared" si="1080"/>
        <v>6608.952</v>
      </c>
      <c r="BB1403" s="27"/>
      <c r="BC1403" s="27"/>
      <c r="BD1403" s="51"/>
      <c r="BE1403" s="52"/>
      <c r="BF1403" s="27"/>
      <c r="BG1403" s="53">
        <v>0.0</v>
      </c>
      <c r="BH1403" s="53" t="str">
        <f>'[1]2023'!Q1632</f>
        <v>#REF!</v>
      </c>
      <c r="BI1403" s="27"/>
      <c r="BJ1403" s="27"/>
      <c r="BK1403" s="27" t="s">
        <v>76</v>
      </c>
      <c r="BL1403" s="27"/>
    </row>
    <row r="1404" ht="14.25" customHeight="1">
      <c r="A1404" s="26" t="s">
        <v>55</v>
      </c>
      <c r="B1404" s="26" t="s">
        <v>56</v>
      </c>
      <c r="C1404" s="26" t="s">
        <v>57</v>
      </c>
      <c r="D1404" s="26" t="s">
        <v>58</v>
      </c>
      <c r="E1404" s="27" t="s">
        <v>4545</v>
      </c>
      <c r="F1404" s="28" t="s">
        <v>4546</v>
      </c>
      <c r="G1404" s="29">
        <v>45252.0</v>
      </c>
      <c r="H1404" s="30">
        <v>45252.0</v>
      </c>
      <c r="I1404" s="30">
        <v>45617.0</v>
      </c>
      <c r="J1404" s="31" t="s">
        <v>4547</v>
      </c>
      <c r="K1404" s="26" t="s">
        <v>2374</v>
      </c>
      <c r="L1404" s="89">
        <v>45265.0</v>
      </c>
      <c r="M1404" s="33">
        <v>10776.49</v>
      </c>
      <c r="N1404" s="33">
        <v>11412.3</v>
      </c>
      <c r="O1404" s="27" t="s">
        <v>76</v>
      </c>
      <c r="P1404" s="35" t="s">
        <v>89</v>
      </c>
      <c r="Q1404" s="35" t="s">
        <v>108</v>
      </c>
      <c r="R1404" s="36">
        <v>45252.0</v>
      </c>
      <c r="S1404" s="35">
        <v>0.0</v>
      </c>
      <c r="T1404" s="35">
        <v>0.0</v>
      </c>
      <c r="U1404" s="37" t="s">
        <v>67</v>
      </c>
      <c r="V1404" s="38"/>
      <c r="W1404" s="78"/>
      <c r="X1404" s="27"/>
      <c r="Y1404" s="39"/>
      <c r="Z1404" s="39"/>
      <c r="AA1404" s="39"/>
      <c r="AB1404" s="27"/>
      <c r="AC1404" s="27">
        <f t="shared" si="1115"/>
        <v>0</v>
      </c>
      <c r="AD1404" s="41">
        <f t="shared" si="1112"/>
        <v>0</v>
      </c>
      <c r="AE1404" s="42"/>
      <c r="AF1404" s="27"/>
      <c r="AG1404" s="43">
        <f t="shared" si="1119"/>
        <v>2327.72184</v>
      </c>
      <c r="AH1404" s="29"/>
      <c r="AI1404" s="29"/>
      <c r="AJ1404" s="29"/>
      <c r="AK1404" s="29"/>
      <c r="AL1404" s="27"/>
      <c r="AM1404" s="44"/>
      <c r="AN1404" s="47"/>
      <c r="AO1404" s="46"/>
      <c r="AP1404" s="47"/>
      <c r="AQ1404" s="43">
        <f t="shared" si="1114"/>
        <v>2909.6523</v>
      </c>
      <c r="AR1404" s="43">
        <f t="shared" si="448"/>
        <v>145.482615</v>
      </c>
      <c r="AS1404" s="43">
        <f t="shared" si="449"/>
        <v>509.1891525</v>
      </c>
      <c r="AT1404" s="48">
        <f t="shared" si="753"/>
        <v>2254.980533</v>
      </c>
      <c r="AU1404" s="49">
        <f t="shared" si="1088"/>
        <v>2254.980533</v>
      </c>
      <c r="AV1404" s="48"/>
      <c r="AW1404" s="34">
        <f t="shared" si="1000"/>
        <v>11412.3</v>
      </c>
      <c r="AX1404" s="50">
        <f t="shared" si="1034"/>
        <v>1818.532688</v>
      </c>
      <c r="AY1404" s="43"/>
      <c r="AZ1404" s="47"/>
      <c r="BA1404" s="48">
        <f t="shared" si="1080"/>
        <v>1818.532688</v>
      </c>
      <c r="BB1404" s="27"/>
      <c r="BC1404" s="27"/>
      <c r="BD1404" s="51"/>
      <c r="BE1404" s="52"/>
      <c r="BF1404" s="27"/>
      <c r="BG1404" s="58" t="s">
        <v>4548</v>
      </c>
      <c r="BH1404" s="53" t="str">
        <f>'[1]2023'!Q1659</f>
        <v>#REF!</v>
      </c>
      <c r="BI1404" s="27"/>
      <c r="BJ1404" s="27"/>
      <c r="BK1404" s="27" t="s">
        <v>76</v>
      </c>
      <c r="BL1404" s="27"/>
    </row>
    <row r="1405" ht="14.25" customHeight="1">
      <c r="A1405" s="26" t="s">
        <v>55</v>
      </c>
      <c r="B1405" s="26" t="s">
        <v>56</v>
      </c>
      <c r="C1405" s="26" t="s">
        <v>57</v>
      </c>
      <c r="D1405" s="26" t="s">
        <v>81</v>
      </c>
      <c r="E1405" s="27" t="s">
        <v>4549</v>
      </c>
      <c r="F1405" s="28" t="s">
        <v>1458</v>
      </c>
      <c r="G1405" s="29">
        <v>45253.0</v>
      </c>
      <c r="H1405" s="30">
        <v>45253.0</v>
      </c>
      <c r="I1405" s="30">
        <v>45618.0</v>
      </c>
      <c r="J1405" s="31" t="s">
        <v>4550</v>
      </c>
      <c r="K1405" s="26" t="s">
        <v>2374</v>
      </c>
      <c r="L1405" s="89">
        <v>45245.0</v>
      </c>
      <c r="M1405" s="33">
        <v>27918.0</v>
      </c>
      <c r="N1405" s="33">
        <v>29904.76</v>
      </c>
      <c r="O1405" s="27" t="s">
        <v>76</v>
      </c>
      <c r="P1405" s="35" t="s">
        <v>430</v>
      </c>
      <c r="Q1405" s="35" t="s">
        <v>90</v>
      </c>
      <c r="R1405" s="36">
        <v>45253.0</v>
      </c>
      <c r="S1405" s="35" t="s">
        <v>86</v>
      </c>
      <c r="T1405" s="35">
        <v>0.0</v>
      </c>
      <c r="U1405" s="37" t="s">
        <v>67</v>
      </c>
      <c r="V1405" s="38">
        <v>1100000.0</v>
      </c>
      <c r="W1405" s="78">
        <v>514219.0</v>
      </c>
      <c r="X1405" s="27">
        <v>2021.0</v>
      </c>
      <c r="Y1405" s="79" t="s">
        <v>232</v>
      </c>
      <c r="Z1405" s="39"/>
      <c r="AA1405" s="39"/>
      <c r="AB1405" s="27"/>
      <c r="AC1405" s="27">
        <f t="shared" si="1115"/>
        <v>0</v>
      </c>
      <c r="AD1405" s="41">
        <f t="shared" si="1112"/>
        <v>4187.7</v>
      </c>
      <c r="AE1405" s="42"/>
      <c r="AF1405" s="27"/>
      <c r="AG1405" s="43">
        <f t="shared" si="1119"/>
        <v>6030.288</v>
      </c>
      <c r="AH1405" s="29"/>
      <c r="AI1405" s="29"/>
      <c r="AJ1405" s="29"/>
      <c r="AK1405" s="29"/>
      <c r="AL1405" s="27"/>
      <c r="AM1405" s="44"/>
      <c r="AN1405" s="47"/>
      <c r="AO1405" s="46"/>
      <c r="AP1405" s="47"/>
      <c r="AQ1405" s="43">
        <f t="shared" si="1114"/>
        <v>7537.86</v>
      </c>
      <c r="AR1405" s="43">
        <f t="shared" si="448"/>
        <v>376.893</v>
      </c>
      <c r="AS1405" s="43">
        <f t="shared" si="449"/>
        <v>1319.1255</v>
      </c>
      <c r="AT1405" s="48">
        <f t="shared" si="753"/>
        <v>5841.8415</v>
      </c>
      <c r="AU1405" s="49">
        <f t="shared" si="1088"/>
        <v>5841.8415</v>
      </c>
      <c r="AV1405" s="48"/>
      <c r="AW1405" s="34">
        <f t="shared" si="1000"/>
        <v>25717.06</v>
      </c>
      <c r="AX1405" s="50">
        <f t="shared" si="1034"/>
        <v>523.4625</v>
      </c>
      <c r="AY1405" s="43"/>
      <c r="AZ1405" s="47"/>
      <c r="BA1405" s="48">
        <f t="shared" si="1080"/>
        <v>5841.8415</v>
      </c>
      <c r="BB1405" s="27"/>
      <c r="BC1405" s="27"/>
      <c r="BD1405" s="51"/>
      <c r="BE1405" s="52"/>
      <c r="BF1405" s="27"/>
      <c r="BG1405" s="53">
        <v>0.0</v>
      </c>
      <c r="BH1405" s="53" t="str">
        <f>'[1]2023'!Q1615</f>
        <v>#REF!</v>
      </c>
      <c r="BI1405" s="27"/>
      <c r="BJ1405" s="27"/>
      <c r="BK1405" s="27" t="s">
        <v>76</v>
      </c>
      <c r="BL1405" s="27"/>
    </row>
    <row r="1406" ht="14.25" customHeight="1">
      <c r="A1406" s="26" t="s">
        <v>55</v>
      </c>
      <c r="B1406" s="26" t="s">
        <v>56</v>
      </c>
      <c r="C1406" s="26" t="s">
        <v>57</v>
      </c>
      <c r="D1406" s="26" t="s">
        <v>81</v>
      </c>
      <c r="E1406" s="27" t="s">
        <v>4551</v>
      </c>
      <c r="F1406" s="28" t="s">
        <v>4552</v>
      </c>
      <c r="G1406" s="29">
        <v>45253.0</v>
      </c>
      <c r="H1406" s="30">
        <v>45253.0</v>
      </c>
      <c r="I1406" s="30">
        <v>45618.0</v>
      </c>
      <c r="J1406" s="31" t="s">
        <v>4553</v>
      </c>
      <c r="K1406" s="26" t="s">
        <v>2374</v>
      </c>
      <c r="L1406" s="89">
        <v>45258.0</v>
      </c>
      <c r="M1406" s="33">
        <v>24375.0</v>
      </c>
      <c r="N1406" s="33">
        <v>25954.13</v>
      </c>
      <c r="O1406" s="27" t="s">
        <v>76</v>
      </c>
      <c r="P1406" s="35" t="s">
        <v>89</v>
      </c>
      <c r="Q1406" s="35" t="s">
        <v>90</v>
      </c>
      <c r="R1406" s="36">
        <v>45253.0</v>
      </c>
      <c r="S1406" s="35" t="s">
        <v>86</v>
      </c>
      <c r="T1406" s="35">
        <v>0.0</v>
      </c>
      <c r="U1406" s="37" t="s">
        <v>67</v>
      </c>
      <c r="V1406" s="38">
        <v>750000.0</v>
      </c>
      <c r="W1406" s="78">
        <v>956657.0</v>
      </c>
      <c r="X1406" s="27">
        <v>2022.0</v>
      </c>
      <c r="Y1406" s="79" t="s">
        <v>4554</v>
      </c>
      <c r="Z1406" s="39"/>
      <c r="AA1406" s="39"/>
      <c r="AB1406" s="27"/>
      <c r="AC1406" s="27">
        <f t="shared" si="1115"/>
        <v>0</v>
      </c>
      <c r="AD1406" s="41">
        <f t="shared" si="1112"/>
        <v>3656.25</v>
      </c>
      <c r="AE1406" s="42"/>
      <c r="AF1406" s="27"/>
      <c r="AG1406" s="43">
        <f t="shared" si="1119"/>
        <v>5265</v>
      </c>
      <c r="AH1406" s="29"/>
      <c r="AI1406" s="29"/>
      <c r="AJ1406" s="29"/>
      <c r="AK1406" s="29"/>
      <c r="AL1406" s="27"/>
      <c r="AM1406" s="44"/>
      <c r="AN1406" s="47"/>
      <c r="AO1406" s="46"/>
      <c r="AP1406" s="47"/>
      <c r="AQ1406" s="43">
        <f t="shared" si="1114"/>
        <v>6581.25</v>
      </c>
      <c r="AR1406" s="43">
        <f t="shared" si="448"/>
        <v>329.0625</v>
      </c>
      <c r="AS1406" s="43">
        <f t="shared" si="449"/>
        <v>1151.71875</v>
      </c>
      <c r="AT1406" s="48">
        <f t="shared" si="753"/>
        <v>5100.46875</v>
      </c>
      <c r="AU1406" s="49">
        <f t="shared" si="1088"/>
        <v>5100.46875</v>
      </c>
      <c r="AV1406" s="48"/>
      <c r="AW1406" s="34">
        <f t="shared" si="1000"/>
        <v>22297.88</v>
      </c>
      <c r="AX1406" s="50">
        <f t="shared" si="1034"/>
        <v>457.03125</v>
      </c>
      <c r="AY1406" s="43"/>
      <c r="AZ1406" s="47"/>
      <c r="BA1406" s="48">
        <f t="shared" si="1080"/>
        <v>5100.46875</v>
      </c>
      <c r="BB1406" s="27"/>
      <c r="BC1406" s="27"/>
      <c r="BD1406" s="51"/>
      <c r="BE1406" s="52"/>
      <c r="BF1406" s="27"/>
      <c r="BG1406" s="53">
        <v>0.0</v>
      </c>
      <c r="BH1406" s="53" t="str">
        <f>'[1]2023'!Q1625</f>
        <v>#REF!</v>
      </c>
      <c r="BI1406" s="27"/>
      <c r="BJ1406" s="27"/>
      <c r="BK1406" s="27" t="s">
        <v>76</v>
      </c>
      <c r="BL1406" s="27"/>
    </row>
    <row r="1407" ht="14.25" customHeight="1">
      <c r="A1407" s="26" t="s">
        <v>55</v>
      </c>
      <c r="B1407" s="26" t="s">
        <v>56</v>
      </c>
      <c r="C1407" s="26" t="s">
        <v>57</v>
      </c>
      <c r="D1407" s="26" t="s">
        <v>81</v>
      </c>
      <c r="E1407" s="27" t="s">
        <v>4555</v>
      </c>
      <c r="F1407" s="28" t="s">
        <v>4556</v>
      </c>
      <c r="G1407" s="29">
        <v>45253.0</v>
      </c>
      <c r="H1407" s="30">
        <v>45253.0</v>
      </c>
      <c r="I1407" s="30">
        <v>45618.0</v>
      </c>
      <c r="J1407" s="31" t="s">
        <v>4557</v>
      </c>
      <c r="K1407" s="26" t="s">
        <v>4489</v>
      </c>
      <c r="L1407" s="32" t="s">
        <v>63</v>
      </c>
      <c r="M1407" s="33" t="s">
        <v>63</v>
      </c>
      <c r="N1407" s="33" t="s">
        <v>63</v>
      </c>
      <c r="O1407" s="27" t="s">
        <v>1102</v>
      </c>
      <c r="P1407" s="35">
        <v>0.0</v>
      </c>
      <c r="Q1407" s="35">
        <v>0.0</v>
      </c>
      <c r="R1407" s="36">
        <v>45253.0</v>
      </c>
      <c r="S1407" s="35" t="s">
        <v>86</v>
      </c>
      <c r="T1407" s="35">
        <v>0.0</v>
      </c>
      <c r="U1407" s="37" t="s">
        <v>67</v>
      </c>
      <c r="V1407" s="38"/>
      <c r="W1407" s="78"/>
      <c r="X1407" s="27"/>
      <c r="Y1407" s="39"/>
      <c r="Z1407" s="39"/>
      <c r="AA1407" s="39"/>
      <c r="AB1407" s="27"/>
      <c r="AC1407" s="27" t="str">
        <f t="shared" si="1115"/>
        <v>#VALUE!</v>
      </c>
      <c r="AD1407" s="41">
        <f t="shared" si="1112"/>
        <v>0</v>
      </c>
      <c r="AE1407" s="42"/>
      <c r="AF1407" s="27"/>
      <c r="AG1407" s="43">
        <f t="shared" si="1119"/>
        <v>0</v>
      </c>
      <c r="AH1407" s="29"/>
      <c r="AI1407" s="29"/>
      <c r="AJ1407" s="29"/>
      <c r="AK1407" s="29"/>
      <c r="AL1407" s="27"/>
      <c r="AM1407" s="44"/>
      <c r="AN1407" s="47"/>
      <c r="AO1407" s="46"/>
      <c r="AP1407" s="47"/>
      <c r="AQ1407" s="43" t="b">
        <f t="shared" si="1114"/>
        <v>0</v>
      </c>
      <c r="AR1407" s="43">
        <f t="shared" si="448"/>
        <v>0</v>
      </c>
      <c r="AS1407" s="43">
        <f t="shared" si="449"/>
        <v>0</v>
      </c>
      <c r="AT1407" s="48">
        <f t="shared" si="753"/>
        <v>0</v>
      </c>
      <c r="AU1407" s="49" t="str">
        <f t="shared" si="1088"/>
        <v>#VALUE!</v>
      </c>
      <c r="AV1407" s="48"/>
      <c r="AW1407" s="27" t="str">
        <f t="shared" si="1000"/>
        <v>#VALUE!</v>
      </c>
      <c r="AX1407" s="50">
        <f t="shared" si="1034"/>
        <v>0</v>
      </c>
      <c r="AY1407" s="43"/>
      <c r="AZ1407" s="47"/>
      <c r="BA1407" s="48" t="str">
        <f t="shared" si="1080"/>
        <v>#VALUE!</v>
      </c>
      <c r="BB1407" s="27"/>
      <c r="BC1407" s="27"/>
      <c r="BD1407" s="51"/>
      <c r="BE1407" s="52"/>
      <c r="BF1407" s="27"/>
      <c r="BG1407" s="53">
        <v>0.0</v>
      </c>
      <c r="BH1407" s="53" t="str">
        <f>'[1]2023'!Q1649</f>
        <v>#REF!</v>
      </c>
      <c r="BI1407" s="27"/>
      <c r="BJ1407" s="27"/>
      <c r="BK1407" s="27" t="s">
        <v>1102</v>
      </c>
      <c r="BL1407" s="27"/>
    </row>
    <row r="1408" ht="14.25" customHeight="1">
      <c r="A1408" s="26" t="s">
        <v>55</v>
      </c>
      <c r="B1408" s="26" t="s">
        <v>56</v>
      </c>
      <c r="C1408" s="26" t="s">
        <v>57</v>
      </c>
      <c r="D1408" s="26" t="s">
        <v>81</v>
      </c>
      <c r="E1408" s="27" t="s">
        <v>4558</v>
      </c>
      <c r="F1408" s="28" t="s">
        <v>4559</v>
      </c>
      <c r="G1408" s="29">
        <v>45253.0</v>
      </c>
      <c r="H1408" s="30">
        <v>45253.0</v>
      </c>
      <c r="I1408" s="30">
        <v>45618.0</v>
      </c>
      <c r="J1408" s="31" t="s">
        <v>4560</v>
      </c>
      <c r="K1408" s="26" t="s">
        <v>2374</v>
      </c>
      <c r="L1408" s="89">
        <v>45309.0</v>
      </c>
      <c r="M1408" s="33">
        <v>19664.61</v>
      </c>
      <c r="N1408" s="33">
        <v>21123.14</v>
      </c>
      <c r="O1408" s="27" t="s">
        <v>76</v>
      </c>
      <c r="P1408" s="35" t="s">
        <v>142</v>
      </c>
      <c r="Q1408" s="35" t="s">
        <v>90</v>
      </c>
      <c r="R1408" s="36">
        <v>45253.0</v>
      </c>
      <c r="S1408" s="35" t="s">
        <v>86</v>
      </c>
      <c r="T1408" s="35">
        <v>0.0</v>
      </c>
      <c r="U1408" s="37" t="s">
        <v>67</v>
      </c>
      <c r="V1408" s="38">
        <v>870000.0</v>
      </c>
      <c r="W1408" s="78">
        <v>11257.0</v>
      </c>
      <c r="X1408" s="27">
        <v>2021.0</v>
      </c>
      <c r="Y1408" s="79" t="s">
        <v>3228</v>
      </c>
      <c r="Z1408" s="79" t="s">
        <v>764</v>
      </c>
      <c r="AA1408" s="39"/>
      <c r="AB1408" s="27"/>
      <c r="AC1408" s="27">
        <f t="shared" si="1115"/>
        <v>0</v>
      </c>
      <c r="AD1408" s="41">
        <f t="shared" si="1112"/>
        <v>2949.6915</v>
      </c>
      <c r="AE1408" s="42"/>
      <c r="AF1408" s="188">
        <v>45307.0</v>
      </c>
      <c r="AG1408" s="43">
        <f t="shared" si="1119"/>
        <v>4247.55576</v>
      </c>
      <c r="AH1408" s="29"/>
      <c r="AI1408" s="29"/>
      <c r="AJ1408" s="29"/>
      <c r="AK1408" s="29"/>
      <c r="AL1408" s="27"/>
      <c r="AM1408" s="44"/>
      <c r="AN1408" s="47"/>
      <c r="AO1408" s="46"/>
      <c r="AP1408" s="47"/>
      <c r="AQ1408" s="43">
        <f t="shared" si="1114"/>
        <v>5309.4447</v>
      </c>
      <c r="AR1408" s="43">
        <f t="shared" si="448"/>
        <v>265.472235</v>
      </c>
      <c r="AS1408" s="43">
        <f t="shared" si="449"/>
        <v>929.1528225</v>
      </c>
      <c r="AT1408" s="48">
        <f t="shared" si="753"/>
        <v>4114.819643</v>
      </c>
      <c r="AU1408" s="49">
        <f t="shared" si="1088"/>
        <v>4114.819643</v>
      </c>
      <c r="AV1408" s="48"/>
      <c r="AW1408" s="34">
        <f t="shared" si="1000"/>
        <v>18173.4485</v>
      </c>
      <c r="AX1408" s="50">
        <f t="shared" si="1034"/>
        <v>368.7114375</v>
      </c>
      <c r="AY1408" s="43"/>
      <c r="AZ1408" s="47"/>
      <c r="BA1408" s="48">
        <f t="shared" si="1080"/>
        <v>4114.819643</v>
      </c>
      <c r="BB1408" s="27"/>
      <c r="BC1408" s="27"/>
      <c r="BD1408" s="51"/>
      <c r="BE1408" s="52"/>
      <c r="BF1408" s="27"/>
      <c r="BG1408" s="53">
        <v>0.0</v>
      </c>
      <c r="BH1408" s="53" t="str">
        <f>'[1]2023'!Q1666</f>
        <v>#REF!</v>
      </c>
      <c r="BI1408" s="27"/>
      <c r="BJ1408" s="27"/>
      <c r="BK1408" s="27" t="s">
        <v>1102</v>
      </c>
      <c r="BL1408" s="27"/>
    </row>
    <row r="1409" ht="14.25" customHeight="1">
      <c r="A1409" s="26" t="s">
        <v>55</v>
      </c>
      <c r="B1409" s="26" t="s">
        <v>56</v>
      </c>
      <c r="C1409" s="26" t="s">
        <v>57</v>
      </c>
      <c r="D1409" s="26" t="s">
        <v>58</v>
      </c>
      <c r="E1409" s="27" t="s">
        <v>4561</v>
      </c>
      <c r="F1409" s="28" t="s">
        <v>4562</v>
      </c>
      <c r="G1409" s="29">
        <v>45253.0</v>
      </c>
      <c r="H1409" s="30">
        <v>45253.0</v>
      </c>
      <c r="I1409" s="30">
        <v>45618.0</v>
      </c>
      <c r="J1409" s="31" t="s">
        <v>1875</v>
      </c>
      <c r="K1409" s="26" t="s">
        <v>2374</v>
      </c>
      <c r="L1409" s="89">
        <v>45264.0</v>
      </c>
      <c r="M1409" s="33">
        <v>8136.3</v>
      </c>
      <c r="N1409" s="33">
        <v>8616.35</v>
      </c>
      <c r="O1409" s="27" t="s">
        <v>76</v>
      </c>
      <c r="P1409" s="35" t="s">
        <v>89</v>
      </c>
      <c r="Q1409" s="35">
        <v>0.0</v>
      </c>
      <c r="R1409" s="36">
        <v>45253.0</v>
      </c>
      <c r="S1409" s="35" t="s">
        <v>676</v>
      </c>
      <c r="T1409" s="104"/>
      <c r="U1409" s="37" t="s">
        <v>67</v>
      </c>
      <c r="V1409" s="38"/>
      <c r="W1409" s="78"/>
      <c r="X1409" s="27"/>
      <c r="Y1409" s="39"/>
      <c r="Z1409" s="39"/>
      <c r="AA1409" s="39"/>
      <c r="AB1409" s="27"/>
      <c r="AC1409" s="27">
        <f t="shared" si="1115"/>
        <v>0</v>
      </c>
      <c r="AD1409" s="41">
        <f t="shared" si="1112"/>
        <v>0</v>
      </c>
      <c r="AE1409" s="42"/>
      <c r="AF1409" s="27"/>
      <c r="AG1409" s="43">
        <f t="shared" si="1119"/>
        <v>1757.4408</v>
      </c>
      <c r="AH1409" s="29"/>
      <c r="AI1409" s="29"/>
      <c r="AJ1409" s="29"/>
      <c r="AK1409" s="29"/>
      <c r="AL1409" s="27"/>
      <c r="AM1409" s="215">
        <f>AU1409*30%</f>
        <v>510.7562325</v>
      </c>
      <c r="AN1409" s="71">
        <v>45654.0</v>
      </c>
      <c r="AO1409" s="46"/>
      <c r="AP1409" s="47"/>
      <c r="AQ1409" s="43">
        <f t="shared" si="1114"/>
        <v>2196.801</v>
      </c>
      <c r="AR1409" s="43">
        <f t="shared" si="448"/>
        <v>109.84005</v>
      </c>
      <c r="AS1409" s="43">
        <f t="shared" si="449"/>
        <v>384.440175</v>
      </c>
      <c r="AT1409" s="48">
        <f t="shared" si="753"/>
        <v>1702.520775</v>
      </c>
      <c r="AU1409" s="49">
        <f t="shared" si="1088"/>
        <v>1702.520775</v>
      </c>
      <c r="AV1409" s="106">
        <f>(AU1409-AM1409)*10%</f>
        <v>119.1764543</v>
      </c>
      <c r="AW1409" s="34">
        <f t="shared" si="1000"/>
        <v>8616.35</v>
      </c>
      <c r="AX1409" s="50">
        <f t="shared" si="1034"/>
        <v>743.0679383</v>
      </c>
      <c r="AY1409" s="43"/>
      <c r="AZ1409" s="47"/>
      <c r="BA1409" s="48">
        <f t="shared" si="1080"/>
        <v>1191.764543</v>
      </c>
      <c r="BB1409" s="27"/>
      <c r="BC1409" s="27"/>
      <c r="BD1409" s="51"/>
      <c r="BE1409" s="52"/>
      <c r="BF1409" s="27"/>
      <c r="BG1409" s="58" t="s">
        <v>4563</v>
      </c>
      <c r="BH1409" s="53" t="str">
        <f>'[1]2023'!Q1674</f>
        <v>#REF!</v>
      </c>
      <c r="BI1409" s="27"/>
      <c r="BJ1409" s="27"/>
      <c r="BK1409" s="27" t="s">
        <v>76</v>
      </c>
      <c r="BL1409" s="27"/>
    </row>
    <row r="1410" ht="14.25" customHeight="1">
      <c r="A1410" s="26" t="s">
        <v>1634</v>
      </c>
      <c r="B1410" s="26" t="s">
        <v>69</v>
      </c>
      <c r="C1410" s="26" t="s">
        <v>70</v>
      </c>
      <c r="D1410" s="26" t="s">
        <v>71</v>
      </c>
      <c r="E1410" s="27" t="s">
        <v>4564</v>
      </c>
      <c r="F1410" s="26" t="s">
        <v>4103</v>
      </c>
      <c r="G1410" s="29">
        <v>45254.0</v>
      </c>
      <c r="H1410" s="30">
        <v>45254.0</v>
      </c>
      <c r="I1410" s="30">
        <v>45619.0</v>
      </c>
      <c r="J1410" s="31">
        <v>0.0</v>
      </c>
      <c r="K1410" s="26" t="s">
        <v>2374</v>
      </c>
      <c r="L1410" s="89">
        <v>45225.0</v>
      </c>
      <c r="M1410" s="33">
        <v>14000.0</v>
      </c>
      <c r="N1410" s="33">
        <v>14000.0</v>
      </c>
      <c r="O1410" s="27" t="s">
        <v>76</v>
      </c>
      <c r="P1410" s="35" t="s">
        <v>77</v>
      </c>
      <c r="Q1410" s="35">
        <v>0.0</v>
      </c>
      <c r="R1410" s="36">
        <v>45254.0</v>
      </c>
      <c r="S1410" s="35" t="s">
        <v>78</v>
      </c>
      <c r="T1410" s="54" t="s">
        <v>79</v>
      </c>
      <c r="U1410" s="37" t="s">
        <v>69</v>
      </c>
      <c r="V1410" s="38"/>
      <c r="W1410" s="78"/>
      <c r="X1410" s="27"/>
      <c r="Y1410" s="39"/>
      <c r="Z1410" s="39"/>
      <c r="AA1410" s="39"/>
      <c r="AB1410" s="27"/>
      <c r="AC1410" s="27">
        <f t="shared" si="1115"/>
        <v>0</v>
      </c>
      <c r="AD1410" s="41">
        <f t="shared" si="1112"/>
        <v>0</v>
      </c>
      <c r="AE1410" s="42"/>
      <c r="AF1410" s="27"/>
      <c r="AG1410" s="43">
        <f>(M1410*16.75%)-((M1410*16.75%)*5%)</f>
        <v>2227.75</v>
      </c>
      <c r="AH1410" s="29"/>
      <c r="AI1410" s="29"/>
      <c r="AJ1410" s="29"/>
      <c r="AK1410" s="29"/>
      <c r="AL1410" s="27"/>
      <c r="AM1410" s="44"/>
      <c r="AN1410" s="47"/>
      <c r="AO1410" s="149">
        <f>((AF1410*AJ1410)-((AF1410*AJ1410)*22.5%))*80%</f>
        <v>0</v>
      </c>
      <c r="AP1410" s="47"/>
      <c r="AQ1410" s="43">
        <f t="shared" si="1114"/>
        <v>0</v>
      </c>
      <c r="AR1410" s="43">
        <f t="shared" si="448"/>
        <v>0</v>
      </c>
      <c r="AS1410" s="43">
        <f t="shared" si="449"/>
        <v>0</v>
      </c>
      <c r="AT1410" s="48">
        <f t="shared" si="753"/>
        <v>0</v>
      </c>
      <c r="AU1410" s="49">
        <f t="shared" si="1088"/>
        <v>0</v>
      </c>
      <c r="AV1410" s="48"/>
      <c r="AW1410" s="34">
        <f t="shared" si="1000"/>
        <v>14000</v>
      </c>
      <c r="AX1410" s="50">
        <f t="shared" si="1034"/>
        <v>2227.75</v>
      </c>
      <c r="AY1410" s="43"/>
      <c r="AZ1410" s="47"/>
      <c r="BA1410" s="48">
        <f t="shared" si="1080"/>
        <v>0</v>
      </c>
      <c r="BB1410" s="27"/>
      <c r="BC1410" s="27"/>
      <c r="BD1410" s="51"/>
      <c r="BE1410" s="52"/>
      <c r="BF1410" s="27"/>
      <c r="BG1410" s="53">
        <v>0.0</v>
      </c>
      <c r="BH1410" s="53" t="str">
        <f>'[1]2023'!Q1561</f>
        <v>#REF!</v>
      </c>
      <c r="BI1410" s="27"/>
      <c r="BJ1410" s="27"/>
      <c r="BK1410" s="27" t="s">
        <v>76</v>
      </c>
      <c r="BL1410" s="27"/>
    </row>
    <row r="1411" ht="14.25" customHeight="1">
      <c r="A1411" s="26" t="s">
        <v>55</v>
      </c>
      <c r="B1411" s="26" t="s">
        <v>56</v>
      </c>
      <c r="C1411" s="26" t="s">
        <v>57</v>
      </c>
      <c r="D1411" s="26" t="s">
        <v>81</v>
      </c>
      <c r="E1411" s="27" t="s">
        <v>4565</v>
      </c>
      <c r="F1411" s="28" t="s">
        <v>4566</v>
      </c>
      <c r="G1411" s="29">
        <v>45254.0</v>
      </c>
      <c r="H1411" s="30">
        <v>45254.0</v>
      </c>
      <c r="I1411" s="30">
        <v>45619.0</v>
      </c>
      <c r="J1411" s="31" t="s">
        <v>4567</v>
      </c>
      <c r="K1411" s="26" t="s">
        <v>2374</v>
      </c>
      <c r="L1411" s="32" t="s">
        <v>63</v>
      </c>
      <c r="M1411" s="33" t="s">
        <v>63</v>
      </c>
      <c r="N1411" s="33" t="s">
        <v>63</v>
      </c>
      <c r="O1411" s="27" t="s">
        <v>64</v>
      </c>
      <c r="P1411" s="35">
        <v>0.0</v>
      </c>
      <c r="Q1411" s="35">
        <v>0.0</v>
      </c>
      <c r="R1411" s="36">
        <v>45254.0</v>
      </c>
      <c r="S1411" s="35" t="s">
        <v>86</v>
      </c>
      <c r="T1411" s="35">
        <v>0.0</v>
      </c>
      <c r="U1411" s="37" t="s">
        <v>67</v>
      </c>
      <c r="V1411" s="38"/>
      <c r="W1411" s="78"/>
      <c r="X1411" s="27"/>
      <c r="Y1411" s="39"/>
      <c r="Z1411" s="39"/>
      <c r="AA1411" s="39"/>
      <c r="AB1411" s="27"/>
      <c r="AC1411" s="27" t="str">
        <f t="shared" si="1115"/>
        <v>#VALUE!</v>
      </c>
      <c r="AD1411" s="41">
        <f t="shared" si="1112"/>
        <v>0</v>
      </c>
      <c r="AE1411" s="42"/>
      <c r="AF1411" s="27"/>
      <c r="AG1411" s="43">
        <f t="shared" ref="AG1411:AG1421" si="1120">IF(O1411="Paid",IF(A1411="Wethaq",(M1411*28%)-((M1411*28%)*5%),IF((A1411="GIG"),(M1411*25%)-((M1411*25%)*5%),IF((A1411="Allianz"),(M1411*27%)-((M1411*27%)*20%),0))),0)</f>
        <v>0</v>
      </c>
      <c r="AH1411" s="29"/>
      <c r="AI1411" s="29"/>
      <c r="AJ1411" s="29"/>
      <c r="AK1411" s="29"/>
      <c r="AL1411" s="27"/>
      <c r="AM1411" s="44"/>
      <c r="AN1411" s="47"/>
      <c r="AO1411" s="46"/>
      <c r="AP1411" s="47"/>
      <c r="AQ1411" s="43" t="b">
        <f t="shared" si="1114"/>
        <v>0</v>
      </c>
      <c r="AR1411" s="43">
        <f t="shared" si="448"/>
        <v>0</v>
      </c>
      <c r="AS1411" s="43">
        <f t="shared" si="449"/>
        <v>0</v>
      </c>
      <c r="AT1411" s="48">
        <f t="shared" si="753"/>
        <v>0</v>
      </c>
      <c r="AU1411" s="49" t="str">
        <f t="shared" si="1088"/>
        <v>#VALUE!</v>
      </c>
      <c r="AV1411" s="48"/>
      <c r="AW1411" s="27" t="str">
        <f t="shared" si="1000"/>
        <v>#VALUE!</v>
      </c>
      <c r="AX1411" s="50">
        <f t="shared" si="1034"/>
        <v>0</v>
      </c>
      <c r="AY1411" s="43"/>
      <c r="AZ1411" s="47"/>
      <c r="BA1411" s="48" t="str">
        <f t="shared" si="1080"/>
        <v>#VALUE!</v>
      </c>
      <c r="BB1411" s="27"/>
      <c r="BC1411" s="27"/>
      <c r="BD1411" s="51"/>
      <c r="BE1411" s="52"/>
      <c r="BF1411" s="27"/>
      <c r="BG1411" s="53">
        <v>0.0</v>
      </c>
      <c r="BH1411" s="53" t="str">
        <f>'[1]2023'!Q1630</f>
        <v>#REF!</v>
      </c>
      <c r="BI1411" s="27"/>
      <c r="BJ1411" s="27"/>
      <c r="BK1411" s="27" t="s">
        <v>1102</v>
      </c>
      <c r="BL1411" s="27"/>
    </row>
    <row r="1412" ht="14.25" customHeight="1">
      <c r="A1412" s="26" t="s">
        <v>55</v>
      </c>
      <c r="B1412" s="26" t="s">
        <v>56</v>
      </c>
      <c r="C1412" s="26" t="s">
        <v>57</v>
      </c>
      <c r="D1412" s="26" t="s">
        <v>81</v>
      </c>
      <c r="E1412" s="27" t="s">
        <v>4568</v>
      </c>
      <c r="F1412" s="28" t="s">
        <v>4569</v>
      </c>
      <c r="G1412" s="29">
        <v>45254.0</v>
      </c>
      <c r="H1412" s="30">
        <v>45254.0</v>
      </c>
      <c r="I1412" s="30">
        <v>45619.0</v>
      </c>
      <c r="J1412" s="31" t="s">
        <v>4106</v>
      </c>
      <c r="K1412" s="26" t="s">
        <v>2374</v>
      </c>
      <c r="L1412" s="89">
        <v>45266.0</v>
      </c>
      <c r="M1412" s="33">
        <v>38352.0</v>
      </c>
      <c r="N1412" s="34">
        <v>41006.52</v>
      </c>
      <c r="O1412" s="27" t="s">
        <v>76</v>
      </c>
      <c r="P1412" s="35" t="s">
        <v>95</v>
      </c>
      <c r="Q1412" s="35" t="s">
        <v>90</v>
      </c>
      <c r="R1412" s="36">
        <v>45254.0</v>
      </c>
      <c r="S1412" s="35" t="s">
        <v>86</v>
      </c>
      <c r="T1412" s="35">
        <v>0.0</v>
      </c>
      <c r="U1412" s="37" t="s">
        <v>67</v>
      </c>
      <c r="V1412" s="38">
        <v>1700000.0</v>
      </c>
      <c r="W1412" s="78">
        <v>7877.0</v>
      </c>
      <c r="X1412" s="27">
        <v>2022.0</v>
      </c>
      <c r="Y1412" s="79" t="s">
        <v>208</v>
      </c>
      <c r="Z1412" s="39"/>
      <c r="AA1412" s="39"/>
      <c r="AB1412" s="27"/>
      <c r="AC1412" s="27">
        <f t="shared" si="1115"/>
        <v>0</v>
      </c>
      <c r="AD1412" s="41">
        <f t="shared" si="1112"/>
        <v>5752.8</v>
      </c>
      <c r="AE1412" s="42"/>
      <c r="AF1412" s="27"/>
      <c r="AG1412" s="43">
        <f t="shared" si="1120"/>
        <v>8284.032</v>
      </c>
      <c r="AH1412" s="29"/>
      <c r="AI1412" s="29"/>
      <c r="AJ1412" s="29"/>
      <c r="AK1412" s="29"/>
      <c r="AL1412" s="27"/>
      <c r="AM1412" s="44"/>
      <c r="AN1412" s="47"/>
      <c r="AO1412" s="46"/>
      <c r="AP1412" s="47"/>
      <c r="AQ1412" s="43">
        <f t="shared" si="1114"/>
        <v>10355.04</v>
      </c>
      <c r="AR1412" s="43">
        <f t="shared" si="448"/>
        <v>517.752</v>
      </c>
      <c r="AS1412" s="43">
        <f t="shared" si="449"/>
        <v>1812.132</v>
      </c>
      <c r="AT1412" s="48">
        <f t="shared" si="753"/>
        <v>8025.156</v>
      </c>
      <c r="AU1412" s="49">
        <f t="shared" si="1088"/>
        <v>8025.156</v>
      </c>
      <c r="AV1412" s="48"/>
      <c r="AW1412" s="34">
        <f t="shared" si="1000"/>
        <v>35253.72</v>
      </c>
      <c r="AX1412" s="50">
        <f t="shared" si="1034"/>
        <v>719.1</v>
      </c>
      <c r="AY1412" s="43"/>
      <c r="AZ1412" s="47"/>
      <c r="BA1412" s="48">
        <f t="shared" si="1080"/>
        <v>8025.156</v>
      </c>
      <c r="BB1412" s="27"/>
      <c r="BC1412" s="27"/>
      <c r="BD1412" s="51"/>
      <c r="BE1412" s="52"/>
      <c r="BF1412" s="27"/>
      <c r="BG1412" s="53">
        <v>0.0</v>
      </c>
      <c r="BH1412" s="53" t="str">
        <f>'[1]2023'!Q1639</f>
        <v>#REF!</v>
      </c>
      <c r="BI1412" s="27"/>
      <c r="BJ1412" s="27"/>
      <c r="BK1412" s="27" t="s">
        <v>1102</v>
      </c>
      <c r="BL1412" s="27"/>
    </row>
    <row r="1413" ht="14.25" customHeight="1">
      <c r="A1413" s="26" t="s">
        <v>55</v>
      </c>
      <c r="B1413" s="26" t="s">
        <v>56</v>
      </c>
      <c r="C1413" s="26" t="s">
        <v>57</v>
      </c>
      <c r="D1413" s="26" t="s">
        <v>81</v>
      </c>
      <c r="E1413" s="27" t="s">
        <v>4570</v>
      </c>
      <c r="F1413" s="28" t="s">
        <v>4571</v>
      </c>
      <c r="G1413" s="29">
        <v>45254.0</v>
      </c>
      <c r="H1413" s="30">
        <v>45254.0</v>
      </c>
      <c r="I1413" s="30">
        <v>45619.0</v>
      </c>
      <c r="J1413" s="31" t="s">
        <v>4572</v>
      </c>
      <c r="K1413" s="26" t="s">
        <v>2374</v>
      </c>
      <c r="L1413" s="32" t="s">
        <v>63</v>
      </c>
      <c r="M1413" s="33" t="s">
        <v>63</v>
      </c>
      <c r="N1413" s="34" t="s">
        <v>63</v>
      </c>
      <c r="O1413" s="27" t="s">
        <v>1102</v>
      </c>
      <c r="P1413" s="35">
        <v>0.0</v>
      </c>
      <c r="Q1413" s="35">
        <v>0.0</v>
      </c>
      <c r="R1413" s="36">
        <v>45254.0</v>
      </c>
      <c r="S1413" s="35" t="s">
        <v>86</v>
      </c>
      <c r="T1413" s="35">
        <v>0.0</v>
      </c>
      <c r="U1413" s="37" t="s">
        <v>67</v>
      </c>
      <c r="V1413" s="38"/>
      <c r="W1413" s="78"/>
      <c r="X1413" s="27"/>
      <c r="Y1413" s="39"/>
      <c r="Z1413" s="39"/>
      <c r="AA1413" s="39"/>
      <c r="AB1413" s="27"/>
      <c r="AC1413" s="27" t="str">
        <f t="shared" si="1115"/>
        <v>#VALUE!</v>
      </c>
      <c r="AD1413" s="41">
        <f t="shared" si="1112"/>
        <v>0</v>
      </c>
      <c r="AE1413" s="42"/>
      <c r="AF1413" s="27"/>
      <c r="AG1413" s="43">
        <f t="shared" si="1120"/>
        <v>0</v>
      </c>
      <c r="AH1413" s="29"/>
      <c r="AI1413" s="29"/>
      <c r="AJ1413" s="29"/>
      <c r="AK1413" s="75"/>
      <c r="AL1413" s="27"/>
      <c r="AM1413" s="44"/>
      <c r="AN1413" s="47"/>
      <c r="AO1413" s="46"/>
      <c r="AP1413" s="47"/>
      <c r="AQ1413" s="43" t="b">
        <f t="shared" si="1114"/>
        <v>0</v>
      </c>
      <c r="AR1413" s="43">
        <f t="shared" si="448"/>
        <v>0</v>
      </c>
      <c r="AS1413" s="43">
        <f t="shared" si="449"/>
        <v>0</v>
      </c>
      <c r="AT1413" s="48">
        <f t="shared" si="753"/>
        <v>0</v>
      </c>
      <c r="AU1413" s="49" t="str">
        <f t="shared" si="1088"/>
        <v>#VALUE!</v>
      </c>
      <c r="AV1413" s="48"/>
      <c r="AW1413" s="27" t="str">
        <f t="shared" si="1000"/>
        <v>#VALUE!</v>
      </c>
      <c r="AX1413" s="50">
        <f t="shared" si="1034"/>
        <v>0</v>
      </c>
      <c r="AY1413" s="43"/>
      <c r="AZ1413" s="47"/>
      <c r="BA1413" s="48" t="str">
        <f t="shared" si="1080"/>
        <v>#VALUE!</v>
      </c>
      <c r="BB1413" s="27"/>
      <c r="BC1413" s="27"/>
      <c r="BD1413" s="51"/>
      <c r="BE1413" s="52"/>
      <c r="BF1413" s="27"/>
      <c r="BG1413" s="53">
        <v>0.0</v>
      </c>
      <c r="BH1413" s="53" t="str">
        <f>'[1]2023'!Q1643</f>
        <v>#REF!</v>
      </c>
      <c r="BI1413" s="27"/>
      <c r="BJ1413" s="27"/>
      <c r="BK1413" s="27" t="s">
        <v>1102</v>
      </c>
      <c r="BL1413" s="27"/>
    </row>
    <row r="1414" ht="14.25" customHeight="1">
      <c r="A1414" s="26" t="s">
        <v>55</v>
      </c>
      <c r="B1414" s="26" t="s">
        <v>56</v>
      </c>
      <c r="C1414" s="26" t="s">
        <v>57</v>
      </c>
      <c r="D1414" s="26" t="s">
        <v>81</v>
      </c>
      <c r="E1414" s="27" t="s">
        <v>4573</v>
      </c>
      <c r="F1414" s="28" t="s">
        <v>4574</v>
      </c>
      <c r="G1414" s="29">
        <v>45256.0</v>
      </c>
      <c r="H1414" s="30">
        <v>45256.0</v>
      </c>
      <c r="I1414" s="30">
        <v>45621.0</v>
      </c>
      <c r="J1414" s="31" t="s">
        <v>4575</v>
      </c>
      <c r="K1414" s="26" t="s">
        <v>2374</v>
      </c>
      <c r="L1414" s="223" t="s">
        <v>63</v>
      </c>
      <c r="M1414" s="33">
        <v>32148.0</v>
      </c>
      <c r="N1414" s="34">
        <v>34405.48</v>
      </c>
      <c r="O1414" s="27" t="s">
        <v>76</v>
      </c>
      <c r="P1414" s="35" t="s">
        <v>142</v>
      </c>
      <c r="Q1414" s="35" t="s">
        <v>90</v>
      </c>
      <c r="R1414" s="36">
        <v>45256.0</v>
      </c>
      <c r="S1414" s="35" t="s">
        <v>86</v>
      </c>
      <c r="T1414" s="35">
        <v>0.0</v>
      </c>
      <c r="U1414" s="37" t="s">
        <v>67</v>
      </c>
      <c r="V1414" s="38">
        <v>1200000.0</v>
      </c>
      <c r="W1414" s="78">
        <v>515886.0</v>
      </c>
      <c r="X1414" s="27">
        <v>2022.0</v>
      </c>
      <c r="Y1414" s="79" t="s">
        <v>232</v>
      </c>
      <c r="Z1414" s="39"/>
      <c r="AA1414" s="39"/>
      <c r="AB1414" s="27"/>
      <c r="AC1414" s="27">
        <f t="shared" si="1115"/>
        <v>0</v>
      </c>
      <c r="AD1414" s="41">
        <f t="shared" si="1112"/>
        <v>4822.2</v>
      </c>
      <c r="AE1414" s="42"/>
      <c r="AF1414" s="205">
        <v>45266.0</v>
      </c>
      <c r="AG1414" s="43">
        <f t="shared" si="1120"/>
        <v>6943.968</v>
      </c>
      <c r="AH1414" s="29"/>
      <c r="AI1414" s="29"/>
      <c r="AJ1414" s="29"/>
      <c r="AK1414" s="29"/>
      <c r="AL1414" s="27"/>
      <c r="AM1414" s="44"/>
      <c r="AN1414" s="47"/>
      <c r="AO1414" s="46"/>
      <c r="AP1414" s="47"/>
      <c r="AQ1414" s="43">
        <f t="shared" si="1114"/>
        <v>8679.96</v>
      </c>
      <c r="AR1414" s="43">
        <f t="shared" si="448"/>
        <v>433.998</v>
      </c>
      <c r="AS1414" s="43">
        <f t="shared" si="449"/>
        <v>1518.993</v>
      </c>
      <c r="AT1414" s="48">
        <f t="shared" si="753"/>
        <v>6726.969</v>
      </c>
      <c r="AU1414" s="49">
        <f t="shared" si="1088"/>
        <v>6726.969</v>
      </c>
      <c r="AV1414" s="48"/>
      <c r="AW1414" s="34">
        <f t="shared" si="1000"/>
        <v>29583.28</v>
      </c>
      <c r="AX1414" s="50">
        <f t="shared" si="1034"/>
        <v>602.775</v>
      </c>
      <c r="AY1414" s="43"/>
      <c r="AZ1414" s="47"/>
      <c r="BA1414" s="48">
        <f t="shared" si="1080"/>
        <v>6726.969</v>
      </c>
      <c r="BB1414" s="27"/>
      <c r="BC1414" s="27"/>
      <c r="BD1414" s="51"/>
      <c r="BE1414" s="52"/>
      <c r="BF1414" s="27"/>
      <c r="BG1414" s="53">
        <v>0.0</v>
      </c>
      <c r="BH1414" s="53" t="str">
        <f>'[1]2023'!Q1646</f>
        <v>#REF!</v>
      </c>
      <c r="BI1414" s="27"/>
      <c r="BJ1414" s="27"/>
      <c r="BK1414" s="27" t="s">
        <v>76</v>
      </c>
      <c r="BL1414" s="27"/>
    </row>
    <row r="1415" ht="14.25" customHeight="1">
      <c r="A1415" s="123" t="s">
        <v>55</v>
      </c>
      <c r="B1415" s="26" t="s">
        <v>56</v>
      </c>
      <c r="C1415" s="123" t="s">
        <v>57</v>
      </c>
      <c r="D1415" s="26" t="s">
        <v>81</v>
      </c>
      <c r="E1415" s="234" t="s">
        <v>1128</v>
      </c>
      <c r="F1415" s="28" t="s">
        <v>3083</v>
      </c>
      <c r="G1415" s="29">
        <v>45256.0</v>
      </c>
      <c r="H1415" s="30">
        <v>45256.0</v>
      </c>
      <c r="I1415" s="30">
        <v>45621.0</v>
      </c>
      <c r="J1415" s="31" t="s">
        <v>3084</v>
      </c>
      <c r="K1415" s="26" t="s">
        <v>4144</v>
      </c>
      <c r="L1415" s="89">
        <v>45308.0</v>
      </c>
      <c r="M1415" s="33"/>
      <c r="N1415" s="34">
        <v>11289.76</v>
      </c>
      <c r="O1415" s="27" t="s">
        <v>76</v>
      </c>
      <c r="P1415" s="35" t="s">
        <v>95</v>
      </c>
      <c r="Q1415" s="35">
        <v>0.0</v>
      </c>
      <c r="R1415" s="36">
        <v>0.0</v>
      </c>
      <c r="S1415" s="35" t="s">
        <v>86</v>
      </c>
      <c r="T1415" s="35">
        <v>0.0</v>
      </c>
      <c r="U1415" s="37">
        <v>0.0</v>
      </c>
      <c r="V1415" s="38">
        <v>550000.0</v>
      </c>
      <c r="W1415" s="78">
        <v>2898776.0</v>
      </c>
      <c r="X1415" s="27">
        <v>2014.0</v>
      </c>
      <c r="Y1415" s="79" t="s">
        <v>3556</v>
      </c>
      <c r="Z1415" s="39"/>
      <c r="AA1415" s="39"/>
      <c r="AB1415" s="27"/>
      <c r="AC1415" s="27">
        <f t="shared" si="1115"/>
        <v>0</v>
      </c>
      <c r="AD1415" s="41">
        <f t="shared" si="1112"/>
        <v>0</v>
      </c>
      <c r="AE1415" s="42"/>
      <c r="AF1415" s="27"/>
      <c r="AG1415" s="43">
        <f t="shared" si="1120"/>
        <v>0</v>
      </c>
      <c r="AH1415" s="29"/>
      <c r="AI1415" s="29"/>
      <c r="AJ1415" s="29"/>
      <c r="AK1415" s="29"/>
      <c r="AL1415" s="27"/>
      <c r="AM1415" s="44"/>
      <c r="AN1415" s="47"/>
      <c r="AO1415" s="46"/>
      <c r="AP1415" s="47"/>
      <c r="AQ1415" s="43">
        <f t="shared" si="1114"/>
        <v>0</v>
      </c>
      <c r="AR1415" s="43">
        <f t="shared" si="448"/>
        <v>0</v>
      </c>
      <c r="AS1415" s="43">
        <f t="shared" si="449"/>
        <v>0</v>
      </c>
      <c r="AT1415" s="48">
        <f t="shared" si="753"/>
        <v>0</v>
      </c>
      <c r="AU1415" s="49">
        <f t="shared" si="1088"/>
        <v>0</v>
      </c>
      <c r="AV1415" s="48"/>
      <c r="AW1415" s="34">
        <f t="shared" si="1000"/>
        <v>11289.76</v>
      </c>
      <c r="AX1415" s="50">
        <f t="shared" si="1034"/>
        <v>0</v>
      </c>
      <c r="AY1415" s="43"/>
      <c r="AZ1415" s="47"/>
      <c r="BA1415" s="48">
        <f t="shared" si="1080"/>
        <v>0</v>
      </c>
      <c r="BB1415" s="27"/>
      <c r="BC1415" s="27"/>
      <c r="BD1415" s="51"/>
      <c r="BE1415" s="52"/>
      <c r="BF1415" s="27"/>
      <c r="BG1415" s="53">
        <v>0.0</v>
      </c>
      <c r="BH1415" s="53" t="str">
        <f>'[1]2023'!Q1708</f>
        <v>#REF!</v>
      </c>
      <c r="BI1415" s="27"/>
      <c r="BJ1415" s="27"/>
      <c r="BK1415" s="27" t="s">
        <v>1102</v>
      </c>
      <c r="BL1415" s="27"/>
    </row>
    <row r="1416" ht="14.25" customHeight="1">
      <c r="A1416" s="26" t="s">
        <v>55</v>
      </c>
      <c r="B1416" s="26" t="s">
        <v>56</v>
      </c>
      <c r="C1416" s="26" t="s">
        <v>57</v>
      </c>
      <c r="D1416" s="26" t="s">
        <v>81</v>
      </c>
      <c r="E1416" s="27" t="s">
        <v>4576</v>
      </c>
      <c r="F1416" s="28" t="s">
        <v>4577</v>
      </c>
      <c r="G1416" s="29">
        <v>45258.0</v>
      </c>
      <c r="H1416" s="30">
        <v>45258.0</v>
      </c>
      <c r="I1416" s="30">
        <v>45623.0</v>
      </c>
      <c r="J1416" s="31" t="s">
        <v>4578</v>
      </c>
      <c r="K1416" s="26" t="s">
        <v>2374</v>
      </c>
      <c r="L1416" s="89">
        <v>45309.0</v>
      </c>
      <c r="M1416" s="33">
        <v>37224.0</v>
      </c>
      <c r="N1416" s="34">
        <v>39806.33</v>
      </c>
      <c r="O1416" s="27" t="s">
        <v>76</v>
      </c>
      <c r="P1416" s="35" t="s">
        <v>142</v>
      </c>
      <c r="Q1416" s="35" t="s">
        <v>90</v>
      </c>
      <c r="R1416" s="36">
        <v>45258.0</v>
      </c>
      <c r="S1416" s="35" t="s">
        <v>86</v>
      </c>
      <c r="T1416" s="35">
        <v>0.0</v>
      </c>
      <c r="U1416" s="37" t="s">
        <v>67</v>
      </c>
      <c r="V1416" s="38">
        <v>1650000.0</v>
      </c>
      <c r="W1416" s="78">
        <v>6873.0</v>
      </c>
      <c r="X1416" s="27">
        <v>2022.0</v>
      </c>
      <c r="Y1416" s="79" t="s">
        <v>208</v>
      </c>
      <c r="Z1416" s="39"/>
      <c r="AA1416" s="39"/>
      <c r="AB1416" s="27"/>
      <c r="AC1416" s="27">
        <f t="shared" si="1115"/>
        <v>0</v>
      </c>
      <c r="AD1416" s="41">
        <f t="shared" si="1112"/>
        <v>5583.6</v>
      </c>
      <c r="AE1416" s="42"/>
      <c r="AF1416" s="188">
        <v>45307.0</v>
      </c>
      <c r="AG1416" s="43">
        <f t="shared" si="1120"/>
        <v>8040.384</v>
      </c>
      <c r="AH1416" s="29"/>
      <c r="AI1416" s="29"/>
      <c r="AJ1416" s="29"/>
      <c r="AK1416" s="29"/>
      <c r="AL1416" s="27"/>
      <c r="AM1416" s="44"/>
      <c r="AN1416" s="47"/>
      <c r="AO1416" s="46"/>
      <c r="AP1416" s="47"/>
      <c r="AQ1416" s="43">
        <f t="shared" si="1114"/>
        <v>10050.48</v>
      </c>
      <c r="AR1416" s="43">
        <f t="shared" si="448"/>
        <v>502.524</v>
      </c>
      <c r="AS1416" s="43">
        <f t="shared" si="449"/>
        <v>1758.834</v>
      </c>
      <c r="AT1416" s="48">
        <f t="shared" si="753"/>
        <v>7789.122</v>
      </c>
      <c r="AU1416" s="49">
        <f t="shared" si="1088"/>
        <v>7789.122</v>
      </c>
      <c r="AV1416" s="48"/>
      <c r="AW1416" s="34">
        <f t="shared" si="1000"/>
        <v>34222.73</v>
      </c>
      <c r="AX1416" s="50">
        <f t="shared" si="1034"/>
        <v>697.95</v>
      </c>
      <c r="AY1416" s="43"/>
      <c r="AZ1416" s="47"/>
      <c r="BA1416" s="48">
        <f t="shared" si="1080"/>
        <v>7789.122</v>
      </c>
      <c r="BB1416" s="27"/>
      <c r="BC1416" s="27"/>
      <c r="BD1416" s="51"/>
      <c r="BE1416" s="52"/>
      <c r="BF1416" s="27"/>
      <c r="BG1416" s="53">
        <v>0.0</v>
      </c>
      <c r="BH1416" s="53" t="str">
        <f>'[1]2023'!Q1618</f>
        <v>#REF!</v>
      </c>
      <c r="BI1416" s="27"/>
      <c r="BJ1416" s="27"/>
      <c r="BK1416" s="27" t="s">
        <v>1102</v>
      </c>
      <c r="BL1416" s="27"/>
    </row>
    <row r="1417" ht="14.25" customHeight="1">
      <c r="A1417" s="26" t="s">
        <v>55</v>
      </c>
      <c r="B1417" s="26" t="s">
        <v>56</v>
      </c>
      <c r="C1417" s="26" t="s">
        <v>57</v>
      </c>
      <c r="D1417" s="26" t="s">
        <v>81</v>
      </c>
      <c r="E1417" s="27" t="s">
        <v>4579</v>
      </c>
      <c r="F1417" s="28" t="s">
        <v>4580</v>
      </c>
      <c r="G1417" s="29">
        <v>45258.0</v>
      </c>
      <c r="H1417" s="30">
        <v>45258.0</v>
      </c>
      <c r="I1417" s="30">
        <v>45623.0</v>
      </c>
      <c r="J1417" s="31" t="s">
        <v>4581</v>
      </c>
      <c r="K1417" s="26" t="s">
        <v>2374</v>
      </c>
      <c r="L1417" s="223" t="s">
        <v>63</v>
      </c>
      <c r="M1417" s="33">
        <v>27523.2</v>
      </c>
      <c r="N1417" s="34">
        <v>29484.69</v>
      </c>
      <c r="O1417" s="27" t="s">
        <v>76</v>
      </c>
      <c r="P1417" s="35" t="s">
        <v>142</v>
      </c>
      <c r="Q1417" s="35" t="s">
        <v>90</v>
      </c>
      <c r="R1417" s="36">
        <v>45258.0</v>
      </c>
      <c r="S1417" s="35" t="s">
        <v>86</v>
      </c>
      <c r="T1417" s="35">
        <v>0.0</v>
      </c>
      <c r="U1417" s="37" t="s">
        <v>67</v>
      </c>
      <c r="V1417" s="38">
        <v>1220000.0</v>
      </c>
      <c r="W1417" s="78">
        <v>519075.0</v>
      </c>
      <c r="X1417" s="27">
        <v>2022.0</v>
      </c>
      <c r="Y1417" s="79" t="s">
        <v>232</v>
      </c>
      <c r="Z1417" s="39"/>
      <c r="AA1417" s="39"/>
      <c r="AB1417" s="27"/>
      <c r="AC1417" s="27">
        <f t="shared" si="1115"/>
        <v>0</v>
      </c>
      <c r="AD1417" s="41">
        <f t="shared" si="1112"/>
        <v>4128.48</v>
      </c>
      <c r="AE1417" s="42"/>
      <c r="AF1417" s="205">
        <v>45266.0</v>
      </c>
      <c r="AG1417" s="43">
        <f t="shared" si="1120"/>
        <v>5945.0112</v>
      </c>
      <c r="AH1417" s="29"/>
      <c r="AI1417" s="29"/>
      <c r="AJ1417" s="29"/>
      <c r="AK1417" s="29"/>
      <c r="AL1417" s="27"/>
      <c r="AM1417" s="44"/>
      <c r="AN1417" s="47"/>
      <c r="AO1417" s="46"/>
      <c r="AP1417" s="47"/>
      <c r="AQ1417" s="43">
        <f t="shared" si="1114"/>
        <v>7431.264</v>
      </c>
      <c r="AR1417" s="43">
        <f t="shared" si="448"/>
        <v>371.5632</v>
      </c>
      <c r="AS1417" s="43">
        <f t="shared" si="449"/>
        <v>1300.4712</v>
      </c>
      <c r="AT1417" s="48">
        <f t="shared" si="753"/>
        <v>5759.2296</v>
      </c>
      <c r="AU1417" s="49">
        <f t="shared" si="1088"/>
        <v>5759.2296</v>
      </c>
      <c r="AV1417" s="48"/>
      <c r="AW1417" s="34">
        <f t="shared" si="1000"/>
        <v>25356.21</v>
      </c>
      <c r="AX1417" s="50">
        <f t="shared" si="1034"/>
        <v>516.06</v>
      </c>
      <c r="AY1417" s="43"/>
      <c r="AZ1417" s="47"/>
      <c r="BA1417" s="48">
        <f t="shared" si="1080"/>
        <v>5759.2296</v>
      </c>
      <c r="BB1417" s="27"/>
      <c r="BC1417" s="27"/>
      <c r="BD1417" s="51"/>
      <c r="BE1417" s="52"/>
      <c r="BF1417" s="27"/>
      <c r="BG1417" s="53">
        <v>0.0</v>
      </c>
      <c r="BH1417" s="53" t="str">
        <f>'[1]2023'!Q1635</f>
        <v>#REF!</v>
      </c>
      <c r="BI1417" s="27"/>
      <c r="BJ1417" s="27"/>
      <c r="BK1417" s="27" t="s">
        <v>76</v>
      </c>
      <c r="BL1417" s="27"/>
    </row>
    <row r="1418" ht="14.25" customHeight="1">
      <c r="A1418" s="26" t="s">
        <v>55</v>
      </c>
      <c r="B1418" s="26" t="s">
        <v>56</v>
      </c>
      <c r="C1418" s="26" t="s">
        <v>57</v>
      </c>
      <c r="D1418" s="26" t="s">
        <v>81</v>
      </c>
      <c r="E1418" s="27" t="s">
        <v>4582</v>
      </c>
      <c r="F1418" s="28" t="s">
        <v>4583</v>
      </c>
      <c r="G1418" s="29">
        <v>45258.0</v>
      </c>
      <c r="H1418" s="30">
        <v>45258.0</v>
      </c>
      <c r="I1418" s="30">
        <v>45623.0</v>
      </c>
      <c r="J1418" s="31" t="s">
        <v>4584</v>
      </c>
      <c r="K1418" s="26" t="s">
        <v>2374</v>
      </c>
      <c r="L1418" s="32" t="s">
        <v>63</v>
      </c>
      <c r="M1418" s="33" t="s">
        <v>63</v>
      </c>
      <c r="N1418" s="34" t="s">
        <v>63</v>
      </c>
      <c r="O1418" s="27" t="s">
        <v>1102</v>
      </c>
      <c r="P1418" s="35">
        <v>0.0</v>
      </c>
      <c r="Q1418" s="35">
        <v>0.0</v>
      </c>
      <c r="R1418" s="36">
        <v>45258.0</v>
      </c>
      <c r="S1418" s="35" t="s">
        <v>86</v>
      </c>
      <c r="T1418" s="35">
        <v>0.0</v>
      </c>
      <c r="U1418" s="37" t="s">
        <v>67</v>
      </c>
      <c r="V1418" s="38"/>
      <c r="W1418" s="78"/>
      <c r="X1418" s="27"/>
      <c r="Y1418" s="39"/>
      <c r="Z1418" s="39"/>
      <c r="AA1418" s="39"/>
      <c r="AB1418" s="27"/>
      <c r="AC1418" s="27" t="str">
        <f t="shared" si="1115"/>
        <v>#VALUE!</v>
      </c>
      <c r="AD1418" s="41">
        <f t="shared" si="1112"/>
        <v>0</v>
      </c>
      <c r="AE1418" s="42"/>
      <c r="AF1418" s="27"/>
      <c r="AG1418" s="43">
        <f t="shared" si="1120"/>
        <v>0</v>
      </c>
      <c r="AH1418" s="29"/>
      <c r="AI1418" s="29"/>
      <c r="AJ1418" s="29"/>
      <c r="AK1418" s="29"/>
      <c r="AL1418" s="27"/>
      <c r="AM1418" s="44"/>
      <c r="AN1418" s="47"/>
      <c r="AO1418" s="46"/>
      <c r="AP1418" s="47"/>
      <c r="AQ1418" s="43" t="b">
        <f t="shared" si="1114"/>
        <v>0</v>
      </c>
      <c r="AR1418" s="43">
        <f t="shared" si="448"/>
        <v>0</v>
      </c>
      <c r="AS1418" s="43">
        <f t="shared" si="449"/>
        <v>0</v>
      </c>
      <c r="AT1418" s="48">
        <f t="shared" si="753"/>
        <v>0</v>
      </c>
      <c r="AU1418" s="49" t="str">
        <f t="shared" si="1088"/>
        <v>#VALUE!</v>
      </c>
      <c r="AV1418" s="48"/>
      <c r="AW1418" s="27" t="str">
        <f t="shared" si="1000"/>
        <v>#VALUE!</v>
      </c>
      <c r="AX1418" s="50">
        <f t="shared" si="1034"/>
        <v>0</v>
      </c>
      <c r="AY1418" s="43"/>
      <c r="AZ1418" s="47"/>
      <c r="BA1418" s="48" t="str">
        <f t="shared" si="1080"/>
        <v>#VALUE!</v>
      </c>
      <c r="BB1418" s="27"/>
      <c r="BC1418" s="27"/>
      <c r="BD1418" s="51"/>
      <c r="BE1418" s="52"/>
      <c r="BF1418" s="27"/>
      <c r="BG1418" s="53">
        <v>0.0</v>
      </c>
      <c r="BH1418" s="53" t="str">
        <f>'[1]2023'!Q1641</f>
        <v>#REF!</v>
      </c>
      <c r="BI1418" s="27"/>
      <c r="BJ1418" s="27"/>
      <c r="BK1418" s="27" t="s">
        <v>1102</v>
      </c>
      <c r="BL1418" s="27"/>
    </row>
    <row r="1419" ht="14.25" customHeight="1">
      <c r="A1419" s="26" t="s">
        <v>55</v>
      </c>
      <c r="B1419" s="26" t="s">
        <v>56</v>
      </c>
      <c r="C1419" s="26" t="s">
        <v>57</v>
      </c>
      <c r="D1419" s="26" t="s">
        <v>81</v>
      </c>
      <c r="E1419" s="27" t="s">
        <v>4585</v>
      </c>
      <c r="F1419" s="28" t="s">
        <v>4586</v>
      </c>
      <c r="G1419" s="29">
        <v>45258.0</v>
      </c>
      <c r="H1419" s="30">
        <v>45258.0</v>
      </c>
      <c r="I1419" s="30">
        <v>45623.0</v>
      </c>
      <c r="J1419" s="31" t="s">
        <v>1471</v>
      </c>
      <c r="K1419" s="26" t="s">
        <v>2374</v>
      </c>
      <c r="L1419" s="89">
        <v>45257.0</v>
      </c>
      <c r="M1419" s="33">
        <v>33840.0</v>
      </c>
      <c r="N1419" s="34">
        <v>36205.76</v>
      </c>
      <c r="O1419" s="27" t="s">
        <v>76</v>
      </c>
      <c r="P1419" s="35" t="s">
        <v>122</v>
      </c>
      <c r="Q1419" s="35" t="s">
        <v>90</v>
      </c>
      <c r="R1419" s="36">
        <v>45258.0</v>
      </c>
      <c r="S1419" s="35" t="s">
        <v>86</v>
      </c>
      <c r="T1419" s="35">
        <v>0.0</v>
      </c>
      <c r="U1419" s="37" t="s">
        <v>67</v>
      </c>
      <c r="V1419" s="38">
        <v>1500000.0</v>
      </c>
      <c r="W1419" s="78">
        <v>7370.0</v>
      </c>
      <c r="X1419" s="27">
        <v>2022.0</v>
      </c>
      <c r="Y1419" s="79" t="s">
        <v>208</v>
      </c>
      <c r="Z1419" s="39"/>
      <c r="AA1419" s="39"/>
      <c r="AB1419" s="27"/>
      <c r="AC1419" s="27">
        <f t="shared" si="1115"/>
        <v>0</v>
      </c>
      <c r="AD1419" s="41">
        <f t="shared" si="1112"/>
        <v>5076</v>
      </c>
      <c r="AE1419" s="42"/>
      <c r="AF1419" s="27"/>
      <c r="AG1419" s="43">
        <f t="shared" si="1120"/>
        <v>7309.44</v>
      </c>
      <c r="AH1419" s="29"/>
      <c r="AI1419" s="29"/>
      <c r="AJ1419" s="29"/>
      <c r="AK1419" s="29"/>
      <c r="AL1419" s="27"/>
      <c r="AM1419" s="44"/>
      <c r="AN1419" s="47"/>
      <c r="AO1419" s="46"/>
      <c r="AP1419" s="47"/>
      <c r="AQ1419" s="43">
        <f t="shared" si="1114"/>
        <v>9136.8</v>
      </c>
      <c r="AR1419" s="43">
        <f t="shared" si="448"/>
        <v>456.84</v>
      </c>
      <c r="AS1419" s="43">
        <f t="shared" si="449"/>
        <v>1598.94</v>
      </c>
      <c r="AT1419" s="48">
        <f t="shared" si="753"/>
        <v>7081.02</v>
      </c>
      <c r="AU1419" s="49">
        <f t="shared" si="1088"/>
        <v>7081.02</v>
      </c>
      <c r="AV1419" s="48"/>
      <c r="AW1419" s="34">
        <f t="shared" si="1000"/>
        <v>31129.76</v>
      </c>
      <c r="AX1419" s="50">
        <f t="shared" si="1034"/>
        <v>634.5</v>
      </c>
      <c r="AY1419" s="43"/>
      <c r="AZ1419" s="47"/>
      <c r="BA1419" s="48">
        <f t="shared" si="1080"/>
        <v>7081.02</v>
      </c>
      <c r="BB1419" s="27"/>
      <c r="BC1419" s="27"/>
      <c r="BD1419" s="51"/>
      <c r="BE1419" s="52"/>
      <c r="BF1419" s="27"/>
      <c r="BG1419" s="53">
        <v>0.0</v>
      </c>
      <c r="BH1419" s="53" t="str">
        <f>'[1]2023'!Q1662</f>
        <v>#REF!</v>
      </c>
      <c r="BI1419" s="27"/>
      <c r="BJ1419" s="27"/>
      <c r="BK1419" s="27" t="s">
        <v>76</v>
      </c>
      <c r="BL1419" s="27"/>
    </row>
    <row r="1420" ht="14.25" customHeight="1">
      <c r="A1420" s="26" t="s">
        <v>55</v>
      </c>
      <c r="B1420" s="26" t="s">
        <v>56</v>
      </c>
      <c r="C1420" s="26" t="s">
        <v>57</v>
      </c>
      <c r="D1420" s="26" t="s">
        <v>81</v>
      </c>
      <c r="E1420" s="27" t="s">
        <v>4587</v>
      </c>
      <c r="F1420" s="28" t="s">
        <v>4588</v>
      </c>
      <c r="G1420" s="29">
        <v>45259.0</v>
      </c>
      <c r="H1420" s="30">
        <v>45259.0</v>
      </c>
      <c r="I1420" s="30">
        <v>45624.0</v>
      </c>
      <c r="J1420" s="31" t="s">
        <v>4589</v>
      </c>
      <c r="K1420" s="26" t="s">
        <v>2374</v>
      </c>
      <c r="L1420" s="32" t="s">
        <v>63</v>
      </c>
      <c r="M1420" s="33" t="s">
        <v>63</v>
      </c>
      <c r="N1420" s="34" t="s">
        <v>63</v>
      </c>
      <c r="O1420" s="27" t="s">
        <v>1102</v>
      </c>
      <c r="P1420" s="35">
        <v>0.0</v>
      </c>
      <c r="Q1420" s="35">
        <v>0.0</v>
      </c>
      <c r="R1420" s="36">
        <v>45259.0</v>
      </c>
      <c r="S1420" s="35" t="s">
        <v>86</v>
      </c>
      <c r="T1420" s="35">
        <v>0.0</v>
      </c>
      <c r="U1420" s="37" t="s">
        <v>67</v>
      </c>
      <c r="V1420" s="38"/>
      <c r="W1420" s="78"/>
      <c r="X1420" s="27"/>
      <c r="Y1420" s="39"/>
      <c r="Z1420" s="39"/>
      <c r="AA1420" s="39"/>
      <c r="AB1420" s="27"/>
      <c r="AC1420" s="27" t="str">
        <f t="shared" si="1115"/>
        <v>#VALUE!</v>
      </c>
      <c r="AD1420" s="41">
        <f t="shared" si="1112"/>
        <v>0</v>
      </c>
      <c r="AE1420" s="42"/>
      <c r="AF1420" s="27"/>
      <c r="AG1420" s="43">
        <f t="shared" si="1120"/>
        <v>0</v>
      </c>
      <c r="AH1420" s="29"/>
      <c r="AI1420" s="29"/>
      <c r="AJ1420" s="29"/>
      <c r="AK1420" s="29"/>
      <c r="AL1420" s="27"/>
      <c r="AM1420" s="44"/>
      <c r="AN1420" s="47"/>
      <c r="AO1420" s="46"/>
      <c r="AP1420" s="47"/>
      <c r="AQ1420" s="43" t="b">
        <f t="shared" si="1114"/>
        <v>0</v>
      </c>
      <c r="AR1420" s="43">
        <f t="shared" si="448"/>
        <v>0</v>
      </c>
      <c r="AS1420" s="43">
        <f t="shared" si="449"/>
        <v>0</v>
      </c>
      <c r="AT1420" s="48">
        <f t="shared" si="753"/>
        <v>0</v>
      </c>
      <c r="AU1420" s="49" t="str">
        <f t="shared" si="1088"/>
        <v>#VALUE!</v>
      </c>
      <c r="AV1420" s="48"/>
      <c r="AW1420" s="27" t="str">
        <f t="shared" si="1000"/>
        <v>#VALUE!</v>
      </c>
      <c r="AX1420" s="50">
        <f t="shared" si="1034"/>
        <v>0</v>
      </c>
      <c r="AY1420" s="43"/>
      <c r="AZ1420" s="47"/>
      <c r="BA1420" s="48" t="str">
        <f t="shared" si="1080"/>
        <v>#VALUE!</v>
      </c>
      <c r="BB1420" s="27"/>
      <c r="BC1420" s="27"/>
      <c r="BD1420" s="51"/>
      <c r="BE1420" s="52"/>
      <c r="BF1420" s="27"/>
      <c r="BG1420" s="53">
        <v>0.0</v>
      </c>
      <c r="BH1420" s="53" t="str">
        <f>'[1]2023'!Q1637</f>
        <v>#REF!</v>
      </c>
      <c r="BI1420" s="27"/>
      <c r="BJ1420" s="27"/>
      <c r="BK1420" s="27" t="s">
        <v>1102</v>
      </c>
      <c r="BL1420" s="27"/>
    </row>
    <row r="1421" ht="14.25" customHeight="1">
      <c r="A1421" s="26" t="s">
        <v>55</v>
      </c>
      <c r="B1421" s="26" t="s">
        <v>56</v>
      </c>
      <c r="C1421" s="26" t="s">
        <v>57</v>
      </c>
      <c r="D1421" s="26" t="s">
        <v>81</v>
      </c>
      <c r="E1421" s="27" t="s">
        <v>4590</v>
      </c>
      <c r="F1421" s="28" t="s">
        <v>4591</v>
      </c>
      <c r="G1421" s="29">
        <v>45259.0</v>
      </c>
      <c r="H1421" s="30">
        <v>45259.0</v>
      </c>
      <c r="I1421" s="30">
        <v>45624.0</v>
      </c>
      <c r="J1421" s="31" t="s">
        <v>4592</v>
      </c>
      <c r="K1421" s="26" t="s">
        <v>2374</v>
      </c>
      <c r="L1421" s="32" t="s">
        <v>63</v>
      </c>
      <c r="M1421" s="33" t="s">
        <v>63</v>
      </c>
      <c r="N1421" s="34" t="s">
        <v>63</v>
      </c>
      <c r="O1421" s="27" t="s">
        <v>1102</v>
      </c>
      <c r="P1421" s="35">
        <v>0.0</v>
      </c>
      <c r="Q1421" s="35">
        <v>0.0</v>
      </c>
      <c r="R1421" s="36">
        <v>45259.0</v>
      </c>
      <c r="S1421" s="35" t="s">
        <v>86</v>
      </c>
      <c r="T1421" s="35">
        <v>0.0</v>
      </c>
      <c r="U1421" s="37" t="s">
        <v>67</v>
      </c>
      <c r="V1421" s="38"/>
      <c r="W1421" s="78"/>
      <c r="X1421" s="27"/>
      <c r="Y1421" s="39"/>
      <c r="Z1421" s="39"/>
      <c r="AA1421" s="39"/>
      <c r="AB1421" s="27"/>
      <c r="AC1421" s="27" t="str">
        <f t="shared" si="1115"/>
        <v>#VALUE!</v>
      </c>
      <c r="AD1421" s="41">
        <f t="shared" si="1112"/>
        <v>0</v>
      </c>
      <c r="AE1421" s="42"/>
      <c r="AF1421" s="27"/>
      <c r="AG1421" s="43">
        <f t="shared" si="1120"/>
        <v>0</v>
      </c>
      <c r="AH1421" s="29"/>
      <c r="AI1421" s="29"/>
      <c r="AJ1421" s="29"/>
      <c r="AK1421" s="29"/>
      <c r="AL1421" s="27"/>
      <c r="AM1421" s="44"/>
      <c r="AN1421" s="47"/>
      <c r="AO1421" s="46"/>
      <c r="AP1421" s="47"/>
      <c r="AQ1421" s="43" t="b">
        <f t="shared" si="1114"/>
        <v>0</v>
      </c>
      <c r="AR1421" s="43">
        <f t="shared" si="448"/>
        <v>0</v>
      </c>
      <c r="AS1421" s="43">
        <f t="shared" si="449"/>
        <v>0</v>
      </c>
      <c r="AT1421" s="48">
        <f t="shared" si="753"/>
        <v>0</v>
      </c>
      <c r="AU1421" s="49" t="str">
        <f t="shared" si="1088"/>
        <v>#VALUE!</v>
      </c>
      <c r="AV1421" s="48"/>
      <c r="AW1421" s="27" t="str">
        <f t="shared" si="1000"/>
        <v>#VALUE!</v>
      </c>
      <c r="AX1421" s="50">
        <f t="shared" si="1034"/>
        <v>0</v>
      </c>
      <c r="AY1421" s="43"/>
      <c r="AZ1421" s="47"/>
      <c r="BA1421" s="48" t="str">
        <f t="shared" si="1080"/>
        <v>#VALUE!</v>
      </c>
      <c r="BB1421" s="27"/>
      <c r="BC1421" s="27"/>
      <c r="BD1421" s="51"/>
      <c r="BE1421" s="52"/>
      <c r="BF1421" s="27"/>
      <c r="BG1421" s="53">
        <v>0.0</v>
      </c>
      <c r="BH1421" s="53" t="str">
        <f>'[1]2023'!Q1644</f>
        <v>#REF!</v>
      </c>
      <c r="BI1421" s="27"/>
      <c r="BJ1421" s="27"/>
      <c r="BK1421" s="27" t="s">
        <v>1102</v>
      </c>
      <c r="BL1421" s="27"/>
    </row>
    <row r="1422" ht="14.25" customHeight="1">
      <c r="A1422" s="26" t="s">
        <v>55</v>
      </c>
      <c r="B1422" s="26" t="s">
        <v>56</v>
      </c>
      <c r="C1422" s="26" t="s">
        <v>57</v>
      </c>
      <c r="D1422" s="26" t="s">
        <v>81</v>
      </c>
      <c r="E1422" s="27" t="s">
        <v>4593</v>
      </c>
      <c r="F1422" s="26" t="s">
        <v>4594</v>
      </c>
      <c r="G1422" s="29">
        <v>45261.0</v>
      </c>
      <c r="H1422" s="30">
        <v>45261.0</v>
      </c>
      <c r="I1422" s="30">
        <v>45626.0</v>
      </c>
      <c r="J1422" s="31">
        <v>0.0</v>
      </c>
      <c r="K1422" s="26" t="s">
        <v>1192</v>
      </c>
      <c r="L1422" s="69">
        <v>44958.0</v>
      </c>
      <c r="M1422" s="33">
        <v>55000.0</v>
      </c>
      <c r="N1422" s="34">
        <v>58390.0</v>
      </c>
      <c r="O1422" s="27" t="s">
        <v>76</v>
      </c>
      <c r="P1422" s="35" t="s">
        <v>162</v>
      </c>
      <c r="Q1422" s="35" t="s">
        <v>108</v>
      </c>
      <c r="R1422" s="36">
        <v>45261.0</v>
      </c>
      <c r="S1422" s="35" t="s">
        <v>86</v>
      </c>
      <c r="T1422" s="35">
        <v>0.0</v>
      </c>
      <c r="U1422" s="37" t="s">
        <v>67</v>
      </c>
      <c r="V1422" s="38"/>
      <c r="W1422" s="38"/>
      <c r="X1422" s="27"/>
      <c r="Y1422" s="39"/>
      <c r="Z1422" s="39"/>
      <c r="AA1422" s="39"/>
      <c r="AB1422" s="27"/>
      <c r="AC1422" s="27">
        <f t="shared" si="1115"/>
        <v>0</v>
      </c>
      <c r="AD1422" s="41">
        <f t="shared" ref="AD1422:AD1424" si="1121">IF(AND(S1422="0",O1422="Paid"),M1422*15%,0)</f>
        <v>8250</v>
      </c>
      <c r="AE1422" s="42"/>
      <c r="AF1422" s="235">
        <v>44928.0</v>
      </c>
      <c r="AG1422" s="43">
        <f t="shared" ref="AG1422:AG1424" si="1122">IF(O1422="Paid",IF(A1422="Alwataniya",(M1422*21%)-((M1422*21%)*5%),IF((A1422="GIG"),(M1422*25%)-((M1422*25%)*5%),IF((A1422="Allianz"),(M1422*27%)-((M1422*27%)*5%),0))),0)</f>
        <v>14107.5</v>
      </c>
      <c r="AH1422" s="29"/>
      <c r="AI1422" s="29"/>
      <c r="AJ1422" s="29"/>
      <c r="AK1422" s="29"/>
      <c r="AL1422" s="27"/>
      <c r="AM1422" s="44"/>
      <c r="AN1422" s="47"/>
      <c r="AO1422" s="37"/>
      <c r="AP1422" s="47"/>
      <c r="AQ1422" s="43">
        <f t="shared" ref="AQ1422:AQ1424" si="1123">IF(U1422="Motor Plus",(M1422*27%),IF(U1422="Motor One",(M1422*22%),(IF(U1422="Golden",(M1422*25%),(IF(U1422="Classic",(M1422*15%),(IF(U1422="Wethaq",(M1422*28%),IF(U1422="Alwataniya",(M1422*21%))*0))))))))</f>
        <v>14850</v>
      </c>
      <c r="AR1422" s="43">
        <f t="shared" si="448"/>
        <v>742.5</v>
      </c>
      <c r="AS1422" s="43">
        <f t="shared" si="449"/>
        <v>2598.75</v>
      </c>
      <c r="AT1422" s="48">
        <f t="shared" si="753"/>
        <v>11508.75</v>
      </c>
      <c r="AU1422" s="49">
        <f t="shared" ref="AU1422:AU1424" si="1124">AQ1422-AR1422-AS1422-AC1422</f>
        <v>11508.75</v>
      </c>
      <c r="AV1422" s="48"/>
      <c r="AW1422" s="34">
        <f t="shared" si="1000"/>
        <v>50140</v>
      </c>
      <c r="AX1422" s="50">
        <f t="shared" si="1034"/>
        <v>3258.75</v>
      </c>
      <c r="AY1422" s="43"/>
      <c r="AZ1422" s="27"/>
      <c r="BA1422" s="48">
        <f t="shared" si="1080"/>
        <v>11508.75</v>
      </c>
      <c r="BB1422" s="27"/>
      <c r="BC1422" s="27"/>
      <c r="BD1422" s="51"/>
      <c r="BE1422" s="52"/>
      <c r="BF1422" s="27" t="s">
        <v>4593</v>
      </c>
      <c r="BG1422" s="53">
        <v>0.0</v>
      </c>
      <c r="BH1422" s="53" t="str">
        <f>'[1]2023'!Q80</f>
        <v>#REF!</v>
      </c>
      <c r="BI1422" s="27"/>
      <c r="BJ1422" s="27"/>
      <c r="BK1422" s="27" t="s">
        <v>76</v>
      </c>
      <c r="BL1422" s="27"/>
    </row>
    <row r="1423" ht="14.25" customHeight="1">
      <c r="A1423" s="26" t="s">
        <v>55</v>
      </c>
      <c r="B1423" s="26" t="s">
        <v>56</v>
      </c>
      <c r="C1423" s="26" t="s">
        <v>57</v>
      </c>
      <c r="D1423" s="26" t="s">
        <v>81</v>
      </c>
      <c r="E1423" s="27" t="s">
        <v>4595</v>
      </c>
      <c r="F1423" s="26" t="s">
        <v>4596</v>
      </c>
      <c r="G1423" s="29">
        <v>45261.0</v>
      </c>
      <c r="H1423" s="30">
        <v>45261.0</v>
      </c>
      <c r="I1423" s="30">
        <v>45626.0</v>
      </c>
      <c r="J1423" s="31">
        <v>0.0</v>
      </c>
      <c r="K1423" s="26" t="s">
        <v>1192</v>
      </c>
      <c r="L1423" s="32" t="s">
        <v>75</v>
      </c>
      <c r="M1423" s="33">
        <v>15930.0</v>
      </c>
      <c r="N1423" s="34">
        <v>17010.87</v>
      </c>
      <c r="O1423" s="27" t="s">
        <v>76</v>
      </c>
      <c r="P1423" s="35" t="s">
        <v>89</v>
      </c>
      <c r="Q1423" s="35" t="s">
        <v>85</v>
      </c>
      <c r="R1423" s="36">
        <v>45261.0</v>
      </c>
      <c r="S1423" s="35" t="s">
        <v>86</v>
      </c>
      <c r="T1423" s="35">
        <v>0.0</v>
      </c>
      <c r="U1423" s="37" t="s">
        <v>67</v>
      </c>
      <c r="V1423" s="38"/>
      <c r="W1423" s="38"/>
      <c r="X1423" s="27"/>
      <c r="Y1423" s="39"/>
      <c r="Z1423" s="39"/>
      <c r="AA1423" s="39"/>
      <c r="AB1423" s="27"/>
      <c r="AC1423" s="27">
        <f t="shared" si="1115"/>
        <v>0</v>
      </c>
      <c r="AD1423" s="41">
        <f t="shared" si="1121"/>
        <v>2389.5</v>
      </c>
      <c r="AE1423" s="42"/>
      <c r="AF1423" s="29">
        <v>45171.0</v>
      </c>
      <c r="AG1423" s="43">
        <f t="shared" si="1122"/>
        <v>4086.045</v>
      </c>
      <c r="AH1423" s="29"/>
      <c r="AI1423" s="29"/>
      <c r="AJ1423" s="29"/>
      <c r="AK1423" s="29"/>
      <c r="AL1423" s="27"/>
      <c r="AM1423" s="44"/>
      <c r="AN1423" s="47"/>
      <c r="AO1423" s="46"/>
      <c r="AP1423" s="47"/>
      <c r="AQ1423" s="43">
        <f t="shared" si="1123"/>
        <v>4301.1</v>
      </c>
      <c r="AR1423" s="43">
        <f t="shared" si="448"/>
        <v>215.055</v>
      </c>
      <c r="AS1423" s="43">
        <f t="shared" si="449"/>
        <v>752.6925</v>
      </c>
      <c r="AT1423" s="48">
        <f t="shared" si="753"/>
        <v>3333.3525</v>
      </c>
      <c r="AU1423" s="49">
        <f t="shared" si="1124"/>
        <v>3333.3525</v>
      </c>
      <c r="AV1423" s="48"/>
      <c r="AW1423" s="34">
        <f t="shared" si="1000"/>
        <v>14621.37</v>
      </c>
      <c r="AX1423" s="50">
        <f t="shared" si="1034"/>
        <v>943.8525</v>
      </c>
      <c r="AY1423" s="43"/>
      <c r="AZ1423" s="27"/>
      <c r="BA1423" s="48">
        <f t="shared" si="1080"/>
        <v>3333.3525</v>
      </c>
      <c r="BB1423" s="27"/>
      <c r="BC1423" s="27"/>
      <c r="BD1423" s="51"/>
      <c r="BE1423" s="52"/>
      <c r="BF1423" s="27" t="s">
        <v>4595</v>
      </c>
      <c r="BG1423" s="53" t="s">
        <v>4597</v>
      </c>
      <c r="BH1423" s="53" t="str">
        <f t="shared" ref="BH1423:BH1424" si="1125">'[1]2023'!Q257</f>
        <v>#REF!</v>
      </c>
      <c r="BI1423" s="27"/>
      <c r="BJ1423" s="27"/>
      <c r="BK1423" s="27" t="s">
        <v>76</v>
      </c>
      <c r="BL1423" s="27"/>
    </row>
    <row r="1424" ht="14.25" customHeight="1">
      <c r="A1424" s="26" t="s">
        <v>55</v>
      </c>
      <c r="B1424" s="26" t="s">
        <v>56</v>
      </c>
      <c r="C1424" s="26" t="s">
        <v>57</v>
      </c>
      <c r="D1424" s="26" t="s">
        <v>81</v>
      </c>
      <c r="E1424" s="27" t="s">
        <v>4598</v>
      </c>
      <c r="F1424" s="26" t="s">
        <v>4599</v>
      </c>
      <c r="G1424" s="29">
        <v>45261.0</v>
      </c>
      <c r="H1424" s="30">
        <v>45261.0</v>
      </c>
      <c r="I1424" s="30">
        <v>45626.0</v>
      </c>
      <c r="J1424" s="31">
        <v>0.0</v>
      </c>
      <c r="K1424" s="26" t="s">
        <v>1192</v>
      </c>
      <c r="L1424" s="32" t="s">
        <v>75</v>
      </c>
      <c r="M1424" s="33">
        <v>11375.0</v>
      </c>
      <c r="N1424" s="34">
        <v>12187.13</v>
      </c>
      <c r="O1424" s="27" t="s">
        <v>76</v>
      </c>
      <c r="P1424" s="35" t="s">
        <v>122</v>
      </c>
      <c r="Q1424" s="35" t="s">
        <v>90</v>
      </c>
      <c r="R1424" s="36">
        <v>45261.0</v>
      </c>
      <c r="S1424" s="35" t="s">
        <v>86</v>
      </c>
      <c r="T1424" s="35">
        <v>0.0</v>
      </c>
      <c r="U1424" s="37" t="s">
        <v>67</v>
      </c>
      <c r="V1424" s="38"/>
      <c r="W1424" s="38"/>
      <c r="X1424" s="27"/>
      <c r="Y1424" s="39"/>
      <c r="Z1424" s="39"/>
      <c r="AA1424" s="39"/>
      <c r="AB1424" s="27"/>
      <c r="AC1424" s="27">
        <f t="shared" si="1115"/>
        <v>0</v>
      </c>
      <c r="AD1424" s="41">
        <f t="shared" si="1121"/>
        <v>1706.25</v>
      </c>
      <c r="AE1424" s="42"/>
      <c r="AF1424" s="27"/>
      <c r="AG1424" s="43">
        <f t="shared" si="1122"/>
        <v>2917.6875</v>
      </c>
      <c r="AH1424" s="29"/>
      <c r="AI1424" s="29"/>
      <c r="AJ1424" s="29"/>
      <c r="AK1424" s="29"/>
      <c r="AL1424" s="27"/>
      <c r="AM1424" s="44"/>
      <c r="AN1424" s="47"/>
      <c r="AO1424" s="46"/>
      <c r="AP1424" s="47"/>
      <c r="AQ1424" s="43">
        <f t="shared" si="1123"/>
        <v>3071.25</v>
      </c>
      <c r="AR1424" s="43">
        <f t="shared" si="448"/>
        <v>153.5625</v>
      </c>
      <c r="AS1424" s="43">
        <f t="shared" si="449"/>
        <v>537.46875</v>
      </c>
      <c r="AT1424" s="48">
        <f t="shared" si="753"/>
        <v>2380.21875</v>
      </c>
      <c r="AU1424" s="49">
        <f t="shared" si="1124"/>
        <v>2380.21875</v>
      </c>
      <c r="AV1424" s="48"/>
      <c r="AW1424" s="34">
        <f t="shared" si="1000"/>
        <v>10480.88</v>
      </c>
      <c r="AX1424" s="50">
        <f t="shared" si="1034"/>
        <v>673.96875</v>
      </c>
      <c r="AY1424" s="43"/>
      <c r="AZ1424" s="27"/>
      <c r="BA1424" s="48">
        <f t="shared" si="1080"/>
        <v>2380.21875</v>
      </c>
      <c r="BB1424" s="27"/>
      <c r="BC1424" s="27"/>
      <c r="BD1424" s="51"/>
      <c r="BE1424" s="52"/>
      <c r="BF1424" s="27" t="s">
        <v>4598</v>
      </c>
      <c r="BG1424" s="53">
        <v>44959.0</v>
      </c>
      <c r="BH1424" s="53" t="str">
        <f t="shared" si="1125"/>
        <v>#REF!</v>
      </c>
      <c r="BI1424" s="27"/>
      <c r="BJ1424" s="27"/>
      <c r="BK1424" s="27" t="s">
        <v>76</v>
      </c>
      <c r="BL1424" s="27"/>
    </row>
    <row r="1425" ht="14.25" customHeight="1">
      <c r="A1425" s="26" t="s">
        <v>55</v>
      </c>
      <c r="B1425" s="26" t="s">
        <v>56</v>
      </c>
      <c r="C1425" s="26" t="s">
        <v>57</v>
      </c>
      <c r="D1425" s="26" t="s">
        <v>81</v>
      </c>
      <c r="E1425" s="27" t="s">
        <v>4600</v>
      </c>
      <c r="F1425" s="28" t="s">
        <v>4601</v>
      </c>
      <c r="G1425" s="29">
        <v>45261.0</v>
      </c>
      <c r="H1425" s="30">
        <v>45261.0</v>
      </c>
      <c r="I1425" s="30">
        <v>45626.0</v>
      </c>
      <c r="J1425" s="31" t="s">
        <v>4602</v>
      </c>
      <c r="K1425" s="26" t="s">
        <v>2374</v>
      </c>
      <c r="L1425" s="89">
        <v>45244.0</v>
      </c>
      <c r="M1425" s="33">
        <v>42864.0</v>
      </c>
      <c r="N1425" s="34">
        <v>45807.29</v>
      </c>
      <c r="O1425" s="27" t="s">
        <v>76</v>
      </c>
      <c r="P1425" s="35" t="s">
        <v>89</v>
      </c>
      <c r="Q1425" s="35" t="s">
        <v>90</v>
      </c>
      <c r="R1425" s="36">
        <v>45261.0</v>
      </c>
      <c r="S1425" s="35" t="s">
        <v>86</v>
      </c>
      <c r="T1425" s="35">
        <v>0.0</v>
      </c>
      <c r="U1425" s="37" t="s">
        <v>67</v>
      </c>
      <c r="V1425" s="38">
        <v>1900000.0</v>
      </c>
      <c r="W1425" s="78">
        <v>7198.0</v>
      </c>
      <c r="X1425" s="27">
        <v>2022.0</v>
      </c>
      <c r="Y1425" s="79" t="s">
        <v>476</v>
      </c>
      <c r="Z1425" s="39"/>
      <c r="AA1425" s="39"/>
      <c r="AB1425" s="27"/>
      <c r="AC1425" s="27">
        <f t="shared" si="1115"/>
        <v>0</v>
      </c>
      <c r="AD1425" s="41">
        <f>IF(AND(S1425="0",O1425="Paid"),(M1425*15%)-AC1425,0)</f>
        <v>6429.6</v>
      </c>
      <c r="AE1425" s="42"/>
      <c r="AF1425" s="27"/>
      <c r="AG1425" s="43">
        <f>IF(O1425="Paid",IF(A1425="Wethaq",(M1425*28%)-((M1425*28%)*5%),IF((A1425="GIG"),(M1425*25%)-((M1425*25%)*5%),IF((A1425="Allianz"),(M1425*27%)-((M1425*27%)*20%),0))),0)</f>
        <v>9258.624</v>
      </c>
      <c r="AH1425" s="29"/>
      <c r="AI1425" s="29"/>
      <c r="AJ1425" s="29"/>
      <c r="AK1425" s="29"/>
      <c r="AL1425" s="27"/>
      <c r="AM1425" s="44"/>
      <c r="AN1425" s="47"/>
      <c r="AO1425" s="46"/>
      <c r="AP1425" s="47"/>
      <c r="AQ1425" s="43">
        <f>IF(O1425="Paid",IF(U1425="Motor Plus",(M1425*27%),IF(U1425="Motor One",(M1425*22%),(IF(U1425="Golden",(M1425*25%),(IF(U1425="Classic",(M1425*15%),(IF(U1425="Wethaq",(M1425*28%),IF(U1425="Alwataniya",(M1425*21%))*0)))))))))</f>
        <v>11573.28</v>
      </c>
      <c r="AR1425" s="43">
        <f t="shared" si="448"/>
        <v>578.664</v>
      </c>
      <c r="AS1425" s="43">
        <f t="shared" si="449"/>
        <v>2025.324</v>
      </c>
      <c r="AT1425" s="48">
        <f t="shared" si="753"/>
        <v>8969.292</v>
      </c>
      <c r="AU1425" s="49">
        <f>AQ1425-AR1425-AS1425-AC1425-AO1425</f>
        <v>8969.292</v>
      </c>
      <c r="AV1425" s="48"/>
      <c r="AW1425" s="34">
        <f t="shared" si="1000"/>
        <v>39377.69</v>
      </c>
      <c r="AX1425" s="113">
        <f t="shared" si="1034"/>
        <v>803.7</v>
      </c>
      <c r="AY1425" s="43"/>
      <c r="AZ1425" s="47"/>
      <c r="BA1425" s="48">
        <f t="shared" si="1080"/>
        <v>8969.292</v>
      </c>
      <c r="BB1425" s="27"/>
      <c r="BC1425" s="27"/>
      <c r="BD1425" s="51"/>
      <c r="BE1425" s="52"/>
      <c r="BF1425" s="27"/>
      <c r="BG1425" s="53">
        <v>0.0</v>
      </c>
      <c r="BH1425" s="53" t="str">
        <f>'[1]2023'!Q1589</f>
        <v>#REF!</v>
      </c>
      <c r="BI1425" s="27"/>
      <c r="BJ1425" s="27"/>
      <c r="BK1425" s="27" t="s">
        <v>76</v>
      </c>
      <c r="BL1425" s="27"/>
    </row>
    <row r="1426" ht="14.25" customHeight="1">
      <c r="A1426" s="26" t="s">
        <v>55</v>
      </c>
      <c r="B1426" s="26" t="s">
        <v>56</v>
      </c>
      <c r="C1426" s="26" t="s">
        <v>57</v>
      </c>
      <c r="D1426" s="26" t="s">
        <v>81</v>
      </c>
      <c r="E1426" s="27" t="s">
        <v>4603</v>
      </c>
      <c r="F1426" s="26" t="s">
        <v>4604</v>
      </c>
      <c r="G1426" s="29">
        <v>45262.0</v>
      </c>
      <c r="H1426" s="30">
        <v>45262.0</v>
      </c>
      <c r="I1426" s="30">
        <v>45627.0</v>
      </c>
      <c r="J1426" s="31">
        <v>0.0</v>
      </c>
      <c r="K1426" s="26" t="s">
        <v>62</v>
      </c>
      <c r="L1426" s="32" t="s">
        <v>75</v>
      </c>
      <c r="M1426" s="33">
        <v>14787.5</v>
      </c>
      <c r="N1426" s="34">
        <v>15800.98</v>
      </c>
      <c r="O1426" s="27" t="s">
        <v>76</v>
      </c>
      <c r="P1426" s="35" t="s">
        <v>142</v>
      </c>
      <c r="Q1426" s="35" t="s">
        <v>108</v>
      </c>
      <c r="R1426" s="36">
        <v>45262.0</v>
      </c>
      <c r="S1426" s="35" t="s">
        <v>86</v>
      </c>
      <c r="T1426" s="35">
        <v>0.0</v>
      </c>
      <c r="U1426" s="37" t="s">
        <v>67</v>
      </c>
      <c r="V1426" s="38"/>
      <c r="W1426" s="38"/>
      <c r="X1426" s="27"/>
      <c r="Y1426" s="39"/>
      <c r="Z1426" s="39"/>
      <c r="AA1426" s="39"/>
      <c r="AB1426" s="27"/>
      <c r="AC1426" s="27">
        <f t="shared" si="1115"/>
        <v>0</v>
      </c>
      <c r="AD1426" s="41">
        <f>IF(AND(S1426="0",O1426="Paid"),M1426*15%,0)</f>
        <v>2218.125</v>
      </c>
      <c r="AE1426" s="42"/>
      <c r="AF1426" s="56" t="s">
        <v>3493</v>
      </c>
      <c r="AG1426" s="43">
        <f t="shared" ref="AG1426:AG1429" si="1126">IF(O1426="Paid",IF(A1426="Alwataniya",(M1426*21%)-((M1426*21%)*5%),IF((A1426="GIG"),(M1426*25%)-((M1426*25%)*5%),IF((A1426="Allianz"),(M1426*27%)-((M1426*27%)*5%),0))),0)</f>
        <v>3792.99375</v>
      </c>
      <c r="AH1426" s="29"/>
      <c r="AI1426" s="29"/>
      <c r="AJ1426" s="29"/>
      <c r="AK1426" s="29"/>
      <c r="AL1426" s="27"/>
      <c r="AM1426" s="44"/>
      <c r="AN1426" s="47"/>
      <c r="AO1426" s="37"/>
      <c r="AP1426" s="47"/>
      <c r="AQ1426" s="43">
        <f>IF(U1426="Motor Plus",(M1426*27%),IF(U1426="Motor One",(M1426*22%),(IF(U1426="Golden",(M1426*25%),(IF(U1426="Classic",(M1426*15%),(IF(U1426="Wethaq",(M1426*28%),IF(U1426="Alwataniya",(M1426*21%))*0))))))))</f>
        <v>3992.625</v>
      </c>
      <c r="AR1426" s="43">
        <f t="shared" si="448"/>
        <v>199.63125</v>
      </c>
      <c r="AS1426" s="43">
        <f t="shared" si="449"/>
        <v>698.709375</v>
      </c>
      <c r="AT1426" s="48">
        <f t="shared" si="753"/>
        <v>3094.284375</v>
      </c>
      <c r="AU1426" s="49">
        <f t="shared" ref="AU1426:AU1433" si="1127">AQ1426-AR1426-AS1426-AC1426</f>
        <v>3094.284375</v>
      </c>
      <c r="AV1426" s="48"/>
      <c r="AW1426" s="34">
        <f t="shared" si="1000"/>
        <v>13582.855</v>
      </c>
      <c r="AX1426" s="50">
        <f t="shared" si="1034"/>
        <v>876.159375</v>
      </c>
      <c r="AY1426" s="43"/>
      <c r="AZ1426" s="27"/>
      <c r="BA1426" s="48">
        <f t="shared" si="1080"/>
        <v>3094.284375</v>
      </c>
      <c r="BB1426" s="27"/>
      <c r="BC1426" s="27"/>
      <c r="BD1426" s="51"/>
      <c r="BE1426" s="52"/>
      <c r="BF1426" s="27" t="s">
        <v>4603</v>
      </c>
      <c r="BG1426" s="58" t="s">
        <v>4605</v>
      </c>
      <c r="BH1426" s="53" t="str">
        <f>'[1]2023'!Q120</f>
        <v>#REF!</v>
      </c>
      <c r="BI1426" s="27"/>
      <c r="BJ1426" s="27"/>
      <c r="BK1426" s="27" t="s">
        <v>76</v>
      </c>
      <c r="BL1426" s="27"/>
    </row>
    <row r="1427" ht="14.25" customHeight="1">
      <c r="A1427" s="26" t="s">
        <v>55</v>
      </c>
      <c r="B1427" s="26" t="s">
        <v>56</v>
      </c>
      <c r="C1427" s="26" t="s">
        <v>57</v>
      </c>
      <c r="D1427" s="26" t="s">
        <v>81</v>
      </c>
      <c r="E1427" s="27" t="s">
        <v>4606</v>
      </c>
      <c r="F1427" s="26" t="s">
        <v>4607</v>
      </c>
      <c r="G1427" s="29">
        <v>45262.0</v>
      </c>
      <c r="H1427" s="30">
        <v>45262.0</v>
      </c>
      <c r="I1427" s="30">
        <v>45627.0</v>
      </c>
      <c r="J1427" s="31">
        <v>0.0</v>
      </c>
      <c r="K1427" s="26" t="s">
        <v>62</v>
      </c>
      <c r="L1427" s="32" t="s">
        <v>63</v>
      </c>
      <c r="M1427" s="33">
        <v>26550.0</v>
      </c>
      <c r="N1427" s="34">
        <v>28257.45</v>
      </c>
      <c r="O1427" s="27" t="s">
        <v>64</v>
      </c>
      <c r="P1427" s="35">
        <v>0.0</v>
      </c>
      <c r="Q1427" s="35" t="s">
        <v>90</v>
      </c>
      <c r="R1427" s="36">
        <v>45262.0</v>
      </c>
      <c r="S1427" s="35" t="s">
        <v>86</v>
      </c>
      <c r="T1427" s="35">
        <v>0.0</v>
      </c>
      <c r="U1427" s="37" t="s">
        <v>67</v>
      </c>
      <c r="V1427" s="38"/>
      <c r="W1427" s="38"/>
      <c r="X1427" s="27"/>
      <c r="Y1427" s="39"/>
      <c r="Z1427" s="39"/>
      <c r="AA1427" s="39"/>
      <c r="AB1427" s="27"/>
      <c r="AC1427" s="27">
        <f t="shared" si="1115"/>
        <v>0</v>
      </c>
      <c r="AD1427" s="41">
        <f>IF(AND(S1427="0",O1427="Paid"),(M1427*15%)-AC1427,0)</f>
        <v>0</v>
      </c>
      <c r="AE1427" s="42"/>
      <c r="AF1427" s="27"/>
      <c r="AG1427" s="43">
        <f t="shared" si="1126"/>
        <v>0</v>
      </c>
      <c r="AH1427" s="29"/>
      <c r="AI1427" s="29"/>
      <c r="AJ1427" s="29"/>
      <c r="AK1427" s="29"/>
      <c r="AL1427" s="27"/>
      <c r="AM1427" s="44"/>
      <c r="AN1427" s="47"/>
      <c r="AO1427" s="37"/>
      <c r="AP1427" s="47"/>
      <c r="AQ1427" s="43" t="b">
        <f>IF(O1427="Paid",IF(U1427="Motor Plus",(M1427*27%),IF(U1427="Motor One",(M1427*22%),(IF(U1427="Golden",(M1427*25%),(IF(U1427="Classic",(M1427*15%),(IF(U1427="Wethaq",(M1427*28%),IF(U1427="Alwataniya",(M1427*21%))*0)))))))))</f>
        <v>0</v>
      </c>
      <c r="AR1427" s="43">
        <f t="shared" si="448"/>
        <v>0</v>
      </c>
      <c r="AS1427" s="43">
        <f t="shared" si="449"/>
        <v>0</v>
      </c>
      <c r="AT1427" s="48">
        <f t="shared" si="753"/>
        <v>0</v>
      </c>
      <c r="AU1427" s="49">
        <f t="shared" si="1127"/>
        <v>0</v>
      </c>
      <c r="AV1427" s="48"/>
      <c r="AW1427" s="34">
        <f t="shared" si="1000"/>
        <v>28257.45</v>
      </c>
      <c r="AX1427" s="50">
        <f t="shared" si="1034"/>
        <v>0</v>
      </c>
      <c r="AY1427" s="43"/>
      <c r="AZ1427" s="27"/>
      <c r="BA1427" s="48">
        <f t="shared" si="1080"/>
        <v>0</v>
      </c>
      <c r="BB1427" s="27"/>
      <c r="BC1427" s="27"/>
      <c r="BD1427" s="51"/>
      <c r="BE1427" s="52"/>
      <c r="BF1427" s="27" t="s">
        <v>4606</v>
      </c>
      <c r="BG1427" s="53">
        <v>0.0</v>
      </c>
      <c r="BH1427" s="53" t="str">
        <f>'[1]2023'!Q137</f>
        <v>#REF!</v>
      </c>
      <c r="BI1427" s="27"/>
      <c r="BJ1427" s="27"/>
      <c r="BK1427" s="27" t="s">
        <v>64</v>
      </c>
      <c r="BL1427" s="27"/>
    </row>
    <row r="1428" ht="14.25" customHeight="1">
      <c r="A1428" s="26" t="s">
        <v>55</v>
      </c>
      <c r="B1428" s="26" t="s">
        <v>56</v>
      </c>
      <c r="C1428" s="26" t="s">
        <v>57</v>
      </c>
      <c r="D1428" s="26" t="s">
        <v>81</v>
      </c>
      <c r="E1428" s="27" t="s">
        <v>4608</v>
      </c>
      <c r="F1428" s="26" t="s">
        <v>4609</v>
      </c>
      <c r="G1428" s="29">
        <v>45263.0</v>
      </c>
      <c r="H1428" s="30">
        <v>45263.0</v>
      </c>
      <c r="I1428" s="30">
        <v>45628.0</v>
      </c>
      <c r="J1428" s="31" t="s">
        <v>4610</v>
      </c>
      <c r="K1428" s="26" t="s">
        <v>352</v>
      </c>
      <c r="L1428" s="32" t="s">
        <v>75</v>
      </c>
      <c r="M1428" s="33">
        <v>14160.0</v>
      </c>
      <c r="N1428" s="34">
        <v>15139.44</v>
      </c>
      <c r="O1428" s="27" t="s">
        <v>76</v>
      </c>
      <c r="P1428" s="35" t="s">
        <v>122</v>
      </c>
      <c r="Q1428" s="35" t="s">
        <v>90</v>
      </c>
      <c r="R1428" s="36">
        <v>45263.0</v>
      </c>
      <c r="S1428" s="35" t="s">
        <v>86</v>
      </c>
      <c r="T1428" s="35">
        <v>0.0</v>
      </c>
      <c r="U1428" s="37" t="s">
        <v>67</v>
      </c>
      <c r="V1428" s="38"/>
      <c r="W1428" s="38"/>
      <c r="X1428" s="27"/>
      <c r="Y1428" s="39"/>
      <c r="Z1428" s="39"/>
      <c r="AA1428" s="39"/>
      <c r="AB1428" s="40"/>
      <c r="AC1428" s="27">
        <f t="shared" si="1115"/>
        <v>0</v>
      </c>
      <c r="AD1428" s="41">
        <f t="shared" ref="AD1428:AD1429" si="1128">IF(AND(S1428="0",O1428="Paid"),M1428*15%,0)</f>
        <v>2124</v>
      </c>
      <c r="AE1428" s="42"/>
      <c r="AF1428" s="27"/>
      <c r="AG1428" s="43">
        <f t="shared" si="1126"/>
        <v>3632.04</v>
      </c>
      <c r="AH1428" s="29"/>
      <c r="AI1428" s="29"/>
      <c r="AJ1428" s="29"/>
      <c r="AK1428" s="29"/>
      <c r="AL1428" s="27"/>
      <c r="AM1428" s="44"/>
      <c r="AN1428" s="47"/>
      <c r="AO1428" s="46"/>
      <c r="AP1428" s="47"/>
      <c r="AQ1428" s="43">
        <f t="shared" ref="AQ1428:AQ1429" si="1129">IF(U1428="Motor Plus",(M1428*27%),IF(U1428="Motor One",(M1428*22%),(IF(U1428="Golden",(M1428*25%),(IF(U1428="Classic",(M1428*15%),(IF(U1428="Wethaq",(M1428*28%),IF(U1428="Alwataniya",(M1428*21%))*0))))))))</f>
        <v>3823.2</v>
      </c>
      <c r="AR1428" s="43">
        <f t="shared" si="448"/>
        <v>191.16</v>
      </c>
      <c r="AS1428" s="43">
        <f t="shared" si="449"/>
        <v>669.06</v>
      </c>
      <c r="AT1428" s="48">
        <f t="shared" si="753"/>
        <v>2962.98</v>
      </c>
      <c r="AU1428" s="49">
        <f t="shared" si="1127"/>
        <v>2962.98</v>
      </c>
      <c r="AV1428" s="48"/>
      <c r="AW1428" s="34">
        <f t="shared" si="1000"/>
        <v>13015.44</v>
      </c>
      <c r="AX1428" s="50">
        <f t="shared" si="1034"/>
        <v>838.98</v>
      </c>
      <c r="AY1428" s="43"/>
      <c r="AZ1428" s="27"/>
      <c r="BA1428" s="48">
        <f t="shared" si="1080"/>
        <v>2962.98</v>
      </c>
      <c r="BB1428" s="27"/>
      <c r="BC1428" s="27"/>
      <c r="BD1428" s="51"/>
      <c r="BE1428" s="52"/>
      <c r="BF1428" s="27" t="s">
        <v>4608</v>
      </c>
      <c r="BG1428" s="53">
        <v>45110.0</v>
      </c>
      <c r="BH1428" s="53" t="str">
        <f>'[1]2023'!Q304</f>
        <v>#REF!</v>
      </c>
      <c r="BI1428" s="27"/>
      <c r="BJ1428" s="27"/>
      <c r="BK1428" s="27" t="s">
        <v>76</v>
      </c>
      <c r="BL1428" s="27"/>
    </row>
    <row r="1429" ht="14.25" customHeight="1">
      <c r="A1429" s="26" t="s">
        <v>55</v>
      </c>
      <c r="B1429" s="26" t="s">
        <v>56</v>
      </c>
      <c r="C1429" s="26" t="s">
        <v>57</v>
      </c>
      <c r="D1429" s="26" t="s">
        <v>81</v>
      </c>
      <c r="E1429" s="27" t="s">
        <v>4611</v>
      </c>
      <c r="F1429" s="26" t="s">
        <v>4612</v>
      </c>
      <c r="G1429" s="29">
        <v>45263.0</v>
      </c>
      <c r="H1429" s="30">
        <v>45263.0</v>
      </c>
      <c r="I1429" s="30">
        <v>45628.0</v>
      </c>
      <c r="J1429" s="31">
        <v>0.0</v>
      </c>
      <c r="K1429" s="26" t="s">
        <v>352</v>
      </c>
      <c r="L1429" s="32" t="s">
        <v>75</v>
      </c>
      <c r="M1429" s="33">
        <v>6652.0</v>
      </c>
      <c r="N1429" s="34">
        <v>7185.46</v>
      </c>
      <c r="O1429" s="27" t="s">
        <v>76</v>
      </c>
      <c r="P1429" s="35" t="s">
        <v>122</v>
      </c>
      <c r="Q1429" s="35">
        <v>0.0</v>
      </c>
      <c r="R1429" s="36">
        <v>45263.0</v>
      </c>
      <c r="S1429" s="35" t="s">
        <v>86</v>
      </c>
      <c r="T1429" s="35">
        <v>0.0</v>
      </c>
      <c r="U1429" s="37" t="s">
        <v>812</v>
      </c>
      <c r="V1429" s="38"/>
      <c r="W1429" s="38"/>
      <c r="X1429" s="27"/>
      <c r="Y1429" s="39"/>
      <c r="Z1429" s="39"/>
      <c r="AA1429" s="39"/>
      <c r="AB1429" s="40"/>
      <c r="AC1429" s="27">
        <f t="shared" si="1115"/>
        <v>0</v>
      </c>
      <c r="AD1429" s="41">
        <f t="shared" si="1128"/>
        <v>997.8</v>
      </c>
      <c r="AE1429" s="42"/>
      <c r="AF1429" s="27"/>
      <c r="AG1429" s="43">
        <f t="shared" si="1126"/>
        <v>1706.238</v>
      </c>
      <c r="AH1429" s="29"/>
      <c r="AI1429" s="29"/>
      <c r="AJ1429" s="29"/>
      <c r="AK1429" s="29"/>
      <c r="AL1429" s="27"/>
      <c r="AM1429" s="44"/>
      <c r="AN1429" s="47"/>
      <c r="AO1429" s="46"/>
      <c r="AP1429" s="47"/>
      <c r="AQ1429" s="43">
        <f t="shared" si="1129"/>
        <v>0</v>
      </c>
      <c r="AR1429" s="43">
        <f t="shared" si="448"/>
        <v>0</v>
      </c>
      <c r="AS1429" s="43">
        <f t="shared" si="449"/>
        <v>0</v>
      </c>
      <c r="AT1429" s="48">
        <f t="shared" si="753"/>
        <v>0</v>
      </c>
      <c r="AU1429" s="49">
        <f t="shared" si="1127"/>
        <v>0</v>
      </c>
      <c r="AV1429" s="48"/>
      <c r="AW1429" s="34">
        <f t="shared" si="1000"/>
        <v>6187.66</v>
      </c>
      <c r="AX1429" s="50">
        <f t="shared" si="1034"/>
        <v>708.438</v>
      </c>
      <c r="AY1429" s="43"/>
      <c r="AZ1429" s="27"/>
      <c r="BA1429" s="48">
        <f t="shared" si="1080"/>
        <v>0</v>
      </c>
      <c r="BB1429" s="27"/>
      <c r="BC1429" s="27"/>
      <c r="BD1429" s="51"/>
      <c r="BE1429" s="52"/>
      <c r="BF1429" s="27" t="s">
        <v>4611</v>
      </c>
      <c r="BG1429" s="53" t="s">
        <v>726</v>
      </c>
      <c r="BH1429" s="53" t="str">
        <f>'[1]2023'!Q321</f>
        <v>#REF!</v>
      </c>
      <c r="BI1429" s="27"/>
      <c r="BJ1429" s="27"/>
      <c r="BK1429" s="27" t="s">
        <v>76</v>
      </c>
      <c r="BL1429" s="27"/>
    </row>
    <row r="1430" ht="14.25" customHeight="1">
      <c r="A1430" s="26" t="s">
        <v>111</v>
      </c>
      <c r="B1430" s="26" t="s">
        <v>56</v>
      </c>
      <c r="C1430" s="26" t="s">
        <v>57</v>
      </c>
      <c r="D1430" s="26" t="s">
        <v>71</v>
      </c>
      <c r="E1430" s="27" t="s">
        <v>4613</v>
      </c>
      <c r="F1430" s="28" t="s">
        <v>4614</v>
      </c>
      <c r="G1430" s="29">
        <v>45263.0</v>
      </c>
      <c r="H1430" s="30">
        <v>45263.0</v>
      </c>
      <c r="I1430" s="30">
        <v>45628.0</v>
      </c>
      <c r="J1430" s="31" t="s">
        <v>4615</v>
      </c>
      <c r="K1430" s="26" t="s">
        <v>352</v>
      </c>
      <c r="L1430" s="32" t="s">
        <v>75</v>
      </c>
      <c r="M1430" s="33">
        <v>14102.17</v>
      </c>
      <c r="N1430" s="34">
        <v>15190.0</v>
      </c>
      <c r="O1430" s="27" t="s">
        <v>76</v>
      </c>
      <c r="P1430" s="35" t="s">
        <v>509</v>
      </c>
      <c r="Q1430" s="35" t="s">
        <v>114</v>
      </c>
      <c r="R1430" s="36">
        <v>45272.0</v>
      </c>
      <c r="S1430" s="35" t="s">
        <v>848</v>
      </c>
      <c r="T1430" s="35">
        <v>0.0</v>
      </c>
      <c r="U1430" s="37" t="s">
        <v>149</v>
      </c>
      <c r="V1430" s="38">
        <v>700000.0</v>
      </c>
      <c r="W1430" s="38" t="s">
        <v>4616</v>
      </c>
      <c r="X1430" s="27">
        <v>2019.0</v>
      </c>
      <c r="Y1430" s="39" t="s">
        <v>4617</v>
      </c>
      <c r="Z1430" s="79" t="s">
        <v>4618</v>
      </c>
      <c r="AA1430" s="39"/>
      <c r="AB1430" s="40"/>
      <c r="AC1430" s="27">
        <f t="shared" si="1115"/>
        <v>0</v>
      </c>
      <c r="AD1430" s="41">
        <f>IF(AND(S1430="0",O1430="Paid"),(M1430*15%)-AC1430,0)</f>
        <v>0</v>
      </c>
      <c r="AE1430" s="42"/>
      <c r="AF1430" s="27"/>
      <c r="AG1430" s="43">
        <f>IF(AND(O1430="Paid",A1430="GIG"),((M1430*15%)-(((M1430*15%)*5%))),0)</f>
        <v>2009.559225</v>
      </c>
      <c r="AH1430" s="29" t="s">
        <v>75</v>
      </c>
      <c r="AI1430" s="61" t="s">
        <v>513</v>
      </c>
      <c r="AJ1430" s="40"/>
      <c r="AK1430" s="62" t="s">
        <v>63</v>
      </c>
      <c r="AL1430" s="27"/>
      <c r="AM1430" s="44">
        <f>IF((BD1430&lt;=2),AU1430*10%,(IF((BD1430&lt;=3),AU1430*20%,IF((BD1430&lt;=4),AU1430*20%,IF((BD1430&gt;=5),AU1430*30%,0)))))</f>
        <v>163.9377263</v>
      </c>
      <c r="AN1430" s="47" t="s">
        <v>75</v>
      </c>
      <c r="AO1430" s="46"/>
      <c r="AP1430" s="47"/>
      <c r="AQ1430" s="43">
        <f>M1430*15%</f>
        <v>2115.3255</v>
      </c>
      <c r="AR1430" s="43">
        <f t="shared" si="448"/>
        <v>105.766275</v>
      </c>
      <c r="AS1430" s="43">
        <f t="shared" si="449"/>
        <v>370.1819625</v>
      </c>
      <c r="AT1430" s="48">
        <f t="shared" si="753"/>
        <v>1639.377263</v>
      </c>
      <c r="AU1430" s="49">
        <f t="shared" si="1127"/>
        <v>1639.377263</v>
      </c>
      <c r="AV1430" s="106">
        <f>BA1430*10%</f>
        <v>147.5439536</v>
      </c>
      <c r="AW1430" s="34">
        <f t="shared" si="1000"/>
        <v>15190</v>
      </c>
      <c r="AX1430" s="50">
        <f t="shared" si="1034"/>
        <v>1327.895583</v>
      </c>
      <c r="AY1430" s="43"/>
      <c r="AZ1430" s="27"/>
      <c r="BA1430" s="48">
        <f t="shared" si="1080"/>
        <v>1475.439536</v>
      </c>
      <c r="BB1430" s="27"/>
      <c r="BC1430" s="27"/>
      <c r="BD1430" s="51"/>
      <c r="BE1430" s="52"/>
      <c r="BF1430" s="27" t="s">
        <v>4619</v>
      </c>
      <c r="BG1430" s="58" t="s">
        <v>4620</v>
      </c>
      <c r="BH1430" s="53" t="str">
        <f t="shared" ref="BH1430:BH1431" si="1130">'[1]2023'!Q327</f>
        <v>#REF!</v>
      </c>
      <c r="BI1430" s="27"/>
      <c r="BJ1430" s="27"/>
      <c r="BK1430" s="27" t="s">
        <v>76</v>
      </c>
      <c r="BL1430" s="64" t="s">
        <v>4621</v>
      </c>
    </row>
    <row r="1431" ht="14.25" customHeight="1">
      <c r="A1431" s="26" t="s">
        <v>111</v>
      </c>
      <c r="B1431" s="26" t="s">
        <v>56</v>
      </c>
      <c r="C1431" s="26" t="s">
        <v>57</v>
      </c>
      <c r="D1431" s="26" t="s">
        <v>71</v>
      </c>
      <c r="E1431" s="27" t="s">
        <v>4622</v>
      </c>
      <c r="F1431" s="28" t="s">
        <v>4623</v>
      </c>
      <c r="G1431" s="29">
        <v>45263.0</v>
      </c>
      <c r="H1431" s="30">
        <v>45263.0</v>
      </c>
      <c r="I1431" s="30">
        <v>45628.0</v>
      </c>
      <c r="J1431" s="31" t="s">
        <v>4624</v>
      </c>
      <c r="K1431" s="26" t="s">
        <v>352</v>
      </c>
      <c r="L1431" s="32" t="s">
        <v>75</v>
      </c>
      <c r="M1431" s="33">
        <v>16330.69</v>
      </c>
      <c r="N1431" s="34">
        <v>17550.0</v>
      </c>
      <c r="O1431" s="27" t="s">
        <v>76</v>
      </c>
      <c r="P1431" s="35" t="s">
        <v>142</v>
      </c>
      <c r="Q1431" s="35" t="s">
        <v>108</v>
      </c>
      <c r="R1431" s="36">
        <v>45272.0</v>
      </c>
      <c r="S1431" s="35" t="s">
        <v>86</v>
      </c>
      <c r="T1431" s="35">
        <v>0.0</v>
      </c>
      <c r="U1431" s="37" t="s">
        <v>115</v>
      </c>
      <c r="V1431" s="38">
        <v>675000.0</v>
      </c>
      <c r="W1431" s="38" t="s">
        <v>4625</v>
      </c>
      <c r="X1431" s="27" t="s">
        <v>4626</v>
      </c>
      <c r="Y1431" s="39"/>
      <c r="Z1431" s="79" t="s">
        <v>3362</v>
      </c>
      <c r="AA1431" s="39"/>
      <c r="AB1431" s="40"/>
      <c r="AC1431" s="27">
        <f t="shared" si="1115"/>
        <v>0</v>
      </c>
      <c r="AD1431" s="41">
        <f t="shared" ref="AD1431:AD1433" si="1131">IF(AND(S1431="0",O1431="Paid"),M1431*15%,0)</f>
        <v>2449.6035</v>
      </c>
      <c r="AE1431" s="42">
        <v>250.0</v>
      </c>
      <c r="AF1431" s="27" t="s">
        <v>75</v>
      </c>
      <c r="AG1431" s="43">
        <f>IF(O1431="Paid",IF(A1431="Alwataniya",(M1431*21%)-((M1431*21%)*5%),IF((A1431="GIG"),(M1431*25%)-((M1431*25%)*5%),IF((A1431="Allianz"),(M1431*27%)-((M1431*27%)*20%),0))),0)</f>
        <v>3878.538875</v>
      </c>
      <c r="AH1431" s="29" t="s">
        <v>75</v>
      </c>
      <c r="AI1431" s="61" t="s">
        <v>525</v>
      </c>
      <c r="AJ1431" s="40"/>
      <c r="AK1431" s="62" t="s">
        <v>63</v>
      </c>
      <c r="AL1431" s="27"/>
      <c r="AM1431" s="44"/>
      <c r="AN1431" s="47"/>
      <c r="AO1431" s="46"/>
      <c r="AP1431" s="47"/>
      <c r="AQ1431" s="43">
        <f t="shared" ref="AQ1431:AQ1433" si="1132">IF(U1431="Motor Plus",(M1431*27%),IF(U1431="Motor One",(M1431*22%),(IF(U1431="Golden",(M1431*25%),(IF(U1431="Classic",(M1431*15%),(IF(U1431="Wethaq",(M1431*28%),IF(U1431="Alwataniya",(M1431*21%))*0))))))))</f>
        <v>4082.6725</v>
      </c>
      <c r="AR1431" s="43">
        <f t="shared" si="448"/>
        <v>204.133625</v>
      </c>
      <c r="AS1431" s="43">
        <f t="shared" si="449"/>
        <v>714.4676875</v>
      </c>
      <c r="AT1431" s="48">
        <f t="shared" si="753"/>
        <v>3164.071188</v>
      </c>
      <c r="AU1431" s="49">
        <f t="shared" si="1127"/>
        <v>3164.071188</v>
      </c>
      <c r="AV1431" s="48"/>
      <c r="AW1431" s="34">
        <f t="shared" si="1000"/>
        <v>14850.3965</v>
      </c>
      <c r="AX1431" s="50">
        <f t="shared" si="1034"/>
        <v>464.4676875</v>
      </c>
      <c r="AY1431" s="43"/>
      <c r="AZ1431" s="27"/>
      <c r="BA1431" s="48">
        <f t="shared" si="1080"/>
        <v>3164.071188</v>
      </c>
      <c r="BB1431" s="27"/>
      <c r="BC1431" s="27"/>
      <c r="BD1431" s="51"/>
      <c r="BE1431" s="52"/>
      <c r="BF1431" s="27" t="s">
        <v>4622</v>
      </c>
      <c r="BG1431" s="53">
        <v>0.0</v>
      </c>
      <c r="BH1431" s="53" t="str">
        <f t="shared" si="1130"/>
        <v>#REF!</v>
      </c>
      <c r="BI1431" s="27"/>
      <c r="BJ1431" s="27" t="s">
        <v>335</v>
      </c>
      <c r="BK1431" s="27" t="s">
        <v>76</v>
      </c>
      <c r="BL1431" s="27">
        <v>675000.0</v>
      </c>
    </row>
    <row r="1432" ht="14.25" customHeight="1">
      <c r="A1432" s="26" t="s">
        <v>55</v>
      </c>
      <c r="B1432" s="26" t="s">
        <v>56</v>
      </c>
      <c r="C1432" s="26" t="s">
        <v>57</v>
      </c>
      <c r="D1432" s="26" t="s">
        <v>81</v>
      </c>
      <c r="E1432" s="27" t="s">
        <v>4627</v>
      </c>
      <c r="F1432" s="28" t="s">
        <v>4628</v>
      </c>
      <c r="G1432" s="29">
        <v>45263.0</v>
      </c>
      <c r="H1432" s="30">
        <v>45263.0</v>
      </c>
      <c r="I1432" s="30">
        <v>45628.0</v>
      </c>
      <c r="J1432" s="31">
        <v>0.0</v>
      </c>
      <c r="K1432" s="26" t="s">
        <v>352</v>
      </c>
      <c r="L1432" s="32" t="s">
        <v>305</v>
      </c>
      <c r="M1432" s="33">
        <v>28320.0</v>
      </c>
      <c r="N1432" s="34">
        <v>30131.88</v>
      </c>
      <c r="O1432" s="27" t="s">
        <v>76</v>
      </c>
      <c r="P1432" s="35" t="s">
        <v>142</v>
      </c>
      <c r="Q1432" s="35" t="s">
        <v>90</v>
      </c>
      <c r="R1432" s="36">
        <v>45263.0</v>
      </c>
      <c r="S1432" s="35" t="s">
        <v>86</v>
      </c>
      <c r="T1432" s="35">
        <v>0.0</v>
      </c>
      <c r="U1432" s="37" t="s">
        <v>67</v>
      </c>
      <c r="V1432" s="38"/>
      <c r="W1432" s="38"/>
      <c r="X1432" s="27"/>
      <c r="Y1432" s="39"/>
      <c r="Z1432" s="79" t="s">
        <v>208</v>
      </c>
      <c r="AA1432" s="39"/>
      <c r="AB1432" s="40"/>
      <c r="AC1432" s="27">
        <f t="shared" si="1115"/>
        <v>0</v>
      </c>
      <c r="AD1432" s="41">
        <f t="shared" si="1131"/>
        <v>4248</v>
      </c>
      <c r="AE1432" s="42"/>
      <c r="AF1432" s="27" t="s">
        <v>306</v>
      </c>
      <c r="AG1432" s="43">
        <f>IF(O1432="Paid",IF(A1432="Alwataniya",(M1432*21%)-((M1432*21%)*5%),IF((A1432="GIG"),(M1432*25%)-((M1432*25%)*5%),IF((A1432="Allianz"),(M1432*27%)-((M1432*27%)*5%),0))),0)</f>
        <v>7264.08</v>
      </c>
      <c r="AH1432" s="29"/>
      <c r="AI1432" s="29"/>
      <c r="AJ1432" s="29"/>
      <c r="AK1432" s="29"/>
      <c r="AL1432" s="27"/>
      <c r="AM1432" s="44"/>
      <c r="AN1432" s="47"/>
      <c r="AO1432" s="46"/>
      <c r="AP1432" s="47"/>
      <c r="AQ1432" s="43">
        <f t="shared" si="1132"/>
        <v>7646.4</v>
      </c>
      <c r="AR1432" s="43">
        <f t="shared" si="448"/>
        <v>382.32</v>
      </c>
      <c r="AS1432" s="43">
        <f t="shared" si="449"/>
        <v>1338.12</v>
      </c>
      <c r="AT1432" s="48">
        <f t="shared" si="753"/>
        <v>5925.96</v>
      </c>
      <c r="AU1432" s="49">
        <f t="shared" si="1127"/>
        <v>5925.96</v>
      </c>
      <c r="AV1432" s="48"/>
      <c r="AW1432" s="82">
        <f t="shared" si="1000"/>
        <v>25883.88</v>
      </c>
      <c r="AX1432" s="50">
        <f t="shared" si="1034"/>
        <v>1677.96</v>
      </c>
      <c r="AY1432" s="43"/>
      <c r="AZ1432" s="27"/>
      <c r="BA1432" s="48">
        <f t="shared" si="1080"/>
        <v>5925.96</v>
      </c>
      <c r="BB1432" s="27"/>
      <c r="BC1432" s="27"/>
      <c r="BD1432" s="51"/>
      <c r="BE1432" s="52"/>
      <c r="BF1432" s="27" t="s">
        <v>4627</v>
      </c>
      <c r="BG1432" s="53">
        <v>0.0</v>
      </c>
      <c r="BH1432" s="53" t="str">
        <f t="shared" ref="BH1432:BH1433" si="1133">'[1]2023'!Q340</f>
        <v>#REF!</v>
      </c>
      <c r="BI1432" s="27"/>
      <c r="BJ1432" s="27"/>
      <c r="BK1432" s="27" t="s">
        <v>76</v>
      </c>
      <c r="BL1432" s="27"/>
    </row>
    <row r="1433" ht="14.25" customHeight="1">
      <c r="A1433" s="26" t="s">
        <v>111</v>
      </c>
      <c r="B1433" s="26" t="s">
        <v>56</v>
      </c>
      <c r="C1433" s="26" t="s">
        <v>57</v>
      </c>
      <c r="D1433" s="26" t="s">
        <v>71</v>
      </c>
      <c r="E1433" s="27" t="s">
        <v>4629</v>
      </c>
      <c r="F1433" s="28" t="s">
        <v>4630</v>
      </c>
      <c r="G1433" s="29">
        <v>45263.0</v>
      </c>
      <c r="H1433" s="30">
        <v>45263.0</v>
      </c>
      <c r="I1433" s="30">
        <v>45628.0</v>
      </c>
      <c r="J1433" s="31" t="s">
        <v>4631</v>
      </c>
      <c r="K1433" s="26" t="s">
        <v>352</v>
      </c>
      <c r="L1433" s="32" t="s">
        <v>75</v>
      </c>
      <c r="M1433" s="33">
        <v>61137.11</v>
      </c>
      <c r="N1433" s="34">
        <v>65000.0</v>
      </c>
      <c r="O1433" s="27" t="s">
        <v>76</v>
      </c>
      <c r="P1433" s="35" t="s">
        <v>142</v>
      </c>
      <c r="Q1433" s="35" t="s">
        <v>108</v>
      </c>
      <c r="R1433" s="36">
        <v>45272.0</v>
      </c>
      <c r="S1433" s="35" t="s">
        <v>86</v>
      </c>
      <c r="T1433" s="236">
        <v>0.0</v>
      </c>
      <c r="U1433" s="37" t="s">
        <v>115</v>
      </c>
      <c r="V1433" s="38">
        <v>2500000.0</v>
      </c>
      <c r="W1433" s="38"/>
      <c r="X1433" s="27"/>
      <c r="Y1433" s="39"/>
      <c r="Z1433" s="79" t="s">
        <v>4632</v>
      </c>
      <c r="AA1433" s="39"/>
      <c r="AB1433" s="40"/>
      <c r="AC1433" s="27">
        <f t="shared" si="1115"/>
        <v>0</v>
      </c>
      <c r="AD1433" s="41">
        <f t="shared" si="1131"/>
        <v>9170.5665</v>
      </c>
      <c r="AE1433" s="42">
        <v>1250.0</v>
      </c>
      <c r="AF1433" s="27" t="s">
        <v>75</v>
      </c>
      <c r="AG1433" s="43">
        <f>IF(O1433="Paid",IF(A1433="Alwataniya",(M1433*21%)-((M1433*21%)*5%),IF((A1433="GIG"),(M1433*25%)-((M1433*25%)*5%),IF((A1433="Allianz"),(M1433*27%)-((M1433*27%)*20%),0))),0)</f>
        <v>14520.06363</v>
      </c>
      <c r="AH1433" s="29" t="s">
        <v>75</v>
      </c>
      <c r="AI1433" s="61" t="s">
        <v>525</v>
      </c>
      <c r="AJ1433" s="40"/>
      <c r="AK1433" s="62" t="s">
        <v>63</v>
      </c>
      <c r="AL1433" s="27"/>
      <c r="AM1433" s="44"/>
      <c r="AN1433" s="47"/>
      <c r="AO1433" s="46"/>
      <c r="AP1433" s="47"/>
      <c r="AQ1433" s="43">
        <f t="shared" si="1132"/>
        <v>15284.2775</v>
      </c>
      <c r="AR1433" s="43">
        <f t="shared" si="448"/>
        <v>764.213875</v>
      </c>
      <c r="AS1433" s="43">
        <f t="shared" si="449"/>
        <v>2674.748563</v>
      </c>
      <c r="AT1433" s="48">
        <f t="shared" si="753"/>
        <v>11845.31506</v>
      </c>
      <c r="AU1433" s="49">
        <f t="shared" si="1127"/>
        <v>11845.31506</v>
      </c>
      <c r="AV1433" s="48"/>
      <c r="AW1433" s="34">
        <f t="shared" si="1000"/>
        <v>54579.4335</v>
      </c>
      <c r="AX1433" s="50">
        <f t="shared" si="1034"/>
        <v>1424.748563</v>
      </c>
      <c r="AY1433" s="43"/>
      <c r="AZ1433" s="27"/>
      <c r="BA1433" s="48">
        <f t="shared" si="1080"/>
        <v>11845.31506</v>
      </c>
      <c r="BB1433" s="27"/>
      <c r="BC1433" s="27"/>
      <c r="BD1433" s="51"/>
      <c r="BE1433" s="52"/>
      <c r="BF1433" s="27" t="s">
        <v>4629</v>
      </c>
      <c r="BG1433" s="58" t="s">
        <v>4633</v>
      </c>
      <c r="BH1433" s="53" t="str">
        <f t="shared" si="1133"/>
        <v>#REF!</v>
      </c>
      <c r="BI1433" s="27"/>
      <c r="BJ1433" s="27" t="s">
        <v>335</v>
      </c>
      <c r="BK1433" s="27" t="s">
        <v>76</v>
      </c>
      <c r="BL1433" s="27">
        <v>2500000.0</v>
      </c>
    </row>
    <row r="1434" ht="14.25" customHeight="1">
      <c r="A1434" s="26" t="s">
        <v>55</v>
      </c>
      <c r="B1434" s="26" t="s">
        <v>56</v>
      </c>
      <c r="C1434" s="26" t="s">
        <v>57</v>
      </c>
      <c r="D1434" s="26" t="s">
        <v>81</v>
      </c>
      <c r="E1434" s="27" t="s">
        <v>4634</v>
      </c>
      <c r="F1434" s="28" t="s">
        <v>4635</v>
      </c>
      <c r="G1434" s="29">
        <v>45263.0</v>
      </c>
      <c r="H1434" s="30">
        <v>45263.0</v>
      </c>
      <c r="I1434" s="30">
        <v>45628.0</v>
      </c>
      <c r="J1434" s="31" t="s">
        <v>4636</v>
      </c>
      <c r="K1434" s="26" t="s">
        <v>4489</v>
      </c>
      <c r="L1434" s="89">
        <v>45257.0</v>
      </c>
      <c r="M1434" s="33">
        <v>21996.0</v>
      </c>
      <c r="N1434" s="34">
        <v>23603.75</v>
      </c>
      <c r="O1434" s="27" t="s">
        <v>76</v>
      </c>
      <c r="P1434" s="35" t="s">
        <v>122</v>
      </c>
      <c r="Q1434" s="35" t="s">
        <v>90</v>
      </c>
      <c r="R1434" s="36">
        <v>45263.0</v>
      </c>
      <c r="S1434" s="35" t="s">
        <v>86</v>
      </c>
      <c r="T1434" s="35">
        <v>0.0</v>
      </c>
      <c r="U1434" s="37" t="s">
        <v>67</v>
      </c>
      <c r="V1434" s="38">
        <v>1300000.0</v>
      </c>
      <c r="W1434" s="78">
        <v>24477.0</v>
      </c>
      <c r="X1434" s="27">
        <v>2019.0</v>
      </c>
      <c r="Y1434" s="79" t="s">
        <v>208</v>
      </c>
      <c r="Z1434" s="39"/>
      <c r="AA1434" s="39"/>
      <c r="AB1434" s="27"/>
      <c r="AC1434" s="27">
        <f t="shared" si="1115"/>
        <v>0</v>
      </c>
      <c r="AD1434" s="41">
        <f t="shared" ref="AD1434:AD1435" si="1134">IF(AND(S1434="0",O1434="Paid"),(M1434*15%)-AC1434,0)</f>
        <v>3299.4</v>
      </c>
      <c r="AE1434" s="42"/>
      <c r="AF1434" s="27"/>
      <c r="AG1434" s="43">
        <f t="shared" ref="AG1434:AG1435" si="1135">IF(O1434="Paid",IF(A1434="Wethaq",(M1434*28%)-((M1434*28%)*5%),IF((A1434="GIG"),(M1434*25%)-((M1434*25%)*5%),IF((A1434="Allianz"),(M1434*27%)-((M1434*27%)*20%),0))),0)</f>
        <v>4751.136</v>
      </c>
      <c r="AH1434" s="29"/>
      <c r="AI1434" s="29"/>
      <c r="AJ1434" s="29"/>
      <c r="AK1434" s="29"/>
      <c r="AL1434" s="27"/>
      <c r="AM1434" s="44"/>
      <c r="AN1434" s="47"/>
      <c r="AO1434" s="46"/>
      <c r="AP1434" s="47"/>
      <c r="AQ1434" s="43">
        <f t="shared" ref="AQ1434:AQ1435" si="1136">IF(O1434="Paid",IF(U1434="Motor Plus",(M1434*27%),IF(U1434="Motor One",(M1434*22%),(IF(U1434="Golden",(M1434*25%),(IF(U1434="Classic",(M1434*15%),(IF(U1434="Wethaq",(M1434*28%),IF(U1434="Alwataniya",(M1434*21%))*0)))))))))</f>
        <v>5938.92</v>
      </c>
      <c r="AR1434" s="43">
        <f t="shared" si="448"/>
        <v>296.946</v>
      </c>
      <c r="AS1434" s="43">
        <f t="shared" si="449"/>
        <v>1039.311</v>
      </c>
      <c r="AT1434" s="48">
        <f t="shared" si="753"/>
        <v>4602.663</v>
      </c>
      <c r="AU1434" s="49">
        <f t="shared" ref="AU1434:AU1435" si="1137">AQ1434-AR1434-AS1434-AC1434-AO1434</f>
        <v>4602.663</v>
      </c>
      <c r="AV1434" s="48"/>
      <c r="AW1434" s="34">
        <f t="shared" si="1000"/>
        <v>20304.35</v>
      </c>
      <c r="AX1434" s="50">
        <f t="shared" si="1034"/>
        <v>412.425</v>
      </c>
      <c r="AY1434" s="43"/>
      <c r="AZ1434" s="47"/>
      <c r="BA1434" s="48">
        <f t="shared" si="1080"/>
        <v>4602.663</v>
      </c>
      <c r="BB1434" s="27"/>
      <c r="BC1434" s="27"/>
      <c r="BD1434" s="51"/>
      <c r="BE1434" s="52"/>
      <c r="BF1434" s="27"/>
      <c r="BG1434" s="53">
        <v>0.0</v>
      </c>
      <c r="BH1434" s="53" t="str">
        <f>'[1]2023'!Q1648</f>
        <v>#REF!</v>
      </c>
      <c r="BI1434" s="27"/>
      <c r="BJ1434" s="27"/>
      <c r="BK1434" s="27" t="s">
        <v>76</v>
      </c>
      <c r="BL1434" s="27"/>
    </row>
    <row r="1435" ht="14.25" customHeight="1">
      <c r="A1435" s="26" t="s">
        <v>55</v>
      </c>
      <c r="B1435" s="26" t="s">
        <v>56</v>
      </c>
      <c r="C1435" s="26" t="s">
        <v>57</v>
      </c>
      <c r="D1435" s="26" t="s">
        <v>81</v>
      </c>
      <c r="E1435" s="27" t="s">
        <v>4637</v>
      </c>
      <c r="F1435" s="198" t="s">
        <v>4638</v>
      </c>
      <c r="G1435" s="29">
        <v>45263.0</v>
      </c>
      <c r="H1435" s="30">
        <v>45263.0</v>
      </c>
      <c r="I1435" s="30">
        <v>45628.0</v>
      </c>
      <c r="J1435" s="31" t="s">
        <v>4639</v>
      </c>
      <c r="K1435" s="26" t="s">
        <v>4489</v>
      </c>
      <c r="L1435" s="89">
        <v>45266.0</v>
      </c>
      <c r="M1435" s="33">
        <v>15228.0</v>
      </c>
      <c r="N1435" s="34">
        <v>16402.6</v>
      </c>
      <c r="O1435" s="27" t="s">
        <v>76</v>
      </c>
      <c r="P1435" s="35" t="s">
        <v>430</v>
      </c>
      <c r="Q1435" s="35">
        <v>0.0</v>
      </c>
      <c r="R1435" s="36">
        <v>45263.0</v>
      </c>
      <c r="S1435" s="35" t="s">
        <v>86</v>
      </c>
      <c r="T1435" s="35">
        <v>0.0</v>
      </c>
      <c r="U1435" s="37" t="s">
        <v>67</v>
      </c>
      <c r="V1435" s="38"/>
      <c r="W1435" s="78"/>
      <c r="X1435" s="27"/>
      <c r="Y1435" s="39"/>
      <c r="Z1435" s="39"/>
      <c r="AA1435" s="39"/>
      <c r="AB1435" s="27"/>
      <c r="AC1435" s="27">
        <f t="shared" si="1115"/>
        <v>0</v>
      </c>
      <c r="AD1435" s="41">
        <f t="shared" si="1134"/>
        <v>2284.2</v>
      </c>
      <c r="AE1435" s="42"/>
      <c r="AF1435" s="27"/>
      <c r="AG1435" s="43">
        <f t="shared" si="1135"/>
        <v>3289.248</v>
      </c>
      <c r="AH1435" s="29"/>
      <c r="AI1435" s="29"/>
      <c r="AJ1435" s="29"/>
      <c r="AK1435" s="75"/>
      <c r="AL1435" s="27"/>
      <c r="AM1435" s="44"/>
      <c r="AN1435" s="47"/>
      <c r="AO1435" s="46"/>
      <c r="AP1435" s="47"/>
      <c r="AQ1435" s="43">
        <f t="shared" si="1136"/>
        <v>4111.56</v>
      </c>
      <c r="AR1435" s="43">
        <f t="shared" si="448"/>
        <v>205.578</v>
      </c>
      <c r="AS1435" s="43">
        <f t="shared" si="449"/>
        <v>719.523</v>
      </c>
      <c r="AT1435" s="48">
        <f t="shared" si="753"/>
        <v>3186.459</v>
      </c>
      <c r="AU1435" s="49">
        <f t="shared" si="1137"/>
        <v>3186.459</v>
      </c>
      <c r="AV1435" s="48"/>
      <c r="AW1435" s="34">
        <f t="shared" si="1000"/>
        <v>14118.4</v>
      </c>
      <c r="AX1435" s="50">
        <f t="shared" si="1034"/>
        <v>285.525</v>
      </c>
      <c r="AY1435" s="43"/>
      <c r="AZ1435" s="47"/>
      <c r="BA1435" s="48">
        <f t="shared" si="1080"/>
        <v>3186.459</v>
      </c>
      <c r="BB1435" s="27"/>
      <c r="BC1435" s="27"/>
      <c r="BD1435" s="51"/>
      <c r="BE1435" s="52"/>
      <c r="BF1435" s="27"/>
      <c r="BG1435" s="53">
        <v>0.0</v>
      </c>
      <c r="BH1435" s="53" t="str">
        <f>'[1]2023'!Q1651</f>
        <v>#REF!</v>
      </c>
      <c r="BI1435" s="27"/>
      <c r="BJ1435" s="27"/>
      <c r="BK1435" s="27" t="s">
        <v>76</v>
      </c>
      <c r="BL1435" s="27"/>
    </row>
    <row r="1436" ht="14.25" customHeight="1">
      <c r="A1436" s="26" t="s">
        <v>55</v>
      </c>
      <c r="B1436" s="26" t="s">
        <v>56</v>
      </c>
      <c r="C1436" s="26" t="s">
        <v>57</v>
      </c>
      <c r="D1436" s="26" t="s">
        <v>81</v>
      </c>
      <c r="E1436" s="27" t="s">
        <v>4640</v>
      </c>
      <c r="F1436" s="26" t="s">
        <v>4641</v>
      </c>
      <c r="G1436" s="29">
        <v>45264.0</v>
      </c>
      <c r="H1436" s="30">
        <v>45264.0</v>
      </c>
      <c r="I1436" s="30">
        <v>45629.0</v>
      </c>
      <c r="J1436" s="31">
        <v>0.0</v>
      </c>
      <c r="K1436" s="26" t="s">
        <v>420</v>
      </c>
      <c r="L1436" s="32" t="s">
        <v>75</v>
      </c>
      <c r="M1436" s="33">
        <v>13000.0</v>
      </c>
      <c r="N1436" s="34">
        <v>13908.0</v>
      </c>
      <c r="O1436" s="27" t="s">
        <v>76</v>
      </c>
      <c r="P1436" s="35" t="s">
        <v>104</v>
      </c>
      <c r="Q1436" s="35" t="s">
        <v>65</v>
      </c>
      <c r="R1436" s="36">
        <v>45264.0</v>
      </c>
      <c r="S1436" s="35" t="s">
        <v>86</v>
      </c>
      <c r="T1436" s="35">
        <v>0.0</v>
      </c>
      <c r="U1436" s="37" t="s">
        <v>67</v>
      </c>
      <c r="V1436" s="38"/>
      <c r="W1436" s="38"/>
      <c r="X1436" s="27"/>
      <c r="Y1436" s="39"/>
      <c r="Z1436" s="39"/>
      <c r="AA1436" s="39"/>
      <c r="AB1436" s="40"/>
      <c r="AC1436" s="27">
        <f t="shared" si="1115"/>
        <v>0</v>
      </c>
      <c r="AD1436" s="41"/>
      <c r="AE1436" s="42"/>
      <c r="AF1436" s="27"/>
      <c r="AG1436" s="43">
        <f t="shared" ref="AG1436:AG1438" si="1138">IF(O1436="Paid",IF(A1436="Alwataniya",(M1436*21%)-((M1436*21%)*5%),IF((A1436="GIG"),(M1436*25%)-((M1436*25%)*5%),IF((A1436="Allianz"),(M1436*27%)-((M1436*27%)*5%),0))),0)</f>
        <v>3334.5</v>
      </c>
      <c r="AH1436" s="29"/>
      <c r="AI1436" s="29"/>
      <c r="AJ1436" s="29"/>
      <c r="AK1436" s="29"/>
      <c r="AL1436" s="27"/>
      <c r="AM1436" s="44"/>
      <c r="AN1436" s="47"/>
      <c r="AO1436" s="46"/>
      <c r="AP1436" s="47"/>
      <c r="AQ1436" s="43">
        <f t="shared" ref="AQ1436:AQ1437" si="1139">IF(U1436="Motor Plus",(M1436*27%),IF(U1436="Motor One",(M1436*22%),(IF(U1436="Golden",(M1436*25%),(IF(U1436="Classic",(M1436*15%),(IF(U1436="Wethaq",(M1436*28%),IF(U1436="Alwataniya",(M1436*21%))*0))))))))</f>
        <v>3510</v>
      </c>
      <c r="AR1436" s="43">
        <f t="shared" si="448"/>
        <v>175.5</v>
      </c>
      <c r="AS1436" s="43">
        <f t="shared" si="449"/>
        <v>614.25</v>
      </c>
      <c r="AT1436" s="48">
        <f t="shared" si="753"/>
        <v>2720.25</v>
      </c>
      <c r="AU1436" s="49">
        <f t="shared" ref="AU1436:AU1440" si="1140">AQ1436-AR1436-AS1436-AC1436</f>
        <v>2720.25</v>
      </c>
      <c r="AV1436" s="48"/>
      <c r="AW1436" s="34">
        <f t="shared" si="1000"/>
        <v>13908</v>
      </c>
      <c r="AX1436" s="50">
        <f t="shared" si="1034"/>
        <v>2720.25</v>
      </c>
      <c r="AY1436" s="43"/>
      <c r="AZ1436" s="27"/>
      <c r="BA1436" s="48">
        <f t="shared" si="1080"/>
        <v>2720.25</v>
      </c>
      <c r="BB1436" s="27"/>
      <c r="BC1436" s="27"/>
      <c r="BD1436" s="51"/>
      <c r="BE1436" s="52"/>
      <c r="BF1436" s="27" t="s">
        <v>4640</v>
      </c>
      <c r="BG1436" s="53">
        <v>0.0</v>
      </c>
      <c r="BH1436" s="53" t="str">
        <f>'[1]2023'!Q454</f>
        <v>#REF!</v>
      </c>
      <c r="BI1436" s="27"/>
      <c r="BJ1436" s="27"/>
      <c r="BK1436" s="27" t="s">
        <v>76</v>
      </c>
      <c r="BL1436" s="27"/>
    </row>
    <row r="1437" ht="14.25" customHeight="1">
      <c r="A1437" s="26" t="s">
        <v>55</v>
      </c>
      <c r="B1437" s="26" t="s">
        <v>56</v>
      </c>
      <c r="C1437" s="26" t="s">
        <v>57</v>
      </c>
      <c r="D1437" s="26" t="s">
        <v>81</v>
      </c>
      <c r="E1437" s="27" t="s">
        <v>4642</v>
      </c>
      <c r="F1437" s="28" t="s">
        <v>4643</v>
      </c>
      <c r="G1437" s="29">
        <v>45264.0</v>
      </c>
      <c r="H1437" s="30">
        <v>45264.0</v>
      </c>
      <c r="I1437" s="30">
        <v>45629.0</v>
      </c>
      <c r="J1437" s="31">
        <v>0.0</v>
      </c>
      <c r="K1437" s="26" t="s">
        <v>420</v>
      </c>
      <c r="L1437" s="32" t="s">
        <v>75</v>
      </c>
      <c r="M1437" s="33">
        <v>28320.0</v>
      </c>
      <c r="N1437" s="34">
        <v>30131.88</v>
      </c>
      <c r="O1437" s="27" t="s">
        <v>76</v>
      </c>
      <c r="P1437" s="35" t="s">
        <v>122</v>
      </c>
      <c r="Q1437" s="35" t="s">
        <v>90</v>
      </c>
      <c r="R1437" s="36">
        <v>45264.0</v>
      </c>
      <c r="S1437" s="35" t="s">
        <v>86</v>
      </c>
      <c r="T1437" s="35">
        <v>0.0</v>
      </c>
      <c r="U1437" s="37" t="s">
        <v>67</v>
      </c>
      <c r="V1437" s="38"/>
      <c r="W1437" s="38"/>
      <c r="X1437" s="27"/>
      <c r="Y1437" s="39"/>
      <c r="Z1437" s="39">
        <v>3008.0</v>
      </c>
      <c r="AA1437" s="39"/>
      <c r="AB1437" s="40"/>
      <c r="AC1437" s="27">
        <f t="shared" si="1115"/>
        <v>0</v>
      </c>
      <c r="AD1437" s="41">
        <f>IF(AND(S1437="0",O1437="Paid"),M1437*15%,0)</f>
        <v>4248</v>
      </c>
      <c r="AE1437" s="42"/>
      <c r="AF1437" s="27"/>
      <c r="AG1437" s="43">
        <f t="shared" si="1138"/>
        <v>7264.08</v>
      </c>
      <c r="AH1437" s="29"/>
      <c r="AI1437" s="29"/>
      <c r="AJ1437" s="29"/>
      <c r="AK1437" s="29"/>
      <c r="AL1437" s="27"/>
      <c r="AM1437" s="44"/>
      <c r="AN1437" s="93"/>
      <c r="AO1437" s="46"/>
      <c r="AP1437" s="47"/>
      <c r="AQ1437" s="43">
        <f t="shared" si="1139"/>
        <v>7646.4</v>
      </c>
      <c r="AR1437" s="43">
        <f t="shared" si="448"/>
        <v>382.32</v>
      </c>
      <c r="AS1437" s="43">
        <f t="shared" si="449"/>
        <v>1338.12</v>
      </c>
      <c r="AT1437" s="48">
        <f t="shared" si="753"/>
        <v>5925.96</v>
      </c>
      <c r="AU1437" s="49">
        <f t="shared" si="1140"/>
        <v>5925.96</v>
      </c>
      <c r="AV1437" s="48"/>
      <c r="AW1437" s="34">
        <f t="shared" si="1000"/>
        <v>25883.88</v>
      </c>
      <c r="AX1437" s="50">
        <f t="shared" si="1034"/>
        <v>1677.96</v>
      </c>
      <c r="AY1437" s="43"/>
      <c r="AZ1437" s="43"/>
      <c r="BA1437" s="48">
        <f t="shared" si="1080"/>
        <v>5925.96</v>
      </c>
      <c r="BB1437" s="27"/>
      <c r="BC1437" s="27"/>
      <c r="BD1437" s="51"/>
      <c r="BE1437" s="52"/>
      <c r="BF1437" s="27" t="s">
        <v>4642</v>
      </c>
      <c r="BG1437" s="53">
        <v>0.0</v>
      </c>
      <c r="BH1437" s="53" t="str">
        <f>'[1]2023'!Q464</f>
        <v>#REF!</v>
      </c>
      <c r="BI1437" s="27"/>
      <c r="BJ1437" s="27"/>
      <c r="BK1437" s="27" t="s">
        <v>76</v>
      </c>
      <c r="BL1437" s="27"/>
    </row>
    <row r="1438" ht="14.25" customHeight="1">
      <c r="A1438" s="26" t="s">
        <v>55</v>
      </c>
      <c r="B1438" s="26" t="s">
        <v>56</v>
      </c>
      <c r="C1438" s="26" t="s">
        <v>57</v>
      </c>
      <c r="D1438" s="26" t="s">
        <v>81</v>
      </c>
      <c r="E1438" s="27" t="s">
        <v>4644</v>
      </c>
      <c r="F1438" s="28" t="s">
        <v>4645</v>
      </c>
      <c r="G1438" s="29">
        <v>45264.0</v>
      </c>
      <c r="H1438" s="30">
        <v>45264.0</v>
      </c>
      <c r="I1438" s="30">
        <v>45629.0</v>
      </c>
      <c r="J1438" s="31">
        <v>0.0</v>
      </c>
      <c r="K1438" s="26" t="s">
        <v>420</v>
      </c>
      <c r="L1438" s="32" t="s">
        <v>63</v>
      </c>
      <c r="M1438" s="33">
        <v>0.0</v>
      </c>
      <c r="N1438" s="34">
        <v>0.0</v>
      </c>
      <c r="O1438" s="27" t="s">
        <v>64</v>
      </c>
      <c r="P1438" s="35">
        <v>0.0</v>
      </c>
      <c r="Q1438" s="35" t="s">
        <v>85</v>
      </c>
      <c r="R1438" s="36">
        <v>45264.0</v>
      </c>
      <c r="S1438" s="35" t="s">
        <v>86</v>
      </c>
      <c r="T1438" s="35">
        <v>0.0</v>
      </c>
      <c r="U1438" s="37" t="s">
        <v>67</v>
      </c>
      <c r="V1438" s="38"/>
      <c r="W1438" s="38"/>
      <c r="X1438" s="27"/>
      <c r="Y1438" s="39"/>
      <c r="Z1438" s="39"/>
      <c r="AA1438" s="39"/>
      <c r="AB1438" s="40"/>
      <c r="AC1438" s="27">
        <f t="shared" si="1115"/>
        <v>0</v>
      </c>
      <c r="AD1438" s="41">
        <f>IF(AND(S1438="0",O1438="Paid"),(M1438*15%)-AC1438,0)</f>
        <v>0</v>
      </c>
      <c r="AE1438" s="42"/>
      <c r="AF1438" s="27"/>
      <c r="AG1438" s="43">
        <f t="shared" si="1138"/>
        <v>0</v>
      </c>
      <c r="AH1438" s="29"/>
      <c r="AI1438" s="29"/>
      <c r="AJ1438" s="29"/>
      <c r="AK1438" s="29"/>
      <c r="AL1438" s="27"/>
      <c r="AM1438" s="44"/>
      <c r="AN1438" s="93"/>
      <c r="AO1438" s="46"/>
      <c r="AP1438" s="47"/>
      <c r="AQ1438" s="43" t="b">
        <f>IF(O1438="Paid",IF(U1438="Motor Plus",(M1438*27%),IF(U1438="Motor One",(M1438*22%),(IF(U1438="Golden",(M1438*25%),(IF(U1438="Classic",(M1438*15%),(IF(U1438="Wethaq",(M1438*28%),IF(U1438="Alwataniya",(M1438*21%))*0)))))))))</f>
        <v>0</v>
      </c>
      <c r="AR1438" s="43">
        <f t="shared" si="448"/>
        <v>0</v>
      </c>
      <c r="AS1438" s="43">
        <f t="shared" si="449"/>
        <v>0</v>
      </c>
      <c r="AT1438" s="48">
        <f t="shared" si="753"/>
        <v>0</v>
      </c>
      <c r="AU1438" s="49">
        <f t="shared" si="1140"/>
        <v>0</v>
      </c>
      <c r="AV1438" s="48"/>
      <c r="AW1438" s="34">
        <f t="shared" si="1000"/>
        <v>0</v>
      </c>
      <c r="AX1438" s="50">
        <f t="shared" si="1034"/>
        <v>0</v>
      </c>
      <c r="AY1438" s="43"/>
      <c r="AZ1438" s="43"/>
      <c r="BA1438" s="48">
        <f t="shared" si="1080"/>
        <v>0</v>
      </c>
      <c r="BB1438" s="27"/>
      <c r="BC1438" s="27"/>
      <c r="BD1438" s="51"/>
      <c r="BE1438" s="52"/>
      <c r="BF1438" s="27" t="s">
        <v>4644</v>
      </c>
      <c r="BG1438" s="53">
        <v>0.0</v>
      </c>
      <c r="BH1438" s="53" t="str">
        <f>'[1]2023'!Q476</f>
        <v>#REF!</v>
      </c>
      <c r="BI1438" s="27"/>
      <c r="BJ1438" s="27"/>
      <c r="BK1438" s="27" t="s">
        <v>64</v>
      </c>
      <c r="BL1438" s="27"/>
    </row>
    <row r="1439" ht="14.25" customHeight="1">
      <c r="A1439" s="26" t="s">
        <v>111</v>
      </c>
      <c r="B1439" s="26" t="s">
        <v>56</v>
      </c>
      <c r="C1439" s="26" t="s">
        <v>57</v>
      </c>
      <c r="D1439" s="26" t="s">
        <v>71</v>
      </c>
      <c r="E1439" s="27" t="s">
        <v>4646</v>
      </c>
      <c r="F1439" s="28" t="s">
        <v>4647</v>
      </c>
      <c r="G1439" s="29">
        <v>45264.0</v>
      </c>
      <c r="H1439" s="30">
        <v>45264.0</v>
      </c>
      <c r="I1439" s="30">
        <v>45629.0</v>
      </c>
      <c r="J1439" s="31" t="s">
        <v>4648</v>
      </c>
      <c r="K1439" s="26" t="s">
        <v>420</v>
      </c>
      <c r="L1439" s="69">
        <v>45264.0</v>
      </c>
      <c r="M1439" s="33">
        <v>120060.62</v>
      </c>
      <c r="N1439" s="34">
        <v>127400.0</v>
      </c>
      <c r="O1439" s="27" t="s">
        <v>76</v>
      </c>
      <c r="P1439" s="35" t="s">
        <v>509</v>
      </c>
      <c r="Q1439" s="35" t="s">
        <v>108</v>
      </c>
      <c r="R1439" s="36">
        <v>45273.0</v>
      </c>
      <c r="S1439" s="35" t="s">
        <v>86</v>
      </c>
      <c r="T1439" s="35">
        <v>0.0</v>
      </c>
      <c r="U1439" s="37" t="s">
        <v>115</v>
      </c>
      <c r="V1439" s="38"/>
      <c r="W1439" s="38"/>
      <c r="X1439" s="27"/>
      <c r="Y1439" s="39"/>
      <c r="Z1439" s="39"/>
      <c r="AA1439" s="39"/>
      <c r="AB1439" s="40"/>
      <c r="AC1439" s="27">
        <f t="shared" si="1115"/>
        <v>0</v>
      </c>
      <c r="AD1439" s="41">
        <f t="shared" ref="AD1439:AD1440" si="1141">IF(AND(S1439="0",O1439="Paid"),M1439*15%,0)</f>
        <v>18009.093</v>
      </c>
      <c r="AE1439" s="42">
        <v>2400.0</v>
      </c>
      <c r="AF1439" s="27" t="s">
        <v>75</v>
      </c>
      <c r="AG1439" s="43">
        <f t="shared" ref="AG1439:AG1440" si="1142">IF(O1439="Paid",IF(A1439="Alwataniya",(M1439*21%)-((M1439*21%)*5%),IF((A1439="GIG"),(M1439*25%)-((M1439*25%)*5%),IF((A1439="Allianz"),(M1439*27%)-((M1439*27%)*20%),0))),0)</f>
        <v>28514.39725</v>
      </c>
      <c r="AH1439" s="29" t="s">
        <v>4649</v>
      </c>
      <c r="AI1439" s="61" t="s">
        <v>75</v>
      </c>
      <c r="AJ1439" s="40"/>
      <c r="AK1439" s="62" t="s">
        <v>63</v>
      </c>
      <c r="AL1439" s="27"/>
      <c r="AM1439" s="44"/>
      <c r="AN1439" s="93"/>
      <c r="AO1439" s="46"/>
      <c r="AP1439" s="47"/>
      <c r="AQ1439" s="43">
        <f t="shared" ref="AQ1439:AQ1440" si="1143">IF(U1439="Motor Plus",(M1439*27%),IF(U1439="Motor One",(M1439*22%),(IF(U1439="Golden",(M1439*25%),(IF(U1439="Classic",(M1439*15%),(IF(U1439="Wethaq",(M1439*28%),IF(U1439="Alwataniya",(M1439*21%))*0))))))))</f>
        <v>30015.155</v>
      </c>
      <c r="AR1439" s="43">
        <f t="shared" si="448"/>
        <v>1500.75775</v>
      </c>
      <c r="AS1439" s="43">
        <f t="shared" si="449"/>
        <v>5252.652125</v>
      </c>
      <c r="AT1439" s="48">
        <f t="shared" si="753"/>
        <v>23261.74513</v>
      </c>
      <c r="AU1439" s="49">
        <f t="shared" si="1140"/>
        <v>23261.74513</v>
      </c>
      <c r="AV1439" s="48"/>
      <c r="AW1439" s="34">
        <f t="shared" si="1000"/>
        <v>106990.907</v>
      </c>
      <c r="AX1439" s="50">
        <f t="shared" si="1034"/>
        <v>2852.652125</v>
      </c>
      <c r="AY1439" s="43"/>
      <c r="AZ1439" s="43"/>
      <c r="BA1439" s="48">
        <f t="shared" si="1080"/>
        <v>23261.74513</v>
      </c>
      <c r="BB1439" s="27"/>
      <c r="BC1439" s="27"/>
      <c r="BD1439" s="51"/>
      <c r="BE1439" s="52"/>
      <c r="BF1439" s="27" t="s">
        <v>4646</v>
      </c>
      <c r="BG1439" s="53">
        <v>0.0</v>
      </c>
      <c r="BH1439" s="53" t="str">
        <f>'[1]2023'!Q492</f>
        <v>#REF!</v>
      </c>
      <c r="BI1439" s="27"/>
      <c r="BJ1439" s="27"/>
      <c r="BK1439" s="27" t="s">
        <v>76</v>
      </c>
      <c r="BL1439" s="27"/>
    </row>
    <row r="1440" ht="14.25" customHeight="1">
      <c r="A1440" s="26" t="s">
        <v>111</v>
      </c>
      <c r="B1440" s="26" t="s">
        <v>56</v>
      </c>
      <c r="C1440" s="26" t="s">
        <v>57</v>
      </c>
      <c r="D1440" s="26" t="s">
        <v>71</v>
      </c>
      <c r="E1440" s="27" t="s">
        <v>4650</v>
      </c>
      <c r="F1440" s="28" t="s">
        <v>4651</v>
      </c>
      <c r="G1440" s="29">
        <v>45264.0</v>
      </c>
      <c r="H1440" s="30">
        <v>45264.0</v>
      </c>
      <c r="I1440" s="30">
        <v>45629.0</v>
      </c>
      <c r="J1440" s="31" t="s">
        <v>4652</v>
      </c>
      <c r="K1440" s="26" t="s">
        <v>420</v>
      </c>
      <c r="L1440" s="69">
        <v>45034.0</v>
      </c>
      <c r="M1440" s="33">
        <v>15471.39</v>
      </c>
      <c r="N1440" s="34">
        <v>16640.0</v>
      </c>
      <c r="O1440" s="27" t="s">
        <v>76</v>
      </c>
      <c r="P1440" s="35" t="s">
        <v>509</v>
      </c>
      <c r="Q1440" s="35" t="s">
        <v>114</v>
      </c>
      <c r="R1440" s="36">
        <v>45273.0</v>
      </c>
      <c r="S1440" s="35" t="s">
        <v>66</v>
      </c>
      <c r="T1440" s="35">
        <v>0.0</v>
      </c>
      <c r="U1440" s="37" t="s">
        <v>115</v>
      </c>
      <c r="V1440" s="38">
        <v>640000.0</v>
      </c>
      <c r="W1440" s="38"/>
      <c r="X1440" s="27"/>
      <c r="Y1440" s="39"/>
      <c r="Z1440" s="79" t="s">
        <v>4653</v>
      </c>
      <c r="AA1440" s="39"/>
      <c r="AB1440" s="40"/>
      <c r="AC1440" s="27">
        <f t="shared" si="1115"/>
        <v>0</v>
      </c>
      <c r="AD1440" s="41">
        <f t="shared" si="1141"/>
        <v>0</v>
      </c>
      <c r="AE1440" s="42"/>
      <c r="AF1440" s="27"/>
      <c r="AG1440" s="43">
        <f t="shared" si="1142"/>
        <v>3674.455125</v>
      </c>
      <c r="AH1440" s="29" t="s">
        <v>75</v>
      </c>
      <c r="AI1440" s="61" t="s">
        <v>75</v>
      </c>
      <c r="AJ1440" s="40"/>
      <c r="AK1440" s="62" t="s">
        <v>63</v>
      </c>
      <c r="AL1440" s="27"/>
      <c r="AM1440" s="138">
        <f>((M1440*25%)-((M1440*25%)*22.5%))*30%</f>
        <v>899.2745438</v>
      </c>
      <c r="AN1440" s="122" t="s">
        <v>1038</v>
      </c>
      <c r="AO1440" s="46"/>
      <c r="AP1440" s="47"/>
      <c r="AQ1440" s="43">
        <f t="shared" si="1143"/>
        <v>3867.8475</v>
      </c>
      <c r="AR1440" s="43">
        <f t="shared" si="448"/>
        <v>193.392375</v>
      </c>
      <c r="AS1440" s="43">
        <f t="shared" si="449"/>
        <v>676.8733125</v>
      </c>
      <c r="AT1440" s="48">
        <f t="shared" si="753"/>
        <v>2997.581813</v>
      </c>
      <c r="AU1440" s="49">
        <f t="shared" si="1140"/>
        <v>2997.581813</v>
      </c>
      <c r="AV1440" s="48"/>
      <c r="AW1440" s="34">
        <f t="shared" si="1000"/>
        <v>16640</v>
      </c>
      <c r="AX1440" s="50">
        <f t="shared" si="1034"/>
        <v>2098.307269</v>
      </c>
      <c r="AY1440" s="43"/>
      <c r="AZ1440" s="43"/>
      <c r="BA1440" s="48">
        <f t="shared" si="1080"/>
        <v>2098.307269</v>
      </c>
      <c r="BB1440" s="27"/>
      <c r="BC1440" s="27"/>
      <c r="BD1440" s="51"/>
      <c r="BE1440" s="52" t="s">
        <v>440</v>
      </c>
      <c r="BF1440" s="77" t="s">
        <v>4650</v>
      </c>
      <c r="BG1440" s="53">
        <v>0.0</v>
      </c>
      <c r="BH1440" s="53" t="str">
        <f>'[1]2023'!Q498</f>
        <v>#REF!</v>
      </c>
      <c r="BI1440" s="27"/>
      <c r="BJ1440" s="27"/>
      <c r="BK1440" s="27" t="s">
        <v>76</v>
      </c>
      <c r="BL1440" s="27"/>
    </row>
    <row r="1441" ht="14.25" customHeight="1">
      <c r="A1441" s="26" t="s">
        <v>55</v>
      </c>
      <c r="B1441" s="26" t="s">
        <v>56</v>
      </c>
      <c r="C1441" s="26" t="s">
        <v>57</v>
      </c>
      <c r="D1441" s="26" t="s">
        <v>58</v>
      </c>
      <c r="E1441" s="27" t="s">
        <v>4654</v>
      </c>
      <c r="F1441" s="28" t="s">
        <v>4655</v>
      </c>
      <c r="G1441" s="29">
        <v>45264.0</v>
      </c>
      <c r="H1441" s="30">
        <v>45264.0</v>
      </c>
      <c r="I1441" s="30">
        <v>45629.0</v>
      </c>
      <c r="J1441" s="31" t="s">
        <v>86</v>
      </c>
      <c r="K1441" s="26" t="s">
        <v>3671</v>
      </c>
      <c r="L1441" s="89">
        <v>45277.0</v>
      </c>
      <c r="M1441" s="33">
        <v>3228.27</v>
      </c>
      <c r="N1441" s="34">
        <v>3418.74</v>
      </c>
      <c r="O1441" s="27" t="s">
        <v>76</v>
      </c>
      <c r="P1441" s="35" t="s">
        <v>430</v>
      </c>
      <c r="Q1441" s="35" t="s">
        <v>90</v>
      </c>
      <c r="R1441" s="36">
        <v>0.0</v>
      </c>
      <c r="S1441" s="35" t="s">
        <v>66</v>
      </c>
      <c r="T1441" s="35">
        <v>0.0</v>
      </c>
      <c r="U1441" s="37">
        <v>0.0</v>
      </c>
      <c r="V1441" s="38">
        <v>750000.0</v>
      </c>
      <c r="W1441" s="78"/>
      <c r="X1441" s="27"/>
      <c r="Y1441" s="39"/>
      <c r="Z1441" s="39"/>
      <c r="AA1441" s="39"/>
      <c r="AB1441" s="27"/>
      <c r="AC1441" s="27">
        <f t="shared" si="1115"/>
        <v>0</v>
      </c>
      <c r="AD1441" s="41">
        <f>IF(AND(S1441="0",O1441="Paid"),(M1441*15%)-AC1441,0)</f>
        <v>0</v>
      </c>
      <c r="AE1441" s="42"/>
      <c r="AF1441" s="27"/>
      <c r="AG1441" s="43">
        <f>IF(O1441="Paid",IF(A1441="Wethaq",(M1441*28%)-((M1441*28%)*5%),IF((A1441="GIG"),(M1441*25%)-((M1441*25%)*5%),IF((A1441="Allianz"),(M1441*27%)-((M1441*27%)*20%),0))),0)</f>
        <v>697.30632</v>
      </c>
      <c r="AH1441" s="29"/>
      <c r="AI1441" s="29"/>
      <c r="AJ1441" s="29"/>
      <c r="AK1441" s="29"/>
      <c r="AL1441" s="27"/>
      <c r="AM1441" s="44"/>
      <c r="AN1441" s="47"/>
      <c r="AO1441" s="46"/>
      <c r="AP1441" s="47"/>
      <c r="AQ1441" s="43">
        <f>IF(O1441="Paid",IF(U1441="Motor Plus",(M1441*27%),IF(U1441="Motor One",(M1441*22%),(IF(U1441="Golden",(M1441*25%),(IF(U1441="Classic",(M1441*15%),(IF(U1441="Wethaq",(M1441*28%),IF(U1441="Alwataniya",(M1441*21%))*0)))))))))</f>
        <v>0</v>
      </c>
      <c r="AR1441" s="43">
        <f t="shared" si="448"/>
        <v>0</v>
      </c>
      <c r="AS1441" s="43">
        <f t="shared" si="449"/>
        <v>0</v>
      </c>
      <c r="AT1441" s="48">
        <f t="shared" si="753"/>
        <v>0</v>
      </c>
      <c r="AU1441" s="49">
        <f>AQ1441-AR1441-AS1441-AC1441-AO1441</f>
        <v>0</v>
      </c>
      <c r="AV1441" s="48"/>
      <c r="AW1441" s="34">
        <f t="shared" si="1000"/>
        <v>3418.74</v>
      </c>
      <c r="AX1441" s="50">
        <f t="shared" si="1034"/>
        <v>697.30632</v>
      </c>
      <c r="AY1441" s="43"/>
      <c r="AZ1441" s="47"/>
      <c r="BA1441" s="48">
        <f t="shared" si="1080"/>
        <v>0</v>
      </c>
      <c r="BB1441" s="27"/>
      <c r="BC1441" s="27"/>
      <c r="BD1441" s="51"/>
      <c r="BE1441" s="52"/>
      <c r="BF1441" s="27"/>
      <c r="BG1441" s="53">
        <v>0.0</v>
      </c>
      <c r="BH1441" s="53" t="str">
        <f>'[1]2023'!Q1681</f>
        <v>#REF!</v>
      </c>
      <c r="BI1441" s="27"/>
      <c r="BJ1441" s="27"/>
      <c r="BK1441" s="27" t="s">
        <v>1102</v>
      </c>
      <c r="BL1441" s="27"/>
    </row>
    <row r="1442" ht="14.25" customHeight="1">
      <c r="A1442" s="26" t="s">
        <v>55</v>
      </c>
      <c r="B1442" s="26" t="s">
        <v>56</v>
      </c>
      <c r="C1442" s="26" t="s">
        <v>57</v>
      </c>
      <c r="D1442" s="26" t="s">
        <v>81</v>
      </c>
      <c r="E1442" s="27" t="s">
        <v>4656</v>
      </c>
      <c r="F1442" s="28" t="s">
        <v>4657</v>
      </c>
      <c r="G1442" s="29">
        <v>45265.0</v>
      </c>
      <c r="H1442" s="30">
        <v>45265.0</v>
      </c>
      <c r="I1442" s="30">
        <v>45630.0</v>
      </c>
      <c r="J1442" s="31">
        <v>0.0</v>
      </c>
      <c r="K1442" s="26" t="s">
        <v>427</v>
      </c>
      <c r="L1442" s="32" t="s">
        <v>75</v>
      </c>
      <c r="M1442" s="33">
        <v>13275.0</v>
      </c>
      <c r="N1442" s="34">
        <v>14199.23</v>
      </c>
      <c r="O1442" s="27" t="s">
        <v>76</v>
      </c>
      <c r="P1442" s="35" t="s">
        <v>89</v>
      </c>
      <c r="Q1442" s="35" t="s">
        <v>65</v>
      </c>
      <c r="R1442" s="36">
        <v>45265.0</v>
      </c>
      <c r="S1442" s="35" t="s">
        <v>86</v>
      </c>
      <c r="T1442" s="35">
        <v>0.0</v>
      </c>
      <c r="U1442" s="37" t="s">
        <v>67</v>
      </c>
      <c r="V1442" s="38"/>
      <c r="W1442" s="38"/>
      <c r="X1442" s="27"/>
      <c r="Y1442" s="39"/>
      <c r="Z1442" s="39"/>
      <c r="AA1442" s="39"/>
      <c r="AB1442" s="40"/>
      <c r="AC1442" s="27">
        <f t="shared" si="1115"/>
        <v>0</v>
      </c>
      <c r="AD1442" s="41"/>
      <c r="AE1442" s="42"/>
      <c r="AF1442" s="27"/>
      <c r="AG1442" s="43">
        <f t="shared" ref="AG1442:AG1443" si="1144">IF(O1442="Paid",IF(A1442="Alwataniya",(M1442*21%)-((M1442*21%)*5%),IF((A1442="GIG"),(M1442*25%)-((M1442*25%)*5%),IF((A1442="Allianz"),(M1442*27%)-((M1442*27%)*5%),0))),0)</f>
        <v>3405.0375</v>
      </c>
      <c r="AH1442" s="29"/>
      <c r="AI1442" s="29"/>
      <c r="AJ1442" s="29"/>
      <c r="AK1442" s="29"/>
      <c r="AL1442" s="27"/>
      <c r="AM1442" s="44"/>
      <c r="AN1442" s="93"/>
      <c r="AO1442" s="46"/>
      <c r="AP1442" s="47"/>
      <c r="AQ1442" s="43">
        <f t="shared" ref="AQ1442:AQ1443" si="1145">IF(U1442="Motor Plus",(M1442*27%),IF(U1442="Motor One",(M1442*22%),(IF(U1442="Golden",(M1442*25%),(IF(U1442="Classic",(M1442*15%),(IF(U1442="Wethaq",(M1442*28%),IF(U1442="Alwataniya",(M1442*21%))*0))))))))</f>
        <v>3584.25</v>
      </c>
      <c r="AR1442" s="43">
        <f t="shared" si="448"/>
        <v>179.2125</v>
      </c>
      <c r="AS1442" s="43">
        <f t="shared" si="449"/>
        <v>627.24375</v>
      </c>
      <c r="AT1442" s="48">
        <f t="shared" si="753"/>
        <v>2777.79375</v>
      </c>
      <c r="AU1442" s="49">
        <f t="shared" ref="AU1442:AU1443" si="1146">AQ1442-AR1442-AS1442-AC1442</f>
        <v>2777.79375</v>
      </c>
      <c r="AV1442" s="48"/>
      <c r="AW1442" s="34">
        <f t="shared" si="1000"/>
        <v>14199.23</v>
      </c>
      <c r="AX1442" s="50">
        <f t="shared" si="1034"/>
        <v>2777.79375</v>
      </c>
      <c r="AY1442" s="43"/>
      <c r="AZ1442" s="43"/>
      <c r="BA1442" s="48">
        <f t="shared" si="1080"/>
        <v>2777.79375</v>
      </c>
      <c r="BB1442" s="27"/>
      <c r="BC1442" s="27"/>
      <c r="BD1442" s="51"/>
      <c r="BE1442" s="52"/>
      <c r="BF1442" s="27" t="s">
        <v>4656</v>
      </c>
      <c r="BG1442" s="53">
        <v>0.0</v>
      </c>
      <c r="BH1442" s="53" t="str">
        <f>'[1]2023'!Q597</f>
        <v>#REF!</v>
      </c>
      <c r="BI1442" s="27"/>
      <c r="BJ1442" s="27"/>
      <c r="BK1442" s="27" t="s">
        <v>76</v>
      </c>
      <c r="BL1442" s="27"/>
    </row>
    <row r="1443" ht="14.25" customHeight="1">
      <c r="A1443" s="26" t="s">
        <v>55</v>
      </c>
      <c r="B1443" s="26" t="s">
        <v>56</v>
      </c>
      <c r="C1443" s="26" t="s">
        <v>57</v>
      </c>
      <c r="D1443" s="26" t="s">
        <v>58</v>
      </c>
      <c r="E1443" s="27" t="s">
        <v>4658</v>
      </c>
      <c r="F1443" s="28" t="s">
        <v>4659</v>
      </c>
      <c r="G1443" s="29">
        <v>45266.0</v>
      </c>
      <c r="H1443" s="30">
        <v>45266.0</v>
      </c>
      <c r="I1443" s="30">
        <v>45631.0</v>
      </c>
      <c r="J1443" s="31" t="s">
        <v>1163</v>
      </c>
      <c r="K1443" s="26" t="s">
        <v>440</v>
      </c>
      <c r="L1443" s="32" t="s">
        <v>75</v>
      </c>
      <c r="M1443" s="33">
        <v>4867.12</v>
      </c>
      <c r="N1443" s="34">
        <v>5154.28</v>
      </c>
      <c r="O1443" s="27" t="s">
        <v>76</v>
      </c>
      <c r="P1443" s="35" t="s">
        <v>89</v>
      </c>
      <c r="Q1443" s="35" t="s">
        <v>65</v>
      </c>
      <c r="R1443" s="36">
        <v>45266.0</v>
      </c>
      <c r="S1443" s="35" t="s">
        <v>86</v>
      </c>
      <c r="T1443" s="35">
        <v>0.0</v>
      </c>
      <c r="U1443" s="37" t="s">
        <v>67</v>
      </c>
      <c r="V1443" s="38"/>
      <c r="W1443" s="38"/>
      <c r="X1443" s="27"/>
      <c r="Y1443" s="39"/>
      <c r="Z1443" s="39"/>
      <c r="AA1443" s="39"/>
      <c r="AB1443" s="40"/>
      <c r="AC1443" s="27">
        <f t="shared" si="1115"/>
        <v>0</v>
      </c>
      <c r="AD1443" s="41"/>
      <c r="AE1443" s="42"/>
      <c r="AF1443" s="27"/>
      <c r="AG1443" s="43">
        <f t="shared" si="1144"/>
        <v>1248.41628</v>
      </c>
      <c r="AH1443" s="29"/>
      <c r="AI1443" s="29"/>
      <c r="AJ1443" s="29"/>
      <c r="AK1443" s="29"/>
      <c r="AL1443" s="27"/>
      <c r="AM1443" s="44">
        <f>((M1443*25%)-AC1443-((M1443*25%)*22.5%))*30%</f>
        <v>282.90135</v>
      </c>
      <c r="AN1443" s="179">
        <v>45148.0</v>
      </c>
      <c r="AO1443" s="46"/>
      <c r="AP1443" s="47"/>
      <c r="AQ1443" s="43">
        <f t="shared" si="1145"/>
        <v>1314.1224</v>
      </c>
      <c r="AR1443" s="43">
        <f t="shared" si="448"/>
        <v>65.70612</v>
      </c>
      <c r="AS1443" s="43">
        <f t="shared" si="449"/>
        <v>229.97142</v>
      </c>
      <c r="AT1443" s="48">
        <f t="shared" si="753"/>
        <v>1018.44486</v>
      </c>
      <c r="AU1443" s="49">
        <f t="shared" si="1146"/>
        <v>1018.44486</v>
      </c>
      <c r="AV1443" s="48"/>
      <c r="AW1443" s="34">
        <f t="shared" si="1000"/>
        <v>5154.28</v>
      </c>
      <c r="AX1443" s="50">
        <f t="shared" si="1034"/>
        <v>735.54351</v>
      </c>
      <c r="AY1443" s="43"/>
      <c r="AZ1443" s="43"/>
      <c r="BA1443" s="48">
        <f t="shared" si="1080"/>
        <v>735.54351</v>
      </c>
      <c r="BB1443" s="27"/>
      <c r="BC1443" s="27"/>
      <c r="BD1443" s="51"/>
      <c r="BE1443" s="52"/>
      <c r="BF1443" s="27" t="s">
        <v>4658</v>
      </c>
      <c r="BG1443" s="53">
        <v>0.0</v>
      </c>
      <c r="BH1443" s="53" t="str">
        <f>'[1]2023'!Q836</f>
        <v>#REF!</v>
      </c>
      <c r="BI1443" s="27"/>
      <c r="BJ1443" s="27"/>
      <c r="BK1443" s="27" t="s">
        <v>76</v>
      </c>
      <c r="BL1443" s="27"/>
    </row>
    <row r="1444" ht="14.25" customHeight="1">
      <c r="A1444" s="26" t="s">
        <v>111</v>
      </c>
      <c r="B1444" s="26" t="s">
        <v>56</v>
      </c>
      <c r="C1444" s="26" t="s">
        <v>57</v>
      </c>
      <c r="D1444" s="26" t="s">
        <v>71</v>
      </c>
      <c r="E1444" s="27" t="s">
        <v>4660</v>
      </c>
      <c r="F1444" s="28" t="s">
        <v>4661</v>
      </c>
      <c r="G1444" s="29">
        <v>45266.0</v>
      </c>
      <c r="H1444" s="30">
        <v>45266.0</v>
      </c>
      <c r="I1444" s="30">
        <v>45631.0</v>
      </c>
      <c r="J1444" s="31" t="s">
        <v>4662</v>
      </c>
      <c r="K1444" s="26" t="s">
        <v>440</v>
      </c>
      <c r="L1444" s="32" t="s">
        <v>75</v>
      </c>
      <c r="M1444" s="33">
        <v>10003.97</v>
      </c>
      <c r="N1444" s="34">
        <v>10850.0</v>
      </c>
      <c r="O1444" s="27" t="s">
        <v>76</v>
      </c>
      <c r="P1444" s="35" t="s">
        <v>430</v>
      </c>
      <c r="Q1444" s="35" t="s">
        <v>114</v>
      </c>
      <c r="R1444" s="36">
        <v>45275.0</v>
      </c>
      <c r="S1444" s="35" t="s">
        <v>66</v>
      </c>
      <c r="T1444" s="35">
        <v>0.0</v>
      </c>
      <c r="U1444" s="37" t="s">
        <v>149</v>
      </c>
      <c r="V1444" s="38">
        <v>500000.0</v>
      </c>
      <c r="W1444" s="38"/>
      <c r="X1444" s="27"/>
      <c r="Y1444" s="39"/>
      <c r="Z1444" s="79" t="s">
        <v>4663</v>
      </c>
      <c r="AA1444" s="39"/>
      <c r="AB1444" s="40"/>
      <c r="AC1444" s="27">
        <f t="shared" si="1115"/>
        <v>0</v>
      </c>
      <c r="AD1444" s="41">
        <f t="shared" ref="AD1444:AD1448" si="1147">IF(AND(S1444="0",O1444="Paid"),(M1444*15%)-AC1444,0)</f>
        <v>0</v>
      </c>
      <c r="AE1444" s="42"/>
      <c r="AF1444" s="27"/>
      <c r="AG1444" s="43">
        <f>IF(AND(O1444="Paid",A1444="GIG"),((M1444*15%)-(((M1444*15%)*5%))),0)</f>
        <v>1425.565725</v>
      </c>
      <c r="AH1444" s="29" t="s">
        <v>901</v>
      </c>
      <c r="AI1444" s="29" t="s">
        <v>902</v>
      </c>
      <c r="AJ1444" s="40"/>
      <c r="AK1444" s="62" t="s">
        <v>63</v>
      </c>
      <c r="AL1444" s="27"/>
      <c r="AM1444" s="44">
        <f>((M1444*15%)-((M1444*15%)*22.5%))*30%</f>
        <v>348.8884538</v>
      </c>
      <c r="AN1444" s="136" t="s">
        <v>1038</v>
      </c>
      <c r="AO1444" s="46"/>
      <c r="AP1444" s="47"/>
      <c r="AQ1444" s="43">
        <f>M1444*25%</f>
        <v>2500.9925</v>
      </c>
      <c r="AR1444" s="43">
        <f t="shared" si="448"/>
        <v>125.049625</v>
      </c>
      <c r="AS1444" s="43">
        <f t="shared" si="449"/>
        <v>437.6736875</v>
      </c>
      <c r="AT1444" s="48">
        <f t="shared" si="753"/>
        <v>1938.269188</v>
      </c>
      <c r="AU1444" s="48">
        <f>AQ1444-AR1444</f>
        <v>2375.942875</v>
      </c>
      <c r="AV1444" s="48"/>
      <c r="AW1444" s="34">
        <f t="shared" si="1000"/>
        <v>10850</v>
      </c>
      <c r="AX1444" s="50">
        <f t="shared" si="1034"/>
        <v>639.0035838</v>
      </c>
      <c r="AY1444" s="43">
        <f>AG1444-(AG1444*22.5%)</f>
        <v>1104.813437</v>
      </c>
      <c r="AZ1444" s="43"/>
      <c r="BA1444" s="48">
        <f t="shared" si="1080"/>
        <v>2027.054421</v>
      </c>
      <c r="BB1444" s="27"/>
      <c r="BC1444" s="27"/>
      <c r="BD1444" s="51"/>
      <c r="BE1444" s="52" t="s">
        <v>440</v>
      </c>
      <c r="BF1444" s="27" t="s">
        <v>4660</v>
      </c>
      <c r="BG1444" s="64" t="s">
        <v>562</v>
      </c>
      <c r="BH1444" s="53" t="str">
        <f>'[1]2023'!Q847</f>
        <v>#REF!</v>
      </c>
      <c r="BI1444" s="27"/>
      <c r="BJ1444" s="27"/>
      <c r="BK1444" s="27" t="s">
        <v>76</v>
      </c>
      <c r="BL1444" s="27"/>
    </row>
    <row r="1445" ht="14.25" customHeight="1">
      <c r="A1445" s="26" t="s">
        <v>55</v>
      </c>
      <c r="B1445" s="26" t="s">
        <v>56</v>
      </c>
      <c r="C1445" s="26" t="s">
        <v>57</v>
      </c>
      <c r="D1445" s="26" t="s">
        <v>81</v>
      </c>
      <c r="E1445" s="27" t="s">
        <v>4664</v>
      </c>
      <c r="F1445" s="28" t="s">
        <v>3077</v>
      </c>
      <c r="G1445" s="29">
        <v>45266.0</v>
      </c>
      <c r="H1445" s="30">
        <v>45266.0</v>
      </c>
      <c r="I1445" s="30">
        <v>45631.0</v>
      </c>
      <c r="J1445" s="31" t="s">
        <v>3078</v>
      </c>
      <c r="K1445" s="26" t="s">
        <v>4489</v>
      </c>
      <c r="L1445" s="89">
        <v>45256.0</v>
      </c>
      <c r="M1445" s="33">
        <v>21714.0</v>
      </c>
      <c r="N1445" s="34">
        <v>23303.69</v>
      </c>
      <c r="O1445" s="27" t="s">
        <v>76</v>
      </c>
      <c r="P1445" s="35" t="s">
        <v>430</v>
      </c>
      <c r="Q1445" s="35" t="s">
        <v>90</v>
      </c>
      <c r="R1445" s="36">
        <v>45266.0</v>
      </c>
      <c r="S1445" s="35" t="s">
        <v>86</v>
      </c>
      <c r="T1445" s="35">
        <v>0.0</v>
      </c>
      <c r="U1445" s="37" t="s">
        <v>67</v>
      </c>
      <c r="V1445" s="38">
        <v>1100000.0</v>
      </c>
      <c r="W1445" s="78">
        <v>514247.0</v>
      </c>
      <c r="X1445" s="27">
        <v>2021.0</v>
      </c>
      <c r="Y1445" s="79" t="s">
        <v>232</v>
      </c>
      <c r="Z1445" s="39"/>
      <c r="AA1445" s="39"/>
      <c r="AB1445" s="27"/>
      <c r="AC1445" s="27">
        <f t="shared" si="1115"/>
        <v>0</v>
      </c>
      <c r="AD1445" s="41">
        <f t="shared" si="1147"/>
        <v>3257.1</v>
      </c>
      <c r="AE1445" s="42"/>
      <c r="AF1445" s="27"/>
      <c r="AG1445" s="43">
        <f t="shared" ref="AG1445:AG1447" si="1148">IF(O1445="Paid",IF(A1445="Wethaq",(M1445*28%)-((M1445*28%)*5%),IF((A1445="GIG"),(M1445*25%)-((M1445*25%)*5%),IF((A1445="Allianz"),(M1445*27%)-((M1445*27%)*20%),0))),0)</f>
        <v>4690.224</v>
      </c>
      <c r="AH1445" s="29"/>
      <c r="AI1445" s="29"/>
      <c r="AJ1445" s="29"/>
      <c r="AK1445" s="29"/>
      <c r="AL1445" s="27"/>
      <c r="AM1445" s="44"/>
      <c r="AN1445" s="47"/>
      <c r="AO1445" s="46"/>
      <c r="AP1445" s="47"/>
      <c r="AQ1445" s="43">
        <f t="shared" ref="AQ1445:AQ1447" si="1149">IF(O1445="Paid",IF(U1445="Motor Plus",(M1445*27%),IF(U1445="Motor One",(M1445*22%),(IF(U1445="Golden",(M1445*25%),(IF(U1445="Classic",(M1445*15%),(IF(U1445="Wethaq",(M1445*28%),IF(U1445="Alwataniya",(M1445*21%))*0)))))))))</f>
        <v>5862.78</v>
      </c>
      <c r="AR1445" s="43">
        <f t="shared" si="448"/>
        <v>293.139</v>
      </c>
      <c r="AS1445" s="43">
        <f t="shared" si="449"/>
        <v>1025.9865</v>
      </c>
      <c r="AT1445" s="48">
        <f t="shared" si="753"/>
        <v>4543.6545</v>
      </c>
      <c r="AU1445" s="49">
        <f t="shared" ref="AU1445:AU1447" si="1150">AQ1445-AR1445-AS1445-AC1445-AO1445</f>
        <v>4543.6545</v>
      </c>
      <c r="AV1445" s="48"/>
      <c r="AW1445" s="34">
        <f t="shared" si="1000"/>
        <v>20046.59</v>
      </c>
      <c r="AX1445" s="50">
        <f t="shared" si="1034"/>
        <v>407.1375</v>
      </c>
      <c r="AY1445" s="43"/>
      <c r="AZ1445" s="47"/>
      <c r="BA1445" s="48">
        <f t="shared" si="1080"/>
        <v>4543.6545</v>
      </c>
      <c r="BB1445" s="27"/>
      <c r="BC1445" s="27"/>
      <c r="BD1445" s="51"/>
      <c r="BE1445" s="52"/>
      <c r="BF1445" s="27"/>
      <c r="BG1445" s="53">
        <v>0.0</v>
      </c>
      <c r="BH1445" s="53" t="str">
        <f>'[1]2023'!Q1661</f>
        <v>#REF!</v>
      </c>
      <c r="BI1445" s="27"/>
      <c r="BJ1445" s="27"/>
      <c r="BK1445" s="27" t="s">
        <v>76</v>
      </c>
      <c r="BL1445" s="27"/>
    </row>
    <row r="1446" ht="14.25" customHeight="1">
      <c r="A1446" s="26" t="s">
        <v>55</v>
      </c>
      <c r="B1446" s="26" t="s">
        <v>56</v>
      </c>
      <c r="C1446" s="26" t="s">
        <v>57</v>
      </c>
      <c r="D1446" s="26" t="s">
        <v>81</v>
      </c>
      <c r="E1446" s="27" t="s">
        <v>4665</v>
      </c>
      <c r="F1446" s="198" t="s">
        <v>4666</v>
      </c>
      <c r="G1446" s="29">
        <v>45266.0</v>
      </c>
      <c r="H1446" s="30">
        <v>45266.0</v>
      </c>
      <c r="I1446" s="30">
        <v>45631.0</v>
      </c>
      <c r="J1446" s="31" t="s">
        <v>4667</v>
      </c>
      <c r="K1446" s="26" t="s">
        <v>3671</v>
      </c>
      <c r="L1446" s="89">
        <v>45265.0</v>
      </c>
      <c r="M1446" s="33">
        <v>25417.6</v>
      </c>
      <c r="N1446" s="34">
        <v>27244.34</v>
      </c>
      <c r="O1446" s="27" t="s">
        <v>76</v>
      </c>
      <c r="P1446" s="35" t="s">
        <v>122</v>
      </c>
      <c r="Q1446" s="35" t="s">
        <v>108</v>
      </c>
      <c r="R1446" s="36">
        <v>45266.0</v>
      </c>
      <c r="S1446" s="35" t="s">
        <v>86</v>
      </c>
      <c r="T1446" s="35">
        <v>0.0</v>
      </c>
      <c r="U1446" s="37" t="s">
        <v>67</v>
      </c>
      <c r="V1446" s="38"/>
      <c r="W1446" s="78"/>
      <c r="X1446" s="27"/>
      <c r="Y1446" s="39"/>
      <c r="Z1446" s="39"/>
      <c r="AA1446" s="39"/>
      <c r="AB1446" s="27"/>
      <c r="AC1446" s="27">
        <f t="shared" si="1115"/>
        <v>0</v>
      </c>
      <c r="AD1446" s="41">
        <f t="shared" si="1147"/>
        <v>3812.64</v>
      </c>
      <c r="AE1446" s="42"/>
      <c r="AF1446" s="188">
        <v>45284.0</v>
      </c>
      <c r="AG1446" s="43">
        <f t="shared" si="1148"/>
        <v>5490.2016</v>
      </c>
      <c r="AH1446" s="29"/>
      <c r="AI1446" s="29"/>
      <c r="AJ1446" s="29"/>
      <c r="AK1446" s="29"/>
      <c r="AL1446" s="27"/>
      <c r="AM1446" s="44"/>
      <c r="AN1446" s="47"/>
      <c r="AO1446" s="46"/>
      <c r="AP1446" s="47"/>
      <c r="AQ1446" s="43">
        <f t="shared" si="1149"/>
        <v>6862.752</v>
      </c>
      <c r="AR1446" s="43">
        <f t="shared" si="448"/>
        <v>343.1376</v>
      </c>
      <c r="AS1446" s="43">
        <f t="shared" si="449"/>
        <v>1200.9816</v>
      </c>
      <c r="AT1446" s="48">
        <f t="shared" si="753"/>
        <v>5318.6328</v>
      </c>
      <c r="AU1446" s="49">
        <f t="shared" si="1150"/>
        <v>5318.6328</v>
      </c>
      <c r="AV1446" s="48"/>
      <c r="AW1446" s="34">
        <f t="shared" si="1000"/>
        <v>23431.7</v>
      </c>
      <c r="AX1446" s="50">
        <f t="shared" si="1034"/>
        <v>476.58</v>
      </c>
      <c r="AY1446" s="43"/>
      <c r="AZ1446" s="47"/>
      <c r="BA1446" s="48">
        <f t="shared" si="1080"/>
        <v>5318.6328</v>
      </c>
      <c r="BB1446" s="27"/>
      <c r="BC1446" s="27"/>
      <c r="BD1446" s="51"/>
      <c r="BE1446" s="52"/>
      <c r="BF1446" s="27"/>
      <c r="BG1446" s="53">
        <v>0.0</v>
      </c>
      <c r="BH1446" s="53" t="str">
        <f>'[1]2023'!Q1665</f>
        <v>#REF!</v>
      </c>
      <c r="BI1446" s="27"/>
      <c r="BJ1446" s="27"/>
      <c r="BK1446" s="27" t="s">
        <v>76</v>
      </c>
      <c r="BL1446" s="27"/>
    </row>
    <row r="1447" ht="14.25" customHeight="1">
      <c r="A1447" s="26" t="s">
        <v>55</v>
      </c>
      <c r="B1447" s="26" t="s">
        <v>56</v>
      </c>
      <c r="C1447" s="26" t="s">
        <v>57</v>
      </c>
      <c r="D1447" s="26" t="s">
        <v>81</v>
      </c>
      <c r="E1447" s="80" t="s">
        <v>4668</v>
      </c>
      <c r="F1447" s="28" t="s">
        <v>4669</v>
      </c>
      <c r="G1447" s="29">
        <v>45266.0</v>
      </c>
      <c r="H1447" s="30">
        <v>45266.0</v>
      </c>
      <c r="I1447" s="30">
        <v>45631.0</v>
      </c>
      <c r="J1447" s="31" t="s">
        <v>4670</v>
      </c>
      <c r="K1447" s="26" t="s">
        <v>3671</v>
      </c>
      <c r="L1447" s="89">
        <v>45266.0</v>
      </c>
      <c r="M1447" s="33">
        <v>20727.0</v>
      </c>
      <c r="N1447" s="34">
        <v>22253.53</v>
      </c>
      <c r="O1447" s="27" t="s">
        <v>76</v>
      </c>
      <c r="P1447" s="35" t="s">
        <v>430</v>
      </c>
      <c r="Q1447" s="35" t="s">
        <v>90</v>
      </c>
      <c r="R1447" s="36">
        <v>0.0</v>
      </c>
      <c r="S1447" s="35" t="s">
        <v>86</v>
      </c>
      <c r="T1447" s="35">
        <v>0.0</v>
      </c>
      <c r="U1447" s="37" t="s">
        <v>67</v>
      </c>
      <c r="V1447" s="38">
        <v>1050000.0</v>
      </c>
      <c r="W1447" s="78">
        <v>11967.0</v>
      </c>
      <c r="X1447" s="27">
        <v>2021.0</v>
      </c>
      <c r="Y1447" s="79" t="s">
        <v>764</v>
      </c>
      <c r="Z1447" s="39" t="s">
        <v>3783</v>
      </c>
      <c r="AA1447" s="39"/>
      <c r="AB1447" s="27"/>
      <c r="AC1447" s="27">
        <f t="shared" si="1115"/>
        <v>0</v>
      </c>
      <c r="AD1447" s="41">
        <f t="shared" si="1147"/>
        <v>3109.05</v>
      </c>
      <c r="AE1447" s="42"/>
      <c r="AF1447" s="27"/>
      <c r="AG1447" s="43">
        <f t="shared" si="1148"/>
        <v>4477.032</v>
      </c>
      <c r="AH1447" s="29"/>
      <c r="AI1447" s="29"/>
      <c r="AJ1447" s="29"/>
      <c r="AK1447" s="29"/>
      <c r="AL1447" s="27"/>
      <c r="AM1447" s="44"/>
      <c r="AN1447" s="47"/>
      <c r="AO1447" s="46"/>
      <c r="AP1447" s="47"/>
      <c r="AQ1447" s="43">
        <f t="shared" si="1149"/>
        <v>5596.29</v>
      </c>
      <c r="AR1447" s="43">
        <f t="shared" si="448"/>
        <v>279.8145</v>
      </c>
      <c r="AS1447" s="43">
        <f t="shared" si="449"/>
        <v>979.35075</v>
      </c>
      <c r="AT1447" s="48">
        <f t="shared" si="753"/>
        <v>4337.12475</v>
      </c>
      <c r="AU1447" s="49">
        <f t="shared" si="1150"/>
        <v>4337.12475</v>
      </c>
      <c r="AV1447" s="48"/>
      <c r="AW1447" s="34">
        <f t="shared" si="1000"/>
        <v>19144.48</v>
      </c>
      <c r="AX1447" s="50">
        <f t="shared" si="1034"/>
        <v>388.63125</v>
      </c>
      <c r="AY1447" s="43"/>
      <c r="AZ1447" s="47"/>
      <c r="BA1447" s="48">
        <f t="shared" si="1080"/>
        <v>4337.12475</v>
      </c>
      <c r="BB1447" s="27"/>
      <c r="BC1447" s="27"/>
      <c r="BD1447" s="51"/>
      <c r="BE1447" s="52"/>
      <c r="BF1447" s="27"/>
      <c r="BG1447" s="53">
        <v>0.0</v>
      </c>
      <c r="BH1447" s="53" t="str">
        <f>'[1]2023'!Q1679</f>
        <v>#REF!</v>
      </c>
      <c r="BI1447" s="27"/>
      <c r="BJ1447" s="27"/>
      <c r="BK1447" s="27" t="s">
        <v>1102</v>
      </c>
      <c r="BL1447" s="27"/>
    </row>
    <row r="1448" ht="14.25" customHeight="1">
      <c r="A1448" s="26" t="s">
        <v>55</v>
      </c>
      <c r="B1448" s="26" t="s">
        <v>56</v>
      </c>
      <c r="C1448" s="26" t="s">
        <v>57</v>
      </c>
      <c r="D1448" s="26" t="s">
        <v>81</v>
      </c>
      <c r="E1448" s="27" t="s">
        <v>4671</v>
      </c>
      <c r="F1448" s="28" t="s">
        <v>4672</v>
      </c>
      <c r="G1448" s="29">
        <v>45267.0</v>
      </c>
      <c r="H1448" s="30">
        <v>45267.0</v>
      </c>
      <c r="I1448" s="30">
        <v>45632.0</v>
      </c>
      <c r="J1448" s="31">
        <v>0.0</v>
      </c>
      <c r="K1448" s="26" t="s">
        <v>887</v>
      </c>
      <c r="L1448" s="32" t="s">
        <v>75</v>
      </c>
      <c r="M1448" s="33">
        <v>16957.5</v>
      </c>
      <c r="N1448" s="34">
        <v>18099.01</v>
      </c>
      <c r="O1448" s="27" t="s">
        <v>76</v>
      </c>
      <c r="P1448" s="35" t="s">
        <v>430</v>
      </c>
      <c r="Q1448" s="35" t="s">
        <v>108</v>
      </c>
      <c r="R1448" s="36">
        <v>45267.0</v>
      </c>
      <c r="S1448" s="35" t="s">
        <v>86</v>
      </c>
      <c r="T1448" s="35">
        <v>0.0</v>
      </c>
      <c r="U1448" s="37" t="s">
        <v>67</v>
      </c>
      <c r="V1448" s="38"/>
      <c r="W1448" s="38"/>
      <c r="X1448" s="27"/>
      <c r="Y1448" s="39"/>
      <c r="Z1448" s="39"/>
      <c r="AA1448" s="39"/>
      <c r="AB1448" s="40"/>
      <c r="AC1448" s="27">
        <f t="shared" si="1115"/>
        <v>0</v>
      </c>
      <c r="AD1448" s="41">
        <f t="shared" si="1147"/>
        <v>2543.625</v>
      </c>
      <c r="AE1448" s="42"/>
      <c r="AF1448" s="27" t="s">
        <v>2099</v>
      </c>
      <c r="AG1448" s="43">
        <f t="shared" ref="AG1448:AG1450" si="1151">IF(O1448="Paid",IF(A1448="Alwataniya",(M1448*21%)-((M1448*21%)*5%),IF((A1448="GIG"),(M1448*25%)-((M1448*25%)*5%),IF((A1448="Allianz"),(M1448*27%)-((M1448*27%)*5%),0))),0)</f>
        <v>4349.59875</v>
      </c>
      <c r="AH1448" s="29"/>
      <c r="AI1448" s="29"/>
      <c r="AJ1448" s="29"/>
      <c r="AK1448" s="29"/>
      <c r="AL1448" s="27"/>
      <c r="AM1448" s="44"/>
      <c r="AN1448" s="47"/>
      <c r="AO1448" s="46">
        <f>IF(T1448&lt;&gt;0,M1448*15%,0)</f>
        <v>0</v>
      </c>
      <c r="AP1448" s="47"/>
      <c r="AQ1448" s="43">
        <f t="shared" ref="AQ1448:AQ1450" si="1152">IF(U1448="Motor Plus",(M1448*27%),IF(U1448="Motor One",(M1448*22%),(IF(U1448="Golden",(M1448*25%),(IF(U1448="Classic",(M1448*15%),(IF(U1448="Wethaq",(M1448*28%),IF(U1448="Alwataniya",(M1448*21%))*0))))))))</f>
        <v>4578.525</v>
      </c>
      <c r="AR1448" s="43">
        <f t="shared" si="448"/>
        <v>228.92625</v>
      </c>
      <c r="AS1448" s="43">
        <f t="shared" si="449"/>
        <v>801.241875</v>
      </c>
      <c r="AT1448" s="48">
        <f t="shared" si="753"/>
        <v>3548.356875</v>
      </c>
      <c r="AU1448" s="49">
        <f t="shared" ref="AU1448:AU1449" si="1153">AQ1448-AR1448-AS1448-AC1448</f>
        <v>3548.356875</v>
      </c>
      <c r="AV1448" s="48"/>
      <c r="AW1448" s="34">
        <f t="shared" si="1000"/>
        <v>15555.385</v>
      </c>
      <c r="AX1448" s="50">
        <f t="shared" si="1034"/>
        <v>1004.731875</v>
      </c>
      <c r="AY1448" s="43">
        <f>IF(T1448&lt;&gt;0,(AU1448-AO1448),0)*30%</f>
        <v>0</v>
      </c>
      <c r="AZ1448" s="43"/>
      <c r="BA1448" s="48">
        <f t="shared" si="1080"/>
        <v>3548.356875</v>
      </c>
      <c r="BB1448" s="27"/>
      <c r="BC1448" s="27"/>
      <c r="BD1448" s="51"/>
      <c r="BE1448" s="52"/>
      <c r="BF1448" s="27" t="s">
        <v>4671</v>
      </c>
      <c r="BG1448" s="53">
        <v>0.0</v>
      </c>
      <c r="BH1448" s="53" t="str">
        <f>'[1]2023'!Q912</f>
        <v>#REF!</v>
      </c>
      <c r="BI1448" s="27"/>
      <c r="BJ1448" s="27"/>
      <c r="BK1448" s="27" t="s">
        <v>76</v>
      </c>
      <c r="BL1448" s="27"/>
    </row>
    <row r="1449" ht="14.25" customHeight="1">
      <c r="A1449" s="26" t="s">
        <v>55</v>
      </c>
      <c r="B1449" s="26" t="s">
        <v>56</v>
      </c>
      <c r="C1449" s="26" t="s">
        <v>57</v>
      </c>
      <c r="D1449" s="26" t="s">
        <v>81</v>
      </c>
      <c r="E1449" s="27" t="s">
        <v>4673</v>
      </c>
      <c r="F1449" s="28" t="s">
        <v>4674</v>
      </c>
      <c r="G1449" s="29">
        <v>45267.0</v>
      </c>
      <c r="H1449" s="30">
        <v>45267.0</v>
      </c>
      <c r="I1449" s="30">
        <v>45632.0</v>
      </c>
      <c r="J1449" s="31">
        <v>0.0</v>
      </c>
      <c r="K1449" s="26" t="s">
        <v>887</v>
      </c>
      <c r="L1449" s="32" t="s">
        <v>75</v>
      </c>
      <c r="M1449" s="33">
        <v>50008.0</v>
      </c>
      <c r="N1449" s="34">
        <v>53099.48</v>
      </c>
      <c r="O1449" s="27" t="s">
        <v>76</v>
      </c>
      <c r="P1449" s="35" t="s">
        <v>89</v>
      </c>
      <c r="Q1449" s="35" t="s">
        <v>65</v>
      </c>
      <c r="R1449" s="36">
        <v>45267.0</v>
      </c>
      <c r="S1449" s="35" t="s">
        <v>86</v>
      </c>
      <c r="T1449" s="35">
        <v>0.0</v>
      </c>
      <c r="U1449" s="37" t="s">
        <v>157</v>
      </c>
      <c r="V1449" s="38"/>
      <c r="W1449" s="38"/>
      <c r="X1449" s="27"/>
      <c r="Y1449" s="39"/>
      <c r="Z1449" s="39"/>
      <c r="AA1449" s="39"/>
      <c r="AB1449" s="40"/>
      <c r="AC1449" s="27">
        <f t="shared" si="1115"/>
        <v>0</v>
      </c>
      <c r="AD1449" s="41"/>
      <c r="AE1449" s="42"/>
      <c r="AF1449" s="27"/>
      <c r="AG1449" s="43">
        <f t="shared" si="1151"/>
        <v>12827.052</v>
      </c>
      <c r="AH1449" s="29"/>
      <c r="AI1449" s="29"/>
      <c r="AJ1449" s="55"/>
      <c r="AK1449" s="29"/>
      <c r="AL1449" s="27"/>
      <c r="AM1449" s="44"/>
      <c r="AN1449" s="47"/>
      <c r="AO1449" s="46"/>
      <c r="AP1449" s="47"/>
      <c r="AQ1449" s="43">
        <f t="shared" si="1152"/>
        <v>11001.76</v>
      </c>
      <c r="AR1449" s="43">
        <f t="shared" si="448"/>
        <v>550.088</v>
      </c>
      <c r="AS1449" s="43">
        <f t="shared" si="449"/>
        <v>1925.308</v>
      </c>
      <c r="AT1449" s="48">
        <f t="shared" si="753"/>
        <v>8526.364</v>
      </c>
      <c r="AU1449" s="49">
        <f t="shared" si="1153"/>
        <v>8526.364</v>
      </c>
      <c r="AV1449" s="48"/>
      <c r="AW1449" s="34">
        <f t="shared" si="1000"/>
        <v>53099.48</v>
      </c>
      <c r="AX1449" s="50">
        <f t="shared" si="1034"/>
        <v>10901.744</v>
      </c>
      <c r="AY1449" s="43"/>
      <c r="AZ1449" s="47"/>
      <c r="BA1449" s="48">
        <f t="shared" si="1080"/>
        <v>8526.364</v>
      </c>
      <c r="BB1449" s="27"/>
      <c r="BC1449" s="27"/>
      <c r="BD1449" s="51"/>
      <c r="BE1449" s="52"/>
      <c r="BF1449" s="27" t="s">
        <v>4673</v>
      </c>
      <c r="BG1449" s="53">
        <v>0.0</v>
      </c>
      <c r="BH1449" s="53" t="str">
        <f>'[1]2023'!Q992</f>
        <v>#REF!</v>
      </c>
      <c r="BI1449" s="27"/>
      <c r="BJ1449" s="27"/>
      <c r="BK1449" s="27" t="s">
        <v>76</v>
      </c>
      <c r="BL1449" s="27"/>
    </row>
    <row r="1450" ht="14.25" customHeight="1">
      <c r="A1450" s="26" t="s">
        <v>55</v>
      </c>
      <c r="B1450" s="26" t="s">
        <v>56</v>
      </c>
      <c r="C1450" s="26" t="s">
        <v>57</v>
      </c>
      <c r="D1450" s="26" t="s">
        <v>58</v>
      </c>
      <c r="E1450" s="27" t="s">
        <v>4675</v>
      </c>
      <c r="F1450" s="28" t="s">
        <v>4676</v>
      </c>
      <c r="G1450" s="29">
        <v>45267.0</v>
      </c>
      <c r="H1450" s="30">
        <v>45267.0</v>
      </c>
      <c r="I1450" s="30">
        <v>45632.0</v>
      </c>
      <c r="J1450" s="31">
        <v>0.0</v>
      </c>
      <c r="K1450" s="26" t="s">
        <v>887</v>
      </c>
      <c r="L1450" s="69">
        <v>45267.0</v>
      </c>
      <c r="M1450" s="33">
        <v>1930.19</v>
      </c>
      <c r="N1450" s="34">
        <v>2044.07</v>
      </c>
      <c r="O1450" s="27" t="s">
        <v>76</v>
      </c>
      <c r="P1450" s="35" t="s">
        <v>122</v>
      </c>
      <c r="Q1450" s="35" t="s">
        <v>65</v>
      </c>
      <c r="R1450" s="36">
        <v>45267.0</v>
      </c>
      <c r="S1450" s="35" t="s">
        <v>86</v>
      </c>
      <c r="T1450" s="35">
        <v>0.0</v>
      </c>
      <c r="U1450" s="37" t="s">
        <v>67</v>
      </c>
      <c r="V1450" s="38"/>
      <c r="W1450" s="38"/>
      <c r="X1450" s="27"/>
      <c r="Y1450" s="39"/>
      <c r="Z1450" s="39"/>
      <c r="AA1450" s="39"/>
      <c r="AB1450" s="27"/>
      <c r="AC1450" s="27">
        <f t="shared" si="1115"/>
        <v>0</v>
      </c>
      <c r="AD1450" s="41"/>
      <c r="AE1450" s="42"/>
      <c r="AF1450" s="27"/>
      <c r="AG1450" s="43">
        <f t="shared" si="1151"/>
        <v>495.093735</v>
      </c>
      <c r="AH1450" s="29"/>
      <c r="AI1450" s="29"/>
      <c r="AJ1450" s="29"/>
      <c r="AK1450" s="29"/>
      <c r="AL1450" s="27"/>
      <c r="AM1450" s="44"/>
      <c r="AN1450" s="47"/>
      <c r="AO1450" s="46"/>
      <c r="AP1450" s="47"/>
      <c r="AQ1450" s="43">
        <f t="shared" si="1152"/>
        <v>521.1513</v>
      </c>
      <c r="AR1450" s="43">
        <f t="shared" si="448"/>
        <v>26.057565</v>
      </c>
      <c r="AS1450" s="43">
        <f t="shared" si="449"/>
        <v>91.2014775</v>
      </c>
      <c r="AT1450" s="48">
        <f t="shared" si="753"/>
        <v>403.8922575</v>
      </c>
      <c r="AU1450" s="49">
        <f t="shared" ref="AU1450:AU1470" si="1154">AQ1450-AR1450-AS1450-AC1450-AO1450</f>
        <v>403.8922575</v>
      </c>
      <c r="AV1450" s="48"/>
      <c r="AW1450" s="34">
        <f t="shared" si="1000"/>
        <v>2044.07</v>
      </c>
      <c r="AX1450" s="50">
        <f t="shared" si="1034"/>
        <v>403.8922575</v>
      </c>
      <c r="AY1450" s="43"/>
      <c r="AZ1450" s="47"/>
      <c r="BA1450" s="48">
        <f t="shared" si="1080"/>
        <v>403.8922575</v>
      </c>
      <c r="BB1450" s="27"/>
      <c r="BC1450" s="27"/>
      <c r="BD1450" s="51"/>
      <c r="BE1450" s="52"/>
      <c r="BF1450" s="27" t="s">
        <v>4675</v>
      </c>
      <c r="BG1450" s="53">
        <v>0.0</v>
      </c>
      <c r="BH1450" s="53" t="str">
        <f>'[1]2023'!Q1109</f>
        <v>#REF!</v>
      </c>
      <c r="BI1450" s="27"/>
      <c r="BJ1450" s="27"/>
      <c r="BK1450" s="27" t="s">
        <v>76</v>
      </c>
      <c r="BL1450" s="27"/>
    </row>
    <row r="1451" ht="14.25" customHeight="1">
      <c r="A1451" s="26" t="s">
        <v>55</v>
      </c>
      <c r="B1451" s="26" t="s">
        <v>56</v>
      </c>
      <c r="C1451" s="26" t="s">
        <v>57</v>
      </c>
      <c r="D1451" s="26" t="s">
        <v>81</v>
      </c>
      <c r="E1451" s="27" t="s">
        <v>4677</v>
      </c>
      <c r="F1451" s="28" t="s">
        <v>4678</v>
      </c>
      <c r="G1451" s="29">
        <v>45267.0</v>
      </c>
      <c r="H1451" s="30">
        <v>45267.0</v>
      </c>
      <c r="I1451" s="30">
        <v>45632.0</v>
      </c>
      <c r="J1451" s="31" t="s">
        <v>4679</v>
      </c>
      <c r="K1451" s="26" t="s">
        <v>4489</v>
      </c>
      <c r="L1451" s="89">
        <v>45294.0</v>
      </c>
      <c r="M1451" s="34">
        <v>24816.0</v>
      </c>
      <c r="N1451" s="34">
        <v>26604.23</v>
      </c>
      <c r="O1451" s="27" t="s">
        <v>76</v>
      </c>
      <c r="P1451" s="35" t="s">
        <v>430</v>
      </c>
      <c r="Q1451" s="35" t="s">
        <v>90</v>
      </c>
      <c r="R1451" s="36">
        <v>45267.0</v>
      </c>
      <c r="S1451" s="35" t="s">
        <v>86</v>
      </c>
      <c r="T1451" s="35">
        <v>0.0</v>
      </c>
      <c r="U1451" s="37" t="s">
        <v>67</v>
      </c>
      <c r="V1451" s="38">
        <v>1100000.0</v>
      </c>
      <c r="W1451" s="78">
        <v>514560.0</v>
      </c>
      <c r="X1451" s="27">
        <v>2021.0</v>
      </c>
      <c r="Y1451" s="79" t="s">
        <v>232</v>
      </c>
      <c r="Z1451" s="39"/>
      <c r="AA1451" s="39"/>
      <c r="AB1451" s="27"/>
      <c r="AC1451" s="27">
        <f t="shared" si="1115"/>
        <v>0</v>
      </c>
      <c r="AD1451" s="41">
        <f>IF(AND(S1451="0",O1451="Paid"),(M1451*15%)-AC1451,0)</f>
        <v>3722.4</v>
      </c>
      <c r="AE1451" s="42"/>
      <c r="AF1451" s="27"/>
      <c r="AG1451" s="43">
        <f t="shared" ref="AG1451:AG1452" si="1155">IF(O1451="Paid",IF(A1451="Wethaq",(M1451*28%)-((M1451*28%)*5%),IF((A1451="GIG"),(M1451*25%)-((M1451*25%)*5%),IF((A1451="Allianz"),(M1451*27%)-((M1451*27%)*20%),0))),0)</f>
        <v>5360.256</v>
      </c>
      <c r="AH1451" s="29"/>
      <c r="AI1451" s="29"/>
      <c r="AJ1451" s="29"/>
      <c r="AK1451" s="29"/>
      <c r="AL1451" s="27"/>
      <c r="AM1451" s="44"/>
      <c r="AN1451" s="47"/>
      <c r="AO1451" s="46"/>
      <c r="AP1451" s="47"/>
      <c r="AQ1451" s="43">
        <f t="shared" ref="AQ1451:AQ1452" si="1156">IF(O1451="Paid",IF(U1451="Motor Plus",(M1451*27%),IF(U1451="Motor One",(M1451*22%),(IF(U1451="Golden",(M1451*25%),(IF(U1451="Classic",(M1451*15%),(IF(U1451="Wethaq",(M1451*28%),IF(U1451="Alwataniya",(M1451*21%))*0)))))))))</f>
        <v>6700.32</v>
      </c>
      <c r="AR1451" s="43">
        <f t="shared" si="448"/>
        <v>335.016</v>
      </c>
      <c r="AS1451" s="43">
        <f t="shared" si="449"/>
        <v>1172.556</v>
      </c>
      <c r="AT1451" s="48">
        <f t="shared" si="753"/>
        <v>5192.748</v>
      </c>
      <c r="AU1451" s="49">
        <f t="shared" si="1154"/>
        <v>5192.748</v>
      </c>
      <c r="AV1451" s="48"/>
      <c r="AW1451" s="34">
        <f t="shared" si="1000"/>
        <v>22881.83</v>
      </c>
      <c r="AX1451" s="50">
        <f t="shared" si="1034"/>
        <v>465.3</v>
      </c>
      <c r="AY1451" s="43"/>
      <c r="AZ1451" s="47"/>
      <c r="BA1451" s="48">
        <f t="shared" si="1080"/>
        <v>5192.748</v>
      </c>
      <c r="BB1451" s="27"/>
      <c r="BC1451" s="27"/>
      <c r="BD1451" s="51"/>
      <c r="BE1451" s="52"/>
      <c r="BF1451" s="27"/>
      <c r="BG1451" s="53">
        <v>0.0</v>
      </c>
      <c r="BH1451" s="53" t="str">
        <f>'[1]2023'!Q1650</f>
        <v>#REF!</v>
      </c>
      <c r="BI1451" s="27"/>
      <c r="BJ1451" s="27"/>
      <c r="BK1451" s="27" t="s">
        <v>1102</v>
      </c>
      <c r="BL1451" s="27"/>
    </row>
    <row r="1452" ht="14.25" customHeight="1">
      <c r="A1452" s="26" t="s">
        <v>55</v>
      </c>
      <c r="B1452" s="26" t="s">
        <v>56</v>
      </c>
      <c r="C1452" s="26" t="s">
        <v>57</v>
      </c>
      <c r="D1452" s="26" t="s">
        <v>81</v>
      </c>
      <c r="E1452" s="27" t="s">
        <v>4680</v>
      </c>
      <c r="F1452" s="28" t="s">
        <v>4681</v>
      </c>
      <c r="G1452" s="29">
        <v>45267.0</v>
      </c>
      <c r="H1452" s="30">
        <v>45267.0</v>
      </c>
      <c r="I1452" s="30">
        <v>45632.0</v>
      </c>
      <c r="J1452" s="31" t="s">
        <v>4682</v>
      </c>
      <c r="K1452" s="26" t="s">
        <v>4489</v>
      </c>
      <c r="L1452" s="89">
        <v>45295.0</v>
      </c>
      <c r="M1452" s="33">
        <v>33840.0</v>
      </c>
      <c r="N1452" s="34">
        <v>36205.76</v>
      </c>
      <c r="O1452" s="27" t="s">
        <v>76</v>
      </c>
      <c r="P1452" s="35" t="s">
        <v>122</v>
      </c>
      <c r="Q1452" s="35" t="s">
        <v>65</v>
      </c>
      <c r="R1452" s="36">
        <v>0.0</v>
      </c>
      <c r="S1452" s="35" t="s">
        <v>86</v>
      </c>
      <c r="T1452" s="35">
        <v>0.0</v>
      </c>
      <c r="U1452" s="37">
        <v>0.0</v>
      </c>
      <c r="V1452" s="38">
        <v>1500000.0</v>
      </c>
      <c r="W1452" s="78" t="s">
        <v>4683</v>
      </c>
      <c r="X1452" s="27">
        <v>2022.0</v>
      </c>
      <c r="Y1452" s="79" t="s">
        <v>208</v>
      </c>
      <c r="Z1452" s="39"/>
      <c r="AA1452" s="39"/>
      <c r="AB1452" s="55">
        <v>0.15</v>
      </c>
      <c r="AC1452" s="27">
        <v>5000.0</v>
      </c>
      <c r="AD1452" s="41"/>
      <c r="AE1452" s="42"/>
      <c r="AF1452" s="27"/>
      <c r="AG1452" s="43">
        <f t="shared" si="1155"/>
        <v>7309.44</v>
      </c>
      <c r="AH1452" s="29"/>
      <c r="AI1452" s="29"/>
      <c r="AJ1452" s="29"/>
      <c r="AK1452" s="29"/>
      <c r="AL1452" s="27"/>
      <c r="AM1452" s="44"/>
      <c r="AN1452" s="47"/>
      <c r="AO1452" s="46"/>
      <c r="AP1452" s="47"/>
      <c r="AQ1452" s="43">
        <f t="shared" si="1156"/>
        <v>0</v>
      </c>
      <c r="AR1452" s="43">
        <f t="shared" si="448"/>
        <v>0</v>
      </c>
      <c r="AS1452" s="43">
        <f t="shared" si="449"/>
        <v>0</v>
      </c>
      <c r="AT1452" s="48">
        <f t="shared" si="753"/>
        <v>0</v>
      </c>
      <c r="AU1452" s="49">
        <f t="shared" si="1154"/>
        <v>-5000</v>
      </c>
      <c r="AV1452" s="48"/>
      <c r="AW1452" s="34">
        <f t="shared" si="1000"/>
        <v>31205.76</v>
      </c>
      <c r="AX1452" s="50">
        <f t="shared" si="1034"/>
        <v>7309.44</v>
      </c>
      <c r="AY1452" s="43"/>
      <c r="AZ1452" s="47"/>
      <c r="BA1452" s="48">
        <f t="shared" si="1080"/>
        <v>-5000</v>
      </c>
      <c r="BB1452" s="27"/>
      <c r="BC1452" s="27"/>
      <c r="BD1452" s="51"/>
      <c r="BE1452" s="52"/>
      <c r="BF1452" s="27"/>
      <c r="BG1452" s="53">
        <v>0.0</v>
      </c>
      <c r="BH1452" s="53" t="str">
        <f>'[1]2023'!Q1686</f>
        <v>#REF!</v>
      </c>
      <c r="BI1452" s="27"/>
      <c r="BJ1452" s="27"/>
      <c r="BK1452" s="27" t="s">
        <v>1102</v>
      </c>
      <c r="BL1452" s="27"/>
    </row>
    <row r="1453" ht="14.25" customHeight="1">
      <c r="A1453" s="26" t="s">
        <v>55</v>
      </c>
      <c r="B1453" s="26" t="s">
        <v>56</v>
      </c>
      <c r="C1453" s="26" t="s">
        <v>57</v>
      </c>
      <c r="D1453" s="26" t="s">
        <v>81</v>
      </c>
      <c r="E1453" s="27" t="s">
        <v>4684</v>
      </c>
      <c r="F1453" s="28" t="s">
        <v>4685</v>
      </c>
      <c r="G1453" s="29">
        <v>45268.0</v>
      </c>
      <c r="H1453" s="30">
        <v>45268.0</v>
      </c>
      <c r="I1453" s="30">
        <v>45633.0</v>
      </c>
      <c r="J1453" s="31">
        <v>0.0</v>
      </c>
      <c r="K1453" s="26" t="s">
        <v>455</v>
      </c>
      <c r="L1453" s="32" t="s">
        <v>75</v>
      </c>
      <c r="M1453" s="33">
        <v>27431.25</v>
      </c>
      <c r="N1453" s="34">
        <v>29189.69</v>
      </c>
      <c r="O1453" s="27" t="s">
        <v>76</v>
      </c>
      <c r="P1453" s="35" t="s">
        <v>430</v>
      </c>
      <c r="Q1453" s="35">
        <v>0.0</v>
      </c>
      <c r="R1453" s="36">
        <v>45268.0</v>
      </c>
      <c r="S1453" s="35" t="s">
        <v>86</v>
      </c>
      <c r="T1453" s="35">
        <v>0.0</v>
      </c>
      <c r="U1453" s="37" t="s">
        <v>67</v>
      </c>
      <c r="V1453" s="38"/>
      <c r="W1453" s="38"/>
      <c r="X1453" s="27"/>
      <c r="Y1453" s="39"/>
      <c r="Z1453" s="39"/>
      <c r="AA1453" s="39"/>
      <c r="AB1453" s="40"/>
      <c r="AC1453" s="27">
        <f t="shared" ref="AC1453:AC1470" si="1157">M1453*AB1453</f>
        <v>0</v>
      </c>
      <c r="AD1453" s="41">
        <f t="shared" ref="AD1453:AD1458" si="1158">IF(AND(S1453="0",O1453="Paid"),(M1453*15%)-AC1453,0)</f>
        <v>4114.6875</v>
      </c>
      <c r="AE1453" s="42"/>
      <c r="AF1453" s="27"/>
      <c r="AG1453" s="43">
        <f t="shared" ref="AG1453:AG1455" si="1159">IF(O1453="Paid",IF(A1453="Alwataniya",(M1453*21%)-((M1453*21%)*5%),IF((A1453="GIG"),(M1453*25%)-((M1453*25%)*5%),IF((A1453="Allianz"),(M1453*27%)-((M1453*27%)*5%),0))),0)</f>
        <v>7036.115625</v>
      </c>
      <c r="AH1453" s="29"/>
      <c r="AI1453" s="29"/>
      <c r="AJ1453" s="29"/>
      <c r="AK1453" s="29"/>
      <c r="AL1453" s="27"/>
      <c r="AM1453" s="44"/>
      <c r="AN1453" s="47"/>
      <c r="AO1453" s="46"/>
      <c r="AP1453" s="47"/>
      <c r="AQ1453" s="43">
        <f t="shared" ref="AQ1453:AQ1455" si="1160">IF(U1453="Motor Plus",(M1453*27%),IF(U1453="Motor One",(M1453*22%),(IF(U1453="Golden",(M1453*25%),(IF(U1453="Classic",(M1453*15%),(IF(U1453="Wethaq",(M1453*28%),IF(U1453="Alwataniya",(M1453*21%))*0))))))))</f>
        <v>7406.4375</v>
      </c>
      <c r="AR1453" s="43">
        <f t="shared" si="448"/>
        <v>370.321875</v>
      </c>
      <c r="AS1453" s="43">
        <f t="shared" si="449"/>
        <v>1296.126563</v>
      </c>
      <c r="AT1453" s="48">
        <f t="shared" si="753"/>
        <v>5739.989063</v>
      </c>
      <c r="AU1453" s="49">
        <f t="shared" si="1154"/>
        <v>5739.989063</v>
      </c>
      <c r="AV1453" s="48"/>
      <c r="AW1453" s="34">
        <f t="shared" si="1000"/>
        <v>25075.0025</v>
      </c>
      <c r="AX1453" s="50">
        <f t="shared" si="1034"/>
        <v>1625.301563</v>
      </c>
      <c r="AY1453" s="43"/>
      <c r="AZ1453" s="47"/>
      <c r="BA1453" s="48">
        <f t="shared" si="1080"/>
        <v>5739.989063</v>
      </c>
      <c r="BB1453" s="27"/>
      <c r="BC1453" s="27"/>
      <c r="BD1453" s="51"/>
      <c r="BE1453" s="52"/>
      <c r="BF1453" s="27" t="s">
        <v>4684</v>
      </c>
      <c r="BG1453" s="53">
        <v>0.0</v>
      </c>
      <c r="BH1453" s="53" t="str">
        <f>'[1]2023'!Q1077</f>
        <v>#REF!</v>
      </c>
      <c r="BI1453" s="27"/>
      <c r="BJ1453" s="27"/>
      <c r="BK1453" s="27" t="s">
        <v>76</v>
      </c>
      <c r="BL1453" s="27"/>
    </row>
    <row r="1454" ht="14.25" customHeight="1">
      <c r="A1454" s="26" t="s">
        <v>55</v>
      </c>
      <c r="B1454" s="26" t="s">
        <v>56</v>
      </c>
      <c r="C1454" s="26" t="s">
        <v>57</v>
      </c>
      <c r="D1454" s="26" t="s">
        <v>81</v>
      </c>
      <c r="E1454" s="27" t="s">
        <v>4686</v>
      </c>
      <c r="F1454" s="28" t="s">
        <v>4687</v>
      </c>
      <c r="G1454" s="29">
        <v>45269.0</v>
      </c>
      <c r="H1454" s="30">
        <v>45269.0</v>
      </c>
      <c r="I1454" s="30">
        <v>45634.0</v>
      </c>
      <c r="J1454" s="31">
        <v>0.0</v>
      </c>
      <c r="K1454" s="26" t="s">
        <v>475</v>
      </c>
      <c r="L1454" s="32" t="s">
        <v>63</v>
      </c>
      <c r="M1454" s="33">
        <v>5405.5</v>
      </c>
      <c r="N1454" s="34">
        <v>5892.45</v>
      </c>
      <c r="O1454" s="27" t="s">
        <v>76</v>
      </c>
      <c r="P1454" s="35" t="s">
        <v>89</v>
      </c>
      <c r="Q1454" s="35">
        <v>0.0</v>
      </c>
      <c r="R1454" s="36">
        <v>45269.0</v>
      </c>
      <c r="S1454" s="35" t="s">
        <v>86</v>
      </c>
      <c r="T1454" s="35">
        <v>0.0</v>
      </c>
      <c r="U1454" s="37" t="s">
        <v>812</v>
      </c>
      <c r="V1454" s="38"/>
      <c r="W1454" s="38"/>
      <c r="X1454" s="27"/>
      <c r="Y1454" s="39"/>
      <c r="Z1454" s="39"/>
      <c r="AA1454" s="39"/>
      <c r="AB1454" s="27"/>
      <c r="AC1454" s="27">
        <f t="shared" si="1157"/>
        <v>0</v>
      </c>
      <c r="AD1454" s="41">
        <f t="shared" si="1158"/>
        <v>810.825</v>
      </c>
      <c r="AE1454" s="42"/>
      <c r="AF1454" s="27"/>
      <c r="AG1454" s="43">
        <f t="shared" si="1159"/>
        <v>1386.51075</v>
      </c>
      <c r="AH1454" s="29"/>
      <c r="AI1454" s="29"/>
      <c r="AJ1454" s="29"/>
      <c r="AK1454" s="29"/>
      <c r="AL1454" s="27"/>
      <c r="AM1454" s="44"/>
      <c r="AN1454" s="47"/>
      <c r="AO1454" s="46"/>
      <c r="AP1454" s="47"/>
      <c r="AQ1454" s="43">
        <f t="shared" si="1160"/>
        <v>0</v>
      </c>
      <c r="AR1454" s="43">
        <f t="shared" si="448"/>
        <v>0</v>
      </c>
      <c r="AS1454" s="43">
        <f t="shared" si="449"/>
        <v>0</v>
      </c>
      <c r="AT1454" s="48">
        <f t="shared" si="753"/>
        <v>0</v>
      </c>
      <c r="AU1454" s="49">
        <f t="shared" si="1154"/>
        <v>0</v>
      </c>
      <c r="AV1454" s="48"/>
      <c r="AW1454" s="34">
        <f t="shared" si="1000"/>
        <v>5081.625</v>
      </c>
      <c r="AX1454" s="50">
        <f t="shared" si="1034"/>
        <v>575.68575</v>
      </c>
      <c r="AY1454" s="43"/>
      <c r="AZ1454" s="47"/>
      <c r="BA1454" s="48">
        <f t="shared" si="1080"/>
        <v>0</v>
      </c>
      <c r="BB1454" s="27"/>
      <c r="BC1454" s="27"/>
      <c r="BD1454" s="51"/>
      <c r="BE1454" s="52"/>
      <c r="BF1454" s="27"/>
      <c r="BG1454" s="27">
        <v>0.0</v>
      </c>
      <c r="BH1454" s="53" t="str">
        <f>'[1]2023'!Q1203</f>
        <v>#REF!</v>
      </c>
      <c r="BI1454" s="27"/>
      <c r="BJ1454" s="27"/>
      <c r="BK1454" s="27" t="s">
        <v>76</v>
      </c>
      <c r="BL1454" s="27"/>
    </row>
    <row r="1455" ht="14.25" customHeight="1">
      <c r="A1455" s="26" t="s">
        <v>55</v>
      </c>
      <c r="B1455" s="26" t="s">
        <v>1786</v>
      </c>
      <c r="C1455" s="26" t="s">
        <v>57</v>
      </c>
      <c r="D1455" s="26" t="s">
        <v>81</v>
      </c>
      <c r="E1455" s="27" t="s">
        <v>4688</v>
      </c>
      <c r="F1455" s="28" t="s">
        <v>4689</v>
      </c>
      <c r="G1455" s="29">
        <v>45269.0</v>
      </c>
      <c r="H1455" s="30">
        <v>45269.0</v>
      </c>
      <c r="I1455" s="30">
        <v>45634.0</v>
      </c>
      <c r="J1455" s="31" t="s">
        <v>4690</v>
      </c>
      <c r="K1455" s="26" t="s">
        <v>475</v>
      </c>
      <c r="L1455" s="32" t="s">
        <v>63</v>
      </c>
      <c r="M1455" s="33">
        <v>9740.05</v>
      </c>
      <c r="N1455" s="34">
        <v>9925.11</v>
      </c>
      <c r="O1455" s="27" t="s">
        <v>76</v>
      </c>
      <c r="P1455" s="35">
        <v>0.0</v>
      </c>
      <c r="Q1455" s="35">
        <v>0.0</v>
      </c>
      <c r="R1455" s="36">
        <v>45269.0</v>
      </c>
      <c r="S1455" s="35" t="s">
        <v>86</v>
      </c>
      <c r="T1455" s="35">
        <v>0.0</v>
      </c>
      <c r="U1455" s="37" t="s">
        <v>1786</v>
      </c>
      <c r="V1455" s="38"/>
      <c r="W1455" s="38"/>
      <c r="X1455" s="27"/>
      <c r="Y1455" s="237"/>
      <c r="Z1455" s="237"/>
      <c r="AA1455" s="237"/>
      <c r="AB1455" s="27"/>
      <c r="AC1455" s="27">
        <f t="shared" si="1157"/>
        <v>0</v>
      </c>
      <c r="AD1455" s="41">
        <f t="shared" si="1158"/>
        <v>1461.0075</v>
      </c>
      <c r="AE1455" s="42"/>
      <c r="AF1455" s="27"/>
      <c r="AG1455" s="43">
        <f t="shared" si="1159"/>
        <v>2498.322825</v>
      </c>
      <c r="AH1455" s="29"/>
      <c r="AI1455" s="29"/>
      <c r="AJ1455" s="29"/>
      <c r="AK1455" s="29"/>
      <c r="AL1455" s="27"/>
      <c r="AM1455" s="44"/>
      <c r="AN1455" s="47"/>
      <c r="AO1455" s="46"/>
      <c r="AP1455" s="47"/>
      <c r="AQ1455" s="43">
        <f t="shared" si="1160"/>
        <v>0</v>
      </c>
      <c r="AR1455" s="43">
        <f t="shared" si="448"/>
        <v>0</v>
      </c>
      <c r="AS1455" s="43">
        <f t="shared" si="449"/>
        <v>0</v>
      </c>
      <c r="AT1455" s="48">
        <f t="shared" si="753"/>
        <v>0</v>
      </c>
      <c r="AU1455" s="49">
        <f t="shared" si="1154"/>
        <v>0</v>
      </c>
      <c r="AV1455" s="48"/>
      <c r="AW1455" s="34">
        <f t="shared" si="1000"/>
        <v>8464.1025</v>
      </c>
      <c r="AX1455" s="50">
        <f t="shared" si="1034"/>
        <v>1037.315325</v>
      </c>
      <c r="AY1455" s="43"/>
      <c r="AZ1455" s="47"/>
      <c r="BA1455" s="48">
        <f t="shared" si="1080"/>
        <v>0</v>
      </c>
      <c r="BB1455" s="27"/>
      <c r="BC1455" s="27"/>
      <c r="BD1455" s="51"/>
      <c r="BE1455" s="52"/>
      <c r="BF1455" s="27"/>
      <c r="BG1455" s="53" t="s">
        <v>4691</v>
      </c>
      <c r="BH1455" s="53" t="str">
        <f>'[1]2023'!Q1206</f>
        <v>#REF!</v>
      </c>
      <c r="BI1455" s="27"/>
      <c r="BJ1455" s="27"/>
      <c r="BK1455" s="27" t="s">
        <v>76</v>
      </c>
      <c r="BL1455" s="27"/>
    </row>
    <row r="1456" ht="14.25" customHeight="1">
      <c r="A1456" s="26" t="s">
        <v>492</v>
      </c>
      <c r="B1456" s="26" t="s">
        <v>69</v>
      </c>
      <c r="C1456" s="26" t="s">
        <v>70</v>
      </c>
      <c r="D1456" s="26" t="s">
        <v>71</v>
      </c>
      <c r="E1456" s="27" t="s">
        <v>4692</v>
      </c>
      <c r="F1456" s="198" t="s">
        <v>3200</v>
      </c>
      <c r="G1456" s="29">
        <v>45270.0</v>
      </c>
      <c r="H1456" s="30">
        <v>45270.0</v>
      </c>
      <c r="I1456" s="30">
        <v>45635.0</v>
      </c>
      <c r="J1456" s="31">
        <v>0.0</v>
      </c>
      <c r="K1456" s="26" t="s">
        <v>4489</v>
      </c>
      <c r="L1456" s="32" t="s">
        <v>75</v>
      </c>
      <c r="M1456" s="33">
        <f>2112.5*30.98</f>
        <v>65445.25</v>
      </c>
      <c r="N1456" s="34">
        <v>69250.0</v>
      </c>
      <c r="O1456" s="27" t="s">
        <v>76</v>
      </c>
      <c r="P1456" s="35" t="s">
        <v>77</v>
      </c>
      <c r="Q1456" s="35">
        <v>0.0</v>
      </c>
      <c r="R1456" s="36">
        <v>45270.0</v>
      </c>
      <c r="S1456" s="35" t="s">
        <v>78</v>
      </c>
      <c r="T1456" s="54" t="s">
        <v>79</v>
      </c>
      <c r="U1456" s="37" t="s">
        <v>69</v>
      </c>
      <c r="V1456" s="38"/>
      <c r="W1456" s="38"/>
      <c r="X1456" s="27"/>
      <c r="Y1456" s="39"/>
      <c r="Z1456" s="39"/>
      <c r="AA1456" s="39"/>
      <c r="AB1456" s="27"/>
      <c r="AC1456" s="27">
        <f t="shared" si="1157"/>
        <v>0</v>
      </c>
      <c r="AD1456" s="41">
        <f t="shared" si="1158"/>
        <v>0</v>
      </c>
      <c r="AE1456" s="42"/>
      <c r="AF1456" s="27"/>
      <c r="AG1456" s="43">
        <f>(M1456*25%)-((M1456*25%)*5%)</f>
        <v>15543.24688</v>
      </c>
      <c r="AH1456" s="29">
        <v>45089.0</v>
      </c>
      <c r="AI1456" s="29" t="s">
        <v>4693</v>
      </c>
      <c r="AJ1456" s="40">
        <v>0.25</v>
      </c>
      <c r="AK1456" s="29">
        <v>45089.0</v>
      </c>
      <c r="AL1456" s="27"/>
      <c r="AM1456" s="44"/>
      <c r="AN1456" s="57">
        <v>45271.0</v>
      </c>
      <c r="AO1456" s="149">
        <f>((M1456*25%)-((M1456*25%)*22.5%))*80%</f>
        <v>10144.01375</v>
      </c>
      <c r="AP1456" s="57"/>
      <c r="AQ1456" s="43">
        <f t="shared" ref="AQ1456:AQ1470" si="1161">IF(O1456="Paid",IF(U1456="Motor Plus",(M1456*27%),IF(U1456="Motor One",(M1456*22%),(IF(U1456="Golden",(M1456*25%),(IF(U1456="Classic",(M1456*15%),(IF(U1456="Wethaq",(M1456*28%),IF(U1456="Alwataniya",(M1456*21%))*0)))))))))</f>
        <v>0</v>
      </c>
      <c r="AR1456" s="43">
        <f t="shared" si="448"/>
        <v>0</v>
      </c>
      <c r="AS1456" s="43">
        <f t="shared" si="449"/>
        <v>0</v>
      </c>
      <c r="AT1456" s="48">
        <f t="shared" si="753"/>
        <v>0</v>
      </c>
      <c r="AU1456" s="49">
        <f t="shared" si="1154"/>
        <v>-10144.01375</v>
      </c>
      <c r="AV1456" s="48"/>
      <c r="AW1456" s="34">
        <f t="shared" si="1000"/>
        <v>69250</v>
      </c>
      <c r="AX1456" s="50">
        <f t="shared" si="1034"/>
        <v>5399.233125</v>
      </c>
      <c r="AY1456" s="43"/>
      <c r="AZ1456" s="47"/>
      <c r="BA1456" s="48">
        <f t="shared" si="1080"/>
        <v>-20288.0275</v>
      </c>
      <c r="BB1456" s="27"/>
      <c r="BC1456" s="27"/>
      <c r="BD1456" s="51"/>
      <c r="BE1456" s="52"/>
      <c r="BF1456" s="27"/>
      <c r="BG1456" s="53" t="s">
        <v>2495</v>
      </c>
      <c r="BH1456" s="53" t="str">
        <f>'[1]2023'!Q1270</f>
        <v>#REF!</v>
      </c>
      <c r="BI1456" s="27"/>
      <c r="BJ1456" s="27"/>
      <c r="BK1456" s="27" t="s">
        <v>76</v>
      </c>
      <c r="BL1456" s="64" t="s">
        <v>4694</v>
      </c>
    </row>
    <row r="1457" ht="14.25" customHeight="1">
      <c r="A1457" s="26" t="s">
        <v>55</v>
      </c>
      <c r="B1457" s="26" t="s">
        <v>56</v>
      </c>
      <c r="C1457" s="26" t="s">
        <v>57</v>
      </c>
      <c r="D1457" s="26" t="s">
        <v>81</v>
      </c>
      <c r="E1457" s="27" t="s">
        <v>4695</v>
      </c>
      <c r="F1457" s="28" t="s">
        <v>4696</v>
      </c>
      <c r="G1457" s="29">
        <v>45272.0</v>
      </c>
      <c r="H1457" s="30">
        <v>45272.0</v>
      </c>
      <c r="I1457" s="30">
        <v>45637.0</v>
      </c>
      <c r="J1457" s="31" t="s">
        <v>1474</v>
      </c>
      <c r="K1457" s="26" t="s">
        <v>4489</v>
      </c>
      <c r="L1457" s="89">
        <v>45246.0</v>
      </c>
      <c r="M1457" s="33">
        <v>26649.0</v>
      </c>
      <c r="N1457" s="34">
        <v>28554.54</v>
      </c>
      <c r="O1457" s="27" t="s">
        <v>76</v>
      </c>
      <c r="P1457" s="35" t="s">
        <v>89</v>
      </c>
      <c r="Q1457" s="35" t="s">
        <v>65</v>
      </c>
      <c r="R1457" s="36">
        <v>45272.0</v>
      </c>
      <c r="S1457" s="35" t="s">
        <v>86</v>
      </c>
      <c r="T1457" s="35">
        <v>0.0</v>
      </c>
      <c r="U1457" s="37" t="s">
        <v>67</v>
      </c>
      <c r="V1457" s="38">
        <v>1050000.0</v>
      </c>
      <c r="W1457" s="78">
        <v>16791.0</v>
      </c>
      <c r="X1457" s="27">
        <v>2021.0</v>
      </c>
      <c r="Y1457" s="39" t="s">
        <v>3783</v>
      </c>
      <c r="Z1457" s="79" t="s">
        <v>764</v>
      </c>
      <c r="AA1457" s="39"/>
      <c r="AB1457" s="27"/>
      <c r="AC1457" s="27">
        <f t="shared" si="1157"/>
        <v>0</v>
      </c>
      <c r="AD1457" s="41">
        <f t="shared" si="1158"/>
        <v>3997.35</v>
      </c>
      <c r="AE1457" s="42"/>
      <c r="AF1457" s="27"/>
      <c r="AG1457" s="43">
        <f t="shared" ref="AG1457:AG1466" si="1162">IF(O1457="Paid",IF(A1457="Wethaq",(M1457*28%)-((M1457*28%)*5%),IF((A1457="GIG"),(M1457*25%)-((M1457*25%)*5%),IF((A1457="Allianz"),(M1457*27%)-((M1457*27%)*20%),0))),0)</f>
        <v>5756.184</v>
      </c>
      <c r="AH1457" s="29"/>
      <c r="AI1457" s="29"/>
      <c r="AJ1457" s="29"/>
      <c r="AK1457" s="29"/>
      <c r="AL1457" s="27"/>
      <c r="AM1457" s="44"/>
      <c r="AN1457" s="47"/>
      <c r="AO1457" s="46"/>
      <c r="AP1457" s="47"/>
      <c r="AQ1457" s="43">
        <f t="shared" si="1161"/>
        <v>7195.23</v>
      </c>
      <c r="AR1457" s="43">
        <f t="shared" si="448"/>
        <v>359.7615</v>
      </c>
      <c r="AS1457" s="43">
        <f t="shared" si="449"/>
        <v>1259.16525</v>
      </c>
      <c r="AT1457" s="48">
        <f t="shared" si="753"/>
        <v>5576.30325</v>
      </c>
      <c r="AU1457" s="49">
        <f t="shared" si="1154"/>
        <v>5576.30325</v>
      </c>
      <c r="AV1457" s="48"/>
      <c r="AW1457" s="34">
        <f t="shared" si="1000"/>
        <v>24557.19</v>
      </c>
      <c r="AX1457" s="50">
        <f t="shared" si="1034"/>
        <v>499.66875</v>
      </c>
      <c r="AY1457" s="43"/>
      <c r="AZ1457" s="47"/>
      <c r="BA1457" s="48">
        <f t="shared" si="1080"/>
        <v>5576.30325</v>
      </c>
      <c r="BB1457" s="27"/>
      <c r="BC1457" s="27"/>
      <c r="BD1457" s="51"/>
      <c r="BE1457" s="52"/>
      <c r="BF1457" s="27"/>
      <c r="BG1457" s="53">
        <v>0.0</v>
      </c>
      <c r="BH1457" s="53" t="str">
        <f>'[1]2023'!Q1598</f>
        <v>#REF!</v>
      </c>
      <c r="BI1457" s="27"/>
      <c r="BJ1457" s="27"/>
      <c r="BK1457" s="27" t="s">
        <v>76</v>
      </c>
      <c r="BL1457" s="27"/>
    </row>
    <row r="1458" ht="14.25" customHeight="1">
      <c r="A1458" s="123" t="s">
        <v>55</v>
      </c>
      <c r="B1458" s="123" t="s">
        <v>56</v>
      </c>
      <c r="C1458" s="123" t="s">
        <v>57</v>
      </c>
      <c r="D1458" s="26" t="s">
        <v>81</v>
      </c>
      <c r="E1458" s="80" t="s">
        <v>4697</v>
      </c>
      <c r="F1458" s="28" t="s">
        <v>4698</v>
      </c>
      <c r="G1458" s="29">
        <v>45273.0</v>
      </c>
      <c r="H1458" s="30">
        <v>45273.0</v>
      </c>
      <c r="I1458" s="30">
        <v>45638.0</v>
      </c>
      <c r="J1458" s="31" t="s">
        <v>3675</v>
      </c>
      <c r="K1458" s="26" t="s">
        <v>3671</v>
      </c>
      <c r="L1458" s="89">
        <v>45629.0</v>
      </c>
      <c r="M1458" s="33">
        <v>20628.3</v>
      </c>
      <c r="N1458" s="34">
        <v>22148.52</v>
      </c>
      <c r="O1458" s="27" t="s">
        <v>76</v>
      </c>
      <c r="P1458" s="35" t="s">
        <v>122</v>
      </c>
      <c r="Q1458" s="35" t="s">
        <v>65</v>
      </c>
      <c r="R1458" s="36">
        <v>0.0</v>
      </c>
      <c r="S1458" s="35" t="s">
        <v>86</v>
      </c>
      <c r="T1458" s="35">
        <v>0.0</v>
      </c>
      <c r="U1458" s="37">
        <v>0.0</v>
      </c>
      <c r="V1458" s="38">
        <v>1100000.0</v>
      </c>
      <c r="W1458" s="78">
        <v>515247.0</v>
      </c>
      <c r="X1458" s="27">
        <v>2021.0</v>
      </c>
      <c r="Y1458" s="79" t="s">
        <v>232</v>
      </c>
      <c r="Z1458" s="39"/>
      <c r="AA1458" s="39"/>
      <c r="AB1458" s="27"/>
      <c r="AC1458" s="27">
        <f t="shared" si="1157"/>
        <v>0</v>
      </c>
      <c r="AD1458" s="41">
        <f t="shared" si="1158"/>
        <v>3094.245</v>
      </c>
      <c r="AE1458" s="42"/>
      <c r="AF1458" s="27"/>
      <c r="AG1458" s="43">
        <f t="shared" si="1162"/>
        <v>4455.7128</v>
      </c>
      <c r="AH1458" s="29"/>
      <c r="AI1458" s="29"/>
      <c r="AJ1458" s="29"/>
      <c r="AK1458" s="29"/>
      <c r="AL1458" s="27"/>
      <c r="AM1458" s="44"/>
      <c r="AN1458" s="47"/>
      <c r="AO1458" s="46"/>
      <c r="AP1458" s="47"/>
      <c r="AQ1458" s="43">
        <f t="shared" si="1161"/>
        <v>0</v>
      </c>
      <c r="AR1458" s="43">
        <f t="shared" si="448"/>
        <v>0</v>
      </c>
      <c r="AS1458" s="43">
        <f t="shared" si="449"/>
        <v>0</v>
      </c>
      <c r="AT1458" s="48">
        <f t="shared" si="753"/>
        <v>0</v>
      </c>
      <c r="AU1458" s="49">
        <f t="shared" si="1154"/>
        <v>0</v>
      </c>
      <c r="AV1458" s="48"/>
      <c r="AW1458" s="34">
        <f t="shared" si="1000"/>
        <v>19054.275</v>
      </c>
      <c r="AX1458" s="50">
        <f t="shared" si="1034"/>
        <v>1361.4678</v>
      </c>
      <c r="AY1458" s="43"/>
      <c r="AZ1458" s="47"/>
      <c r="BA1458" s="48">
        <f t="shared" si="1080"/>
        <v>0</v>
      </c>
      <c r="BB1458" s="27"/>
      <c r="BC1458" s="27"/>
      <c r="BD1458" s="51"/>
      <c r="BE1458" s="52"/>
      <c r="BF1458" s="27"/>
      <c r="BG1458" s="53">
        <v>0.0</v>
      </c>
      <c r="BH1458" s="53" t="str">
        <f>'[1]2023'!Q1703</f>
        <v>#REF!</v>
      </c>
      <c r="BI1458" s="27"/>
      <c r="BJ1458" s="27"/>
      <c r="BK1458" s="27" t="s">
        <v>1102</v>
      </c>
      <c r="BL1458" s="27"/>
    </row>
    <row r="1459" ht="14.25" customHeight="1">
      <c r="A1459" s="26" t="s">
        <v>55</v>
      </c>
      <c r="B1459" s="26" t="s">
        <v>56</v>
      </c>
      <c r="C1459" s="26" t="s">
        <v>57</v>
      </c>
      <c r="D1459" s="26" t="s">
        <v>81</v>
      </c>
      <c r="E1459" s="27" t="s">
        <v>4699</v>
      </c>
      <c r="F1459" s="28" t="s">
        <v>4700</v>
      </c>
      <c r="G1459" s="29">
        <v>45279.0</v>
      </c>
      <c r="H1459" s="30">
        <v>45279.0</v>
      </c>
      <c r="I1459" s="30">
        <v>45644.0</v>
      </c>
      <c r="J1459" s="31" t="s">
        <v>4701</v>
      </c>
      <c r="K1459" s="26" t="s">
        <v>3671</v>
      </c>
      <c r="L1459" s="89">
        <v>45265.0</v>
      </c>
      <c r="M1459" s="33">
        <v>19740.0</v>
      </c>
      <c r="N1459" s="34">
        <v>21203.36</v>
      </c>
      <c r="O1459" s="27" t="s">
        <v>76</v>
      </c>
      <c r="P1459" s="35" t="s">
        <v>89</v>
      </c>
      <c r="Q1459" s="35" t="s">
        <v>65</v>
      </c>
      <c r="R1459" s="36">
        <v>0.0</v>
      </c>
      <c r="S1459" s="35" t="s">
        <v>86</v>
      </c>
      <c r="T1459" s="54" t="s">
        <v>163</v>
      </c>
      <c r="U1459" s="37" t="s">
        <v>67</v>
      </c>
      <c r="V1459" s="38">
        <v>1400000.0</v>
      </c>
      <c r="W1459" s="78">
        <v>4093.0</v>
      </c>
      <c r="X1459" s="27">
        <v>2019.0</v>
      </c>
      <c r="Y1459" s="79" t="s">
        <v>208</v>
      </c>
      <c r="Z1459" s="39"/>
      <c r="AA1459" s="39"/>
      <c r="AB1459" s="27"/>
      <c r="AC1459" s="27">
        <f t="shared" si="1157"/>
        <v>0</v>
      </c>
      <c r="AD1459" s="41"/>
      <c r="AE1459" s="42"/>
      <c r="AF1459" s="27"/>
      <c r="AG1459" s="43">
        <f t="shared" si="1162"/>
        <v>4263.84</v>
      </c>
      <c r="AH1459" s="29"/>
      <c r="AI1459" s="29"/>
      <c r="AJ1459" s="29"/>
      <c r="AK1459" s="29"/>
      <c r="AL1459" s="27"/>
      <c r="AM1459" s="44"/>
      <c r="AN1459" s="47"/>
      <c r="AO1459" s="70">
        <f>M1459*15%</f>
        <v>2961</v>
      </c>
      <c r="AP1459" s="71">
        <v>45267.0</v>
      </c>
      <c r="AQ1459" s="43">
        <f t="shared" si="1161"/>
        <v>5329.8</v>
      </c>
      <c r="AR1459" s="43">
        <f t="shared" si="448"/>
        <v>266.49</v>
      </c>
      <c r="AS1459" s="43">
        <f t="shared" si="449"/>
        <v>932.715</v>
      </c>
      <c r="AT1459" s="48">
        <f t="shared" si="753"/>
        <v>4130.595</v>
      </c>
      <c r="AU1459" s="49">
        <f t="shared" si="1154"/>
        <v>1169.595</v>
      </c>
      <c r="AV1459" s="48"/>
      <c r="AW1459" s="34">
        <f t="shared" si="1000"/>
        <v>21203.36</v>
      </c>
      <c r="AX1459" s="50">
        <f t="shared" si="1034"/>
        <v>370.125</v>
      </c>
      <c r="AY1459" s="43"/>
      <c r="AZ1459" s="47"/>
      <c r="BA1459" s="48">
        <f t="shared" si="1080"/>
        <v>-1791.405</v>
      </c>
      <c r="BB1459" s="27"/>
      <c r="BC1459" s="27"/>
      <c r="BD1459" s="51"/>
      <c r="BE1459" s="52"/>
      <c r="BF1459" s="27"/>
      <c r="BG1459" s="53">
        <v>0.0</v>
      </c>
      <c r="BH1459" s="53" t="str">
        <f>'[1]2023'!Q1678</f>
        <v>#REF!</v>
      </c>
      <c r="BI1459" s="27"/>
      <c r="BJ1459" s="27"/>
      <c r="BK1459" s="27" t="s">
        <v>76</v>
      </c>
      <c r="BL1459" s="27"/>
    </row>
    <row r="1460" ht="14.25" customHeight="1">
      <c r="A1460" s="26" t="s">
        <v>55</v>
      </c>
      <c r="B1460" s="26" t="s">
        <v>56</v>
      </c>
      <c r="C1460" s="26" t="s">
        <v>57</v>
      </c>
      <c r="D1460" s="26" t="s">
        <v>58</v>
      </c>
      <c r="E1460" s="80" t="s">
        <v>4702</v>
      </c>
      <c r="F1460" s="28" t="s">
        <v>283</v>
      </c>
      <c r="G1460" s="29">
        <v>45284.0</v>
      </c>
      <c r="H1460" s="30">
        <v>45284.0</v>
      </c>
      <c r="I1460" s="30">
        <v>45649.0</v>
      </c>
      <c r="J1460" s="31" t="s">
        <v>86</v>
      </c>
      <c r="K1460" s="26" t="s">
        <v>4489</v>
      </c>
      <c r="L1460" s="89">
        <v>45286.0</v>
      </c>
      <c r="M1460" s="33">
        <v>1522.58</v>
      </c>
      <c r="N1460" s="34">
        <v>1612.42</v>
      </c>
      <c r="O1460" s="27" t="s">
        <v>76</v>
      </c>
      <c r="P1460" s="35" t="s">
        <v>89</v>
      </c>
      <c r="Q1460" s="35" t="s">
        <v>65</v>
      </c>
      <c r="R1460" s="36">
        <v>0.0</v>
      </c>
      <c r="S1460" s="35" t="s">
        <v>66</v>
      </c>
      <c r="T1460" s="35">
        <v>0.0</v>
      </c>
      <c r="U1460" s="37">
        <v>0.0</v>
      </c>
      <c r="V1460" s="38"/>
      <c r="W1460" s="78"/>
      <c r="X1460" s="27"/>
      <c r="Y1460" s="39"/>
      <c r="Z1460" s="39"/>
      <c r="AA1460" s="39"/>
      <c r="AB1460" s="27"/>
      <c r="AC1460" s="27">
        <f t="shared" si="1157"/>
        <v>0</v>
      </c>
      <c r="AD1460" s="41">
        <f t="shared" ref="AD1460:AD1470" si="1163">IF(AND(S1460="0",O1460="Paid"),(M1460*15%)-AC1460,0)</f>
        <v>0</v>
      </c>
      <c r="AE1460" s="42"/>
      <c r="AF1460" s="27"/>
      <c r="AG1460" s="43">
        <f t="shared" si="1162"/>
        <v>328.87728</v>
      </c>
      <c r="AH1460" s="29"/>
      <c r="AI1460" s="29"/>
      <c r="AJ1460" s="29"/>
      <c r="AK1460" s="29"/>
      <c r="AL1460" s="27"/>
      <c r="AM1460" s="44"/>
      <c r="AN1460" s="47"/>
      <c r="AO1460" s="46"/>
      <c r="AP1460" s="47"/>
      <c r="AQ1460" s="43">
        <f t="shared" si="1161"/>
        <v>0</v>
      </c>
      <c r="AR1460" s="43">
        <f t="shared" si="448"/>
        <v>0</v>
      </c>
      <c r="AS1460" s="43">
        <f t="shared" si="449"/>
        <v>0</v>
      </c>
      <c r="AT1460" s="48">
        <f t="shared" si="753"/>
        <v>0</v>
      </c>
      <c r="AU1460" s="49">
        <f t="shared" si="1154"/>
        <v>0</v>
      </c>
      <c r="AV1460" s="48"/>
      <c r="AW1460" s="34">
        <f t="shared" si="1000"/>
        <v>1612.42</v>
      </c>
      <c r="AX1460" s="50">
        <f t="shared" si="1034"/>
        <v>328.87728</v>
      </c>
      <c r="AY1460" s="43"/>
      <c r="AZ1460" s="47"/>
      <c r="BA1460" s="48">
        <f t="shared" si="1080"/>
        <v>0</v>
      </c>
      <c r="BB1460" s="27"/>
      <c r="BC1460" s="27"/>
      <c r="BD1460" s="51"/>
      <c r="BE1460" s="52"/>
      <c r="BF1460" s="27"/>
      <c r="BG1460" s="53">
        <v>0.0</v>
      </c>
      <c r="BH1460" s="53" t="str">
        <f>'[1]2023'!Q1688</f>
        <v>#REF!</v>
      </c>
      <c r="BI1460" s="27"/>
      <c r="BJ1460" s="27"/>
      <c r="BK1460" s="27" t="s">
        <v>1102</v>
      </c>
      <c r="BL1460" s="27"/>
    </row>
    <row r="1461" ht="14.25" customHeight="1">
      <c r="A1461" s="26" t="s">
        <v>55</v>
      </c>
      <c r="B1461" s="26" t="s">
        <v>56</v>
      </c>
      <c r="C1461" s="26" t="s">
        <v>57</v>
      </c>
      <c r="D1461" s="26" t="s">
        <v>58</v>
      </c>
      <c r="E1461" s="80" t="s">
        <v>4703</v>
      </c>
      <c r="F1461" s="28" t="s">
        <v>4704</v>
      </c>
      <c r="G1461" s="29">
        <v>45287.0</v>
      </c>
      <c r="H1461" s="30">
        <v>45287.0</v>
      </c>
      <c r="I1461" s="30">
        <v>45652.0</v>
      </c>
      <c r="J1461" s="31" t="s">
        <v>86</v>
      </c>
      <c r="K1461" s="26" t="s">
        <v>3671</v>
      </c>
      <c r="L1461" s="89">
        <v>45300.0</v>
      </c>
      <c r="M1461" s="33">
        <v>8917.8</v>
      </c>
      <c r="N1461" s="34">
        <v>9445.0</v>
      </c>
      <c r="O1461" s="27" t="s">
        <v>76</v>
      </c>
      <c r="P1461" s="35" t="s">
        <v>89</v>
      </c>
      <c r="Q1461" s="35" t="s">
        <v>108</v>
      </c>
      <c r="R1461" s="36">
        <v>0.0</v>
      </c>
      <c r="S1461" s="35" t="s">
        <v>66</v>
      </c>
      <c r="T1461" s="35">
        <v>0.0</v>
      </c>
      <c r="U1461" s="37">
        <v>0.0</v>
      </c>
      <c r="V1461" s="38"/>
      <c r="W1461" s="78"/>
      <c r="X1461" s="27"/>
      <c r="Y1461" s="39"/>
      <c r="Z1461" s="39"/>
      <c r="AA1461" s="39"/>
      <c r="AB1461" s="27"/>
      <c r="AC1461" s="27">
        <f t="shared" si="1157"/>
        <v>0</v>
      </c>
      <c r="AD1461" s="41">
        <f t="shared" si="1163"/>
        <v>0</v>
      </c>
      <c r="AE1461" s="42"/>
      <c r="AF1461" s="27"/>
      <c r="AG1461" s="43">
        <f t="shared" si="1162"/>
        <v>1926.2448</v>
      </c>
      <c r="AH1461" s="29"/>
      <c r="AI1461" s="29"/>
      <c r="AJ1461" s="29"/>
      <c r="AK1461" s="29"/>
      <c r="AL1461" s="27"/>
      <c r="AM1461" s="44"/>
      <c r="AN1461" s="47"/>
      <c r="AO1461" s="46"/>
      <c r="AP1461" s="47"/>
      <c r="AQ1461" s="43">
        <f t="shared" si="1161"/>
        <v>0</v>
      </c>
      <c r="AR1461" s="43">
        <f t="shared" si="448"/>
        <v>0</v>
      </c>
      <c r="AS1461" s="43">
        <f t="shared" si="449"/>
        <v>0</v>
      </c>
      <c r="AT1461" s="48">
        <f t="shared" si="753"/>
        <v>0</v>
      </c>
      <c r="AU1461" s="49">
        <f t="shared" si="1154"/>
        <v>0</v>
      </c>
      <c r="AV1461" s="48"/>
      <c r="AW1461" s="34">
        <f t="shared" si="1000"/>
        <v>9445</v>
      </c>
      <c r="AX1461" s="50">
        <f t="shared" si="1034"/>
        <v>1926.2448</v>
      </c>
      <c r="AY1461" s="43"/>
      <c r="AZ1461" s="47"/>
      <c r="BA1461" s="48">
        <f t="shared" si="1080"/>
        <v>0</v>
      </c>
      <c r="BB1461" s="27"/>
      <c r="BC1461" s="27"/>
      <c r="BD1461" s="51"/>
      <c r="BE1461" s="52"/>
      <c r="BF1461" s="27"/>
      <c r="BG1461" s="53">
        <v>0.0</v>
      </c>
      <c r="BH1461" s="53" t="str">
        <f>'[1]2023'!Q1706</f>
        <v>#REF!</v>
      </c>
      <c r="BI1461" s="27"/>
      <c r="BJ1461" s="27"/>
      <c r="BK1461" s="27" t="s">
        <v>1102</v>
      </c>
      <c r="BL1461" s="27"/>
    </row>
    <row r="1462" ht="14.25" customHeight="1">
      <c r="A1462" s="26" t="s">
        <v>55</v>
      </c>
      <c r="B1462" s="26" t="s">
        <v>56</v>
      </c>
      <c r="C1462" s="26" t="s">
        <v>57</v>
      </c>
      <c r="D1462" s="26" t="s">
        <v>58</v>
      </c>
      <c r="E1462" s="80" t="s">
        <v>4705</v>
      </c>
      <c r="F1462" s="28" t="s">
        <v>4706</v>
      </c>
      <c r="G1462" s="29">
        <v>45291.0</v>
      </c>
      <c r="H1462" s="30">
        <v>45291.0</v>
      </c>
      <c r="I1462" s="30">
        <v>45656.0</v>
      </c>
      <c r="J1462" s="31" t="s">
        <v>86</v>
      </c>
      <c r="K1462" s="26" t="s">
        <v>3671</v>
      </c>
      <c r="L1462" s="89">
        <v>45294.0</v>
      </c>
      <c r="M1462" s="33">
        <v>1421.88</v>
      </c>
      <c r="N1462" s="34">
        <v>1505.76</v>
      </c>
      <c r="O1462" s="27" t="s">
        <v>76</v>
      </c>
      <c r="P1462" s="35" t="s">
        <v>122</v>
      </c>
      <c r="Q1462" s="35" t="s">
        <v>65</v>
      </c>
      <c r="R1462" s="36">
        <v>0.0</v>
      </c>
      <c r="S1462" s="35" t="s">
        <v>66</v>
      </c>
      <c r="T1462" s="35">
        <v>0.0</v>
      </c>
      <c r="U1462" s="37">
        <v>0.0</v>
      </c>
      <c r="V1462" s="38"/>
      <c r="W1462" s="78"/>
      <c r="X1462" s="27"/>
      <c r="Y1462" s="39"/>
      <c r="Z1462" s="39"/>
      <c r="AA1462" s="39"/>
      <c r="AB1462" s="27"/>
      <c r="AC1462" s="27">
        <f t="shared" si="1157"/>
        <v>0</v>
      </c>
      <c r="AD1462" s="41">
        <f t="shared" si="1163"/>
        <v>0</v>
      </c>
      <c r="AE1462" s="42"/>
      <c r="AF1462" s="27"/>
      <c r="AG1462" s="43">
        <f t="shared" si="1162"/>
        <v>307.12608</v>
      </c>
      <c r="AH1462" s="29"/>
      <c r="AI1462" s="29"/>
      <c r="AJ1462" s="29"/>
      <c r="AK1462" s="29"/>
      <c r="AL1462" s="27"/>
      <c r="AM1462" s="44"/>
      <c r="AN1462" s="47"/>
      <c r="AO1462" s="46"/>
      <c r="AP1462" s="47"/>
      <c r="AQ1462" s="43">
        <f t="shared" si="1161"/>
        <v>0</v>
      </c>
      <c r="AR1462" s="43">
        <f t="shared" si="448"/>
        <v>0</v>
      </c>
      <c r="AS1462" s="43">
        <f t="shared" si="449"/>
        <v>0</v>
      </c>
      <c r="AT1462" s="48">
        <f t="shared" si="753"/>
        <v>0</v>
      </c>
      <c r="AU1462" s="49">
        <f t="shared" si="1154"/>
        <v>0</v>
      </c>
      <c r="AV1462" s="48"/>
      <c r="AW1462" s="34">
        <f t="shared" si="1000"/>
        <v>1505.76</v>
      </c>
      <c r="AX1462" s="50">
        <f t="shared" si="1034"/>
        <v>307.12608</v>
      </c>
      <c r="AY1462" s="43"/>
      <c r="AZ1462" s="47"/>
      <c r="BA1462" s="48">
        <f t="shared" si="1080"/>
        <v>0</v>
      </c>
      <c r="BB1462" s="27"/>
      <c r="BC1462" s="27"/>
      <c r="BD1462" s="51"/>
      <c r="BE1462" s="52"/>
      <c r="BF1462" s="27"/>
      <c r="BG1462" s="53">
        <v>0.0</v>
      </c>
      <c r="BH1462" s="53" t="str">
        <f>'[1]2023'!Q1705</f>
        <v>#REF!</v>
      </c>
      <c r="BI1462" s="27"/>
      <c r="BJ1462" s="27"/>
      <c r="BK1462" s="27" t="s">
        <v>1102</v>
      </c>
      <c r="BL1462" s="27"/>
    </row>
    <row r="1463" ht="14.25" customHeight="1">
      <c r="A1463" s="26" t="s">
        <v>55</v>
      </c>
      <c r="B1463" s="26" t="s">
        <v>56</v>
      </c>
      <c r="C1463" s="26" t="s">
        <v>57</v>
      </c>
      <c r="D1463" s="26" t="s">
        <v>58</v>
      </c>
      <c r="E1463" s="80" t="s">
        <v>4707</v>
      </c>
      <c r="F1463" s="28" t="s">
        <v>2899</v>
      </c>
      <c r="G1463" s="29">
        <v>45306.0</v>
      </c>
      <c r="H1463" s="30">
        <v>45306.0</v>
      </c>
      <c r="I1463" s="30">
        <v>45671.0</v>
      </c>
      <c r="J1463" s="31" t="s">
        <v>86</v>
      </c>
      <c r="K1463" s="26" t="s">
        <v>4708</v>
      </c>
      <c r="L1463" s="238"/>
      <c r="M1463" s="33">
        <v>10524.84</v>
      </c>
      <c r="N1463" s="34">
        <v>11200.0</v>
      </c>
      <c r="O1463" s="27" t="s">
        <v>76</v>
      </c>
      <c r="P1463" s="35" t="s">
        <v>162</v>
      </c>
      <c r="Q1463" s="35" t="s">
        <v>65</v>
      </c>
      <c r="R1463" s="36">
        <v>0.0</v>
      </c>
      <c r="S1463" s="35" t="s">
        <v>66</v>
      </c>
      <c r="T1463" s="35">
        <v>0.0</v>
      </c>
      <c r="U1463" s="37">
        <v>0.0</v>
      </c>
      <c r="V1463" s="38"/>
      <c r="W1463" s="78"/>
      <c r="X1463" s="27"/>
      <c r="Y1463" s="39"/>
      <c r="Z1463" s="39"/>
      <c r="AA1463" s="39"/>
      <c r="AB1463" s="27"/>
      <c r="AC1463" s="27">
        <f t="shared" si="1157"/>
        <v>0</v>
      </c>
      <c r="AD1463" s="41">
        <f t="shared" si="1163"/>
        <v>0</v>
      </c>
      <c r="AE1463" s="42"/>
      <c r="AF1463" s="27"/>
      <c r="AG1463" s="43">
        <f t="shared" si="1162"/>
        <v>2273.36544</v>
      </c>
      <c r="AH1463" s="29"/>
      <c r="AI1463" s="29"/>
      <c r="AJ1463" s="29"/>
      <c r="AK1463" s="29"/>
      <c r="AL1463" s="27"/>
      <c r="AM1463" s="44"/>
      <c r="AN1463" s="47"/>
      <c r="AO1463" s="46"/>
      <c r="AP1463" s="47"/>
      <c r="AQ1463" s="43">
        <f t="shared" si="1161"/>
        <v>0</v>
      </c>
      <c r="AR1463" s="43">
        <f t="shared" si="448"/>
        <v>0</v>
      </c>
      <c r="AS1463" s="43">
        <f t="shared" si="449"/>
        <v>0</v>
      </c>
      <c r="AT1463" s="48">
        <f t="shared" si="753"/>
        <v>0</v>
      </c>
      <c r="AU1463" s="49">
        <f t="shared" si="1154"/>
        <v>0</v>
      </c>
      <c r="AV1463" s="48"/>
      <c r="AW1463" s="34">
        <f t="shared" si="1000"/>
        <v>11200</v>
      </c>
      <c r="AX1463" s="50">
        <f t="shared" si="1034"/>
        <v>2273.36544</v>
      </c>
      <c r="AY1463" s="43"/>
      <c r="AZ1463" s="47"/>
      <c r="BA1463" s="48">
        <f t="shared" si="1080"/>
        <v>0</v>
      </c>
      <c r="BB1463" s="27"/>
      <c r="BC1463" s="27"/>
      <c r="BD1463" s="51"/>
      <c r="BE1463" s="52"/>
      <c r="BF1463" s="27"/>
      <c r="BG1463" s="53">
        <v>0.0</v>
      </c>
      <c r="BH1463" s="53" t="str">
        <f>'[1]2023'!Q1707</f>
        <v>#REF!</v>
      </c>
      <c r="BI1463" s="27"/>
      <c r="BJ1463" s="27"/>
      <c r="BK1463" s="27" t="s">
        <v>1102</v>
      </c>
      <c r="BL1463" s="27"/>
    </row>
    <row r="1464" ht="14.25" customHeight="1">
      <c r="A1464" s="123" t="s">
        <v>55</v>
      </c>
      <c r="B1464" s="26" t="s">
        <v>56</v>
      </c>
      <c r="C1464" s="123" t="s">
        <v>57</v>
      </c>
      <c r="D1464" s="26" t="s">
        <v>58</v>
      </c>
      <c r="E1464" s="80" t="s">
        <v>4709</v>
      </c>
      <c r="F1464" s="239" t="s">
        <v>4710</v>
      </c>
      <c r="G1464" s="29">
        <v>45313.0</v>
      </c>
      <c r="H1464" s="30">
        <v>45313.0</v>
      </c>
      <c r="I1464" s="30">
        <v>45678.0</v>
      </c>
      <c r="J1464" s="31" t="s">
        <v>1451</v>
      </c>
      <c r="K1464" s="26" t="s">
        <v>4708</v>
      </c>
      <c r="L1464" s="89">
        <v>45313.0</v>
      </c>
      <c r="M1464" s="33">
        <v>5132.3</v>
      </c>
      <c r="N1464" s="34">
        <v>5440.0</v>
      </c>
      <c r="O1464" s="27" t="s">
        <v>76</v>
      </c>
      <c r="P1464" s="35" t="s">
        <v>122</v>
      </c>
      <c r="Q1464" s="35">
        <v>0.0</v>
      </c>
      <c r="R1464" s="36">
        <v>0.0</v>
      </c>
      <c r="S1464" s="35" t="s">
        <v>86</v>
      </c>
      <c r="T1464" s="35">
        <v>0.0</v>
      </c>
      <c r="U1464" s="37">
        <v>0.0</v>
      </c>
      <c r="V1464" s="38"/>
      <c r="W1464" s="78"/>
      <c r="X1464" s="27"/>
      <c r="Y1464" s="39"/>
      <c r="Z1464" s="39"/>
      <c r="AA1464" s="39"/>
      <c r="AB1464" s="27"/>
      <c r="AC1464" s="27">
        <f t="shared" si="1157"/>
        <v>0</v>
      </c>
      <c r="AD1464" s="41">
        <f t="shared" si="1163"/>
        <v>769.845</v>
      </c>
      <c r="AE1464" s="42"/>
      <c r="AF1464" s="27"/>
      <c r="AG1464" s="43">
        <f t="shared" si="1162"/>
        <v>1108.5768</v>
      </c>
      <c r="AH1464" s="29"/>
      <c r="AI1464" s="29"/>
      <c r="AJ1464" s="29"/>
      <c r="AK1464" s="29"/>
      <c r="AL1464" s="27"/>
      <c r="AM1464" s="44"/>
      <c r="AN1464" s="47"/>
      <c r="AO1464" s="46"/>
      <c r="AP1464" s="47"/>
      <c r="AQ1464" s="43">
        <f t="shared" si="1161"/>
        <v>0</v>
      </c>
      <c r="AR1464" s="43">
        <f t="shared" si="448"/>
        <v>0</v>
      </c>
      <c r="AS1464" s="43">
        <f t="shared" si="449"/>
        <v>0</v>
      </c>
      <c r="AT1464" s="48">
        <f t="shared" si="753"/>
        <v>0</v>
      </c>
      <c r="AU1464" s="49">
        <f t="shared" si="1154"/>
        <v>0</v>
      </c>
      <c r="AV1464" s="48"/>
      <c r="AW1464" s="34">
        <f t="shared" si="1000"/>
        <v>4670.155</v>
      </c>
      <c r="AX1464" s="50">
        <f t="shared" si="1034"/>
        <v>338.7318</v>
      </c>
      <c r="AY1464" s="43"/>
      <c r="AZ1464" s="47"/>
      <c r="BA1464" s="48">
        <f t="shared" si="1080"/>
        <v>0</v>
      </c>
      <c r="BB1464" s="27"/>
      <c r="BC1464" s="27"/>
      <c r="BD1464" s="51"/>
      <c r="BE1464" s="52"/>
      <c r="BF1464" s="27"/>
      <c r="BG1464" s="58" t="s">
        <v>4711</v>
      </c>
      <c r="BH1464" s="53" t="str">
        <f t="shared" ref="BH1464:BH1466" si="1164">'[1]2023'!Q1709</f>
        <v>#REF!</v>
      </c>
      <c r="BI1464" s="27"/>
      <c r="BJ1464" s="27"/>
      <c r="BK1464" s="27" t="s">
        <v>1102</v>
      </c>
      <c r="BL1464" s="27"/>
    </row>
    <row r="1465" ht="14.25" customHeight="1">
      <c r="A1465" s="123" t="s">
        <v>55</v>
      </c>
      <c r="B1465" s="26" t="s">
        <v>1099</v>
      </c>
      <c r="C1465" s="26" t="s">
        <v>70</v>
      </c>
      <c r="D1465" s="26" t="s">
        <v>81</v>
      </c>
      <c r="E1465" s="27" t="s">
        <v>4712</v>
      </c>
      <c r="F1465" s="26" t="s">
        <v>4713</v>
      </c>
      <c r="G1465" s="29">
        <v>45317.0</v>
      </c>
      <c r="H1465" s="30">
        <v>45317.0</v>
      </c>
      <c r="I1465" s="30">
        <v>45682.0</v>
      </c>
      <c r="J1465" s="31" t="s">
        <v>86</v>
      </c>
      <c r="K1465" s="26" t="s">
        <v>4708</v>
      </c>
      <c r="L1465" s="89">
        <v>45320.0</v>
      </c>
      <c r="M1465" s="33">
        <v>5786.76</v>
      </c>
      <c r="N1465" s="34">
        <v>5867.77</v>
      </c>
      <c r="O1465" s="27" t="s">
        <v>76</v>
      </c>
      <c r="P1465" s="35" t="s">
        <v>162</v>
      </c>
      <c r="Q1465" s="35">
        <v>0.0</v>
      </c>
      <c r="R1465" s="36">
        <v>0.0</v>
      </c>
      <c r="S1465" s="35" t="s">
        <v>66</v>
      </c>
      <c r="T1465" s="35">
        <v>0.0</v>
      </c>
      <c r="U1465" s="37">
        <v>0.0</v>
      </c>
      <c r="V1465" s="38"/>
      <c r="W1465" s="78"/>
      <c r="X1465" s="27"/>
      <c r="Y1465" s="39"/>
      <c r="Z1465" s="39"/>
      <c r="AA1465" s="39"/>
      <c r="AB1465" s="27"/>
      <c r="AC1465" s="27">
        <f t="shared" si="1157"/>
        <v>0</v>
      </c>
      <c r="AD1465" s="41">
        <f t="shared" si="1163"/>
        <v>0</v>
      </c>
      <c r="AE1465" s="42"/>
      <c r="AF1465" s="27"/>
      <c r="AG1465" s="43">
        <f t="shared" si="1162"/>
        <v>1249.94016</v>
      </c>
      <c r="AH1465" s="29"/>
      <c r="AI1465" s="29"/>
      <c r="AJ1465" s="29"/>
      <c r="AK1465" s="29"/>
      <c r="AL1465" s="27"/>
      <c r="AM1465" s="44"/>
      <c r="AN1465" s="47"/>
      <c r="AO1465" s="46"/>
      <c r="AP1465" s="47"/>
      <c r="AQ1465" s="43">
        <f t="shared" si="1161"/>
        <v>0</v>
      </c>
      <c r="AR1465" s="43">
        <f t="shared" si="448"/>
        <v>0</v>
      </c>
      <c r="AS1465" s="43">
        <f t="shared" si="449"/>
        <v>0</v>
      </c>
      <c r="AT1465" s="48">
        <f t="shared" si="753"/>
        <v>0</v>
      </c>
      <c r="AU1465" s="49">
        <f t="shared" si="1154"/>
        <v>0</v>
      </c>
      <c r="AV1465" s="48"/>
      <c r="AW1465" s="34">
        <f t="shared" si="1000"/>
        <v>5867.77</v>
      </c>
      <c r="AX1465" s="50">
        <f t="shared" si="1034"/>
        <v>1249.94016</v>
      </c>
      <c r="AY1465" s="43"/>
      <c r="AZ1465" s="47"/>
      <c r="BA1465" s="48">
        <f t="shared" si="1080"/>
        <v>0</v>
      </c>
      <c r="BB1465" s="27"/>
      <c r="BC1465" s="27"/>
      <c r="BD1465" s="51"/>
      <c r="BE1465" s="52"/>
      <c r="BF1465" s="27"/>
      <c r="BG1465" s="53">
        <v>0.0</v>
      </c>
      <c r="BH1465" s="53" t="str">
        <f t="shared" si="1164"/>
        <v>#REF!</v>
      </c>
      <c r="BI1465" s="27"/>
      <c r="BJ1465" s="27"/>
      <c r="BK1465" s="27" t="s">
        <v>1102</v>
      </c>
      <c r="BL1465" s="27"/>
    </row>
    <row r="1466" ht="14.25" customHeight="1">
      <c r="A1466" s="123" t="s">
        <v>55</v>
      </c>
      <c r="B1466" s="26" t="s">
        <v>1099</v>
      </c>
      <c r="C1466" s="26" t="s">
        <v>70</v>
      </c>
      <c r="D1466" s="26" t="s">
        <v>81</v>
      </c>
      <c r="E1466" s="27">
        <v>523883.0</v>
      </c>
      <c r="F1466" s="26" t="s">
        <v>4713</v>
      </c>
      <c r="G1466" s="29">
        <v>45326.0</v>
      </c>
      <c r="H1466" s="30">
        <v>45326.0</v>
      </c>
      <c r="I1466" s="30">
        <v>45691.0</v>
      </c>
      <c r="J1466" s="31" t="s">
        <v>86</v>
      </c>
      <c r="K1466" s="26" t="s">
        <v>4714</v>
      </c>
      <c r="L1466" s="89">
        <v>45323.0</v>
      </c>
      <c r="M1466" s="33">
        <v>71518.62</v>
      </c>
      <c r="N1466" s="34">
        <v>72938.48</v>
      </c>
      <c r="O1466" s="27" t="s">
        <v>76</v>
      </c>
      <c r="P1466" s="35" t="s">
        <v>77</v>
      </c>
      <c r="Q1466" s="35">
        <v>0.0</v>
      </c>
      <c r="R1466" s="36">
        <v>0.0</v>
      </c>
      <c r="S1466" s="35" t="s">
        <v>86</v>
      </c>
      <c r="T1466" s="35">
        <v>0.0</v>
      </c>
      <c r="U1466" s="37">
        <v>0.0</v>
      </c>
      <c r="V1466" s="38"/>
      <c r="W1466" s="78"/>
      <c r="X1466" s="27"/>
      <c r="Y1466" s="39"/>
      <c r="Z1466" s="39"/>
      <c r="AA1466" s="39"/>
      <c r="AB1466" s="27"/>
      <c r="AC1466" s="27">
        <f t="shared" si="1157"/>
        <v>0</v>
      </c>
      <c r="AD1466" s="41">
        <f t="shared" si="1163"/>
        <v>10727.793</v>
      </c>
      <c r="AE1466" s="42"/>
      <c r="AF1466" s="27"/>
      <c r="AG1466" s="43">
        <f t="shared" si="1162"/>
        <v>15448.02192</v>
      </c>
      <c r="AH1466" s="29"/>
      <c r="AI1466" s="29"/>
      <c r="AJ1466" s="29"/>
      <c r="AK1466" s="29"/>
      <c r="AL1466" s="27"/>
      <c r="AM1466" s="44"/>
      <c r="AN1466" s="47"/>
      <c r="AO1466" s="46"/>
      <c r="AP1466" s="47"/>
      <c r="AQ1466" s="43">
        <f t="shared" si="1161"/>
        <v>0</v>
      </c>
      <c r="AR1466" s="43">
        <f t="shared" si="448"/>
        <v>0</v>
      </c>
      <c r="AS1466" s="43">
        <f t="shared" si="449"/>
        <v>0</v>
      </c>
      <c r="AT1466" s="48">
        <f t="shared" si="753"/>
        <v>0</v>
      </c>
      <c r="AU1466" s="49">
        <f t="shared" si="1154"/>
        <v>0</v>
      </c>
      <c r="AV1466" s="48"/>
      <c r="AW1466" s="34">
        <f t="shared" si="1000"/>
        <v>62210.687</v>
      </c>
      <c r="AX1466" s="50">
        <f t="shared" si="1034"/>
        <v>4720.22892</v>
      </c>
      <c r="AY1466" s="43"/>
      <c r="AZ1466" s="47"/>
      <c r="BA1466" s="48">
        <f t="shared" si="1080"/>
        <v>0</v>
      </c>
      <c r="BB1466" s="27"/>
      <c r="BC1466" s="27"/>
      <c r="BD1466" s="51"/>
      <c r="BE1466" s="52"/>
      <c r="BF1466" s="27"/>
      <c r="BG1466" s="58" t="s">
        <v>4715</v>
      </c>
      <c r="BH1466" s="53" t="str">
        <f t="shared" si="1164"/>
        <v>#REF!</v>
      </c>
      <c r="BI1466" s="27"/>
      <c r="BJ1466" s="27"/>
      <c r="BK1466" s="27" t="s">
        <v>1102</v>
      </c>
      <c r="BL1466" s="27"/>
    </row>
    <row r="1467" ht="14.25" customHeight="1">
      <c r="A1467" s="26" t="s">
        <v>55</v>
      </c>
      <c r="B1467" s="26" t="s">
        <v>1099</v>
      </c>
      <c r="C1467" s="26" t="s">
        <v>70</v>
      </c>
      <c r="D1467" s="26" t="s">
        <v>81</v>
      </c>
      <c r="E1467" s="27" t="s">
        <v>4716</v>
      </c>
      <c r="F1467" s="28" t="s">
        <v>2852</v>
      </c>
      <c r="G1467" s="29" t="s">
        <v>4717</v>
      </c>
      <c r="H1467" s="30">
        <v>45342.0</v>
      </c>
      <c r="I1467" s="30">
        <v>45707.0</v>
      </c>
      <c r="J1467" s="31" t="s">
        <v>2853</v>
      </c>
      <c r="K1467" s="26" t="s">
        <v>62</v>
      </c>
      <c r="L1467" s="32" t="s">
        <v>63</v>
      </c>
      <c r="M1467" s="33">
        <v>99912.0</v>
      </c>
      <c r="N1467" s="34">
        <v>101810.0</v>
      </c>
      <c r="O1467" s="27" t="s">
        <v>1102</v>
      </c>
      <c r="P1467" s="35" t="s">
        <v>77</v>
      </c>
      <c r="Q1467" s="35">
        <v>0.0</v>
      </c>
      <c r="R1467" s="36" t="e">
        <v>#VALUE!</v>
      </c>
      <c r="S1467" s="35" t="s">
        <v>78</v>
      </c>
      <c r="T1467" s="35">
        <v>0.0</v>
      </c>
      <c r="U1467" s="37" t="s">
        <v>1099</v>
      </c>
      <c r="V1467" s="38"/>
      <c r="W1467" s="38"/>
      <c r="X1467" s="27"/>
      <c r="Y1467" s="39"/>
      <c r="Z1467" s="39"/>
      <c r="AA1467" s="39"/>
      <c r="AB1467" s="55">
        <v>0.05</v>
      </c>
      <c r="AC1467" s="27">
        <f t="shared" si="1157"/>
        <v>4995.6</v>
      </c>
      <c r="AD1467" s="41">
        <f t="shared" si="1163"/>
        <v>0</v>
      </c>
      <c r="AE1467" s="42"/>
      <c r="AF1467" s="27"/>
      <c r="AG1467" s="43">
        <f>IF(O1467="Paid",IF(A1467="Alwataniya",(M1467*21%)-((M1467*21%)*5%),IF((A1467="GIG"),(M1467*25%)-((M1467*25%)*5%),IF((A1467="Allianz"),(M1467*27%)-((M1467*27%)*5%),0))),0)</f>
        <v>0</v>
      </c>
      <c r="AH1467" s="29"/>
      <c r="AI1467" s="29"/>
      <c r="AJ1467" s="29"/>
      <c r="AK1467" s="29"/>
      <c r="AL1467" s="27"/>
      <c r="AM1467" s="44"/>
      <c r="AN1467" s="47"/>
      <c r="AO1467" s="46"/>
      <c r="AP1467" s="47"/>
      <c r="AQ1467" s="43" t="b">
        <f t="shared" si="1161"/>
        <v>0</v>
      </c>
      <c r="AR1467" s="43">
        <f t="shared" si="448"/>
        <v>0</v>
      </c>
      <c r="AS1467" s="43">
        <f t="shared" si="449"/>
        <v>0</v>
      </c>
      <c r="AT1467" s="48">
        <f t="shared" si="753"/>
        <v>0</v>
      </c>
      <c r="AU1467" s="49">
        <f t="shared" si="1154"/>
        <v>-4995.6</v>
      </c>
      <c r="AV1467" s="48"/>
      <c r="AW1467" s="34">
        <f t="shared" si="1000"/>
        <v>96814.4</v>
      </c>
      <c r="AX1467" s="50">
        <f t="shared" si="1034"/>
        <v>0</v>
      </c>
      <c r="AY1467" s="43"/>
      <c r="AZ1467" s="47"/>
      <c r="BA1467" s="48">
        <f t="shared" si="1080"/>
        <v>-4995.6</v>
      </c>
      <c r="BB1467" s="27"/>
      <c r="BC1467" s="27"/>
      <c r="BD1467" s="51"/>
      <c r="BE1467" s="52"/>
      <c r="BF1467" s="27"/>
      <c r="BG1467" s="53" t="s">
        <v>4718</v>
      </c>
      <c r="BH1467" s="53" t="str">
        <f>'[1]2023'!Q1222</f>
        <v>#REF!</v>
      </c>
      <c r="BI1467" s="27"/>
      <c r="BJ1467" s="27"/>
      <c r="BK1467" s="27" t="s">
        <v>1102</v>
      </c>
      <c r="BL1467" s="27"/>
    </row>
    <row r="1468" ht="14.25" customHeight="1">
      <c r="A1468" s="123" t="s">
        <v>55</v>
      </c>
      <c r="B1468" s="26" t="s">
        <v>1099</v>
      </c>
      <c r="C1468" s="26" t="s">
        <v>70</v>
      </c>
      <c r="D1468" s="26" t="s">
        <v>81</v>
      </c>
      <c r="E1468" s="27" t="s">
        <v>4719</v>
      </c>
      <c r="F1468" s="26" t="s">
        <v>4713</v>
      </c>
      <c r="G1468" s="29">
        <v>45389.0</v>
      </c>
      <c r="H1468" s="30">
        <v>45389.0</v>
      </c>
      <c r="I1468" s="30">
        <v>45754.0</v>
      </c>
      <c r="J1468" s="31" t="s">
        <v>86</v>
      </c>
      <c r="K1468" s="26" t="s">
        <v>2368</v>
      </c>
      <c r="L1468" s="32"/>
      <c r="M1468" s="33">
        <v>71518.62</v>
      </c>
      <c r="N1468" s="34">
        <v>72877.48</v>
      </c>
      <c r="O1468" s="27" t="s">
        <v>1102</v>
      </c>
      <c r="P1468" s="35">
        <v>0.0</v>
      </c>
      <c r="Q1468" s="35">
        <v>0.0</v>
      </c>
      <c r="R1468" s="36">
        <v>0.0</v>
      </c>
      <c r="S1468" s="35" t="s">
        <v>86</v>
      </c>
      <c r="T1468" s="35">
        <v>0.0</v>
      </c>
      <c r="U1468" s="37">
        <v>0.0</v>
      </c>
      <c r="V1468" s="38"/>
      <c r="W1468" s="78"/>
      <c r="X1468" s="27"/>
      <c r="Y1468" s="39"/>
      <c r="Z1468" s="39"/>
      <c r="AA1468" s="39"/>
      <c r="AB1468" s="27"/>
      <c r="AC1468" s="27">
        <f t="shared" si="1157"/>
        <v>0</v>
      </c>
      <c r="AD1468" s="41">
        <f t="shared" si="1163"/>
        <v>0</v>
      </c>
      <c r="AE1468" s="42"/>
      <c r="AF1468" s="27"/>
      <c r="AG1468" s="43">
        <f t="shared" ref="AG1468:AG1469" si="1165">IF(O1468="Paid",IF(A1468="Wethaq",(M1468*28%)-((M1468*28%)*5%),IF((A1468="GIG"),(M1468*25%)-((M1468*25%)*5%),IF((A1468="Allianz"),(M1468*27%)-((M1468*27%)*20%),0))),0)</f>
        <v>0</v>
      </c>
      <c r="AH1468" s="29"/>
      <c r="AI1468" s="29"/>
      <c r="AJ1468" s="29"/>
      <c r="AK1468" s="29"/>
      <c r="AL1468" s="27"/>
      <c r="AM1468" s="44"/>
      <c r="AN1468" s="47"/>
      <c r="AO1468" s="46"/>
      <c r="AP1468" s="47"/>
      <c r="AQ1468" s="43" t="b">
        <f t="shared" si="1161"/>
        <v>0</v>
      </c>
      <c r="AR1468" s="43">
        <f t="shared" si="448"/>
        <v>0</v>
      </c>
      <c r="AS1468" s="43">
        <f t="shared" si="449"/>
        <v>0</v>
      </c>
      <c r="AT1468" s="48">
        <f t="shared" si="753"/>
        <v>0</v>
      </c>
      <c r="AU1468" s="49">
        <f t="shared" si="1154"/>
        <v>0</v>
      </c>
      <c r="AV1468" s="48"/>
      <c r="AW1468" s="34">
        <f t="shared" si="1000"/>
        <v>72877.48</v>
      </c>
      <c r="AX1468" s="50">
        <f t="shared" si="1034"/>
        <v>0</v>
      </c>
      <c r="AY1468" s="43"/>
      <c r="AZ1468" s="47"/>
      <c r="BA1468" s="48">
        <f t="shared" si="1080"/>
        <v>0</v>
      </c>
      <c r="BB1468" s="27"/>
      <c r="BC1468" s="27"/>
      <c r="BD1468" s="51"/>
      <c r="BE1468" s="52"/>
      <c r="BF1468" s="27"/>
      <c r="BG1468" s="53">
        <v>0.0</v>
      </c>
      <c r="BH1468" s="53" t="str">
        <f>'[1]2023'!Q1712</f>
        <v>#REF!</v>
      </c>
      <c r="BI1468" s="27"/>
      <c r="BJ1468" s="27"/>
      <c r="BK1468" s="27" t="s">
        <v>1102</v>
      </c>
      <c r="BL1468" s="27"/>
    </row>
    <row r="1469" ht="14.25" customHeight="1">
      <c r="A1469" s="26" t="s">
        <v>55</v>
      </c>
      <c r="B1469" s="26" t="s">
        <v>1099</v>
      </c>
      <c r="C1469" s="26" t="s">
        <v>70</v>
      </c>
      <c r="D1469" s="26" t="s">
        <v>71</v>
      </c>
      <c r="E1469" s="27" t="s">
        <v>4720</v>
      </c>
      <c r="F1469" s="26" t="s">
        <v>3827</v>
      </c>
      <c r="G1469" s="29">
        <v>45399.0</v>
      </c>
      <c r="H1469" s="30">
        <v>45399.0</v>
      </c>
      <c r="I1469" s="30">
        <v>45764.0</v>
      </c>
      <c r="J1469" s="31">
        <v>0.0</v>
      </c>
      <c r="K1469" s="26" t="s">
        <v>420</v>
      </c>
      <c r="L1469" s="32" t="s">
        <v>63</v>
      </c>
      <c r="M1469" s="33">
        <v>170592.0</v>
      </c>
      <c r="N1469" s="34">
        <v>173895.0</v>
      </c>
      <c r="O1469" s="27" t="s">
        <v>1102</v>
      </c>
      <c r="P1469" s="35">
        <v>0.0</v>
      </c>
      <c r="Q1469" s="35">
        <v>0.0</v>
      </c>
      <c r="R1469" s="36">
        <v>45399.0</v>
      </c>
      <c r="S1469" s="35" t="s">
        <v>676</v>
      </c>
      <c r="T1469" s="35" t="s">
        <v>78</v>
      </c>
      <c r="U1469" s="37">
        <v>0.0</v>
      </c>
      <c r="V1469" s="38"/>
      <c r="W1469" s="78"/>
      <c r="X1469" s="27"/>
      <c r="Y1469" s="39"/>
      <c r="Z1469" s="39"/>
      <c r="AA1469" s="39"/>
      <c r="AB1469" s="27"/>
      <c r="AC1469" s="27">
        <f t="shared" si="1157"/>
        <v>0</v>
      </c>
      <c r="AD1469" s="41">
        <f t="shared" si="1163"/>
        <v>0</v>
      </c>
      <c r="AE1469" s="42"/>
      <c r="AF1469" s="27"/>
      <c r="AG1469" s="43">
        <f t="shared" si="1165"/>
        <v>0</v>
      </c>
      <c r="AH1469" s="29"/>
      <c r="AI1469" s="29"/>
      <c r="AJ1469" s="29"/>
      <c r="AK1469" s="29"/>
      <c r="AL1469" s="27"/>
      <c r="AM1469" s="44"/>
      <c r="AN1469" s="47"/>
      <c r="AO1469" s="46"/>
      <c r="AP1469" s="47"/>
      <c r="AQ1469" s="43" t="b">
        <f t="shared" si="1161"/>
        <v>0</v>
      </c>
      <c r="AR1469" s="43">
        <f t="shared" si="448"/>
        <v>0</v>
      </c>
      <c r="AS1469" s="43">
        <f t="shared" si="449"/>
        <v>0</v>
      </c>
      <c r="AT1469" s="48">
        <f t="shared" si="753"/>
        <v>0</v>
      </c>
      <c r="AU1469" s="49">
        <f t="shared" si="1154"/>
        <v>0</v>
      </c>
      <c r="AV1469" s="48"/>
      <c r="AW1469" s="34">
        <f t="shared" si="1000"/>
        <v>173895</v>
      </c>
      <c r="AX1469" s="50">
        <f t="shared" si="1034"/>
        <v>0</v>
      </c>
      <c r="AY1469" s="43"/>
      <c r="AZ1469" s="47"/>
      <c r="BA1469" s="48">
        <f t="shared" si="1080"/>
        <v>0</v>
      </c>
      <c r="BB1469" s="27"/>
      <c r="BC1469" s="27"/>
      <c r="BD1469" s="51"/>
      <c r="BE1469" s="52"/>
      <c r="BF1469" s="27"/>
      <c r="BG1469" s="53" t="s">
        <v>4721</v>
      </c>
      <c r="BH1469" s="53" t="str">
        <f>'[1]2023'!Q1584</f>
        <v>#REF!</v>
      </c>
      <c r="BI1469" s="27"/>
      <c r="BJ1469" s="27"/>
      <c r="BK1469" s="27" t="s">
        <v>1102</v>
      </c>
      <c r="BL1469" s="27"/>
    </row>
    <row r="1470" ht="14.25" customHeight="1">
      <c r="A1470" s="26" t="s">
        <v>55</v>
      </c>
      <c r="B1470" s="26" t="s">
        <v>1099</v>
      </c>
      <c r="C1470" s="26" t="s">
        <v>70</v>
      </c>
      <c r="D1470" s="26" t="s">
        <v>81</v>
      </c>
      <c r="E1470" s="27" t="s">
        <v>4722</v>
      </c>
      <c r="F1470" s="28" t="s">
        <v>2852</v>
      </c>
      <c r="G1470" s="29" t="s">
        <v>4723</v>
      </c>
      <c r="H1470" s="30">
        <v>45432.0</v>
      </c>
      <c r="I1470" s="30">
        <v>45797.0</v>
      </c>
      <c r="J1470" s="31" t="s">
        <v>2853</v>
      </c>
      <c r="K1470" s="26" t="s">
        <v>427</v>
      </c>
      <c r="L1470" s="32" t="s">
        <v>63</v>
      </c>
      <c r="M1470" s="33">
        <v>99912.0</v>
      </c>
      <c r="N1470" s="34">
        <v>101810.0</v>
      </c>
      <c r="O1470" s="27" t="s">
        <v>1102</v>
      </c>
      <c r="P1470" s="35" t="s">
        <v>77</v>
      </c>
      <c r="Q1470" s="35">
        <v>0.0</v>
      </c>
      <c r="R1470" s="36" t="e">
        <v>#VALUE!</v>
      </c>
      <c r="S1470" s="35" t="s">
        <v>78</v>
      </c>
      <c r="T1470" s="35">
        <v>0.0</v>
      </c>
      <c r="U1470" s="37" t="s">
        <v>1099</v>
      </c>
      <c r="V1470" s="38"/>
      <c r="W1470" s="38"/>
      <c r="X1470" s="27"/>
      <c r="Y1470" s="39"/>
      <c r="Z1470" s="39"/>
      <c r="AA1470" s="39"/>
      <c r="AB1470" s="55">
        <v>0.05</v>
      </c>
      <c r="AC1470" s="27">
        <f t="shared" si="1157"/>
        <v>4995.6</v>
      </c>
      <c r="AD1470" s="41">
        <f t="shared" si="1163"/>
        <v>0</v>
      </c>
      <c r="AE1470" s="42"/>
      <c r="AF1470" s="27"/>
      <c r="AG1470" s="43">
        <f>IF(O1470="Paid",IF(A1470="Alwataniya",(M1470*21%)-((M1470*21%)*5%),IF((A1470="GIG"),(M1470*25%)-((M1470*25%)*5%),IF((A1470="Allianz"),(M1470*27%)-((M1470*27%)*5%),0))),0)</f>
        <v>0</v>
      </c>
      <c r="AH1470" s="29"/>
      <c r="AI1470" s="29"/>
      <c r="AJ1470" s="29"/>
      <c r="AK1470" s="29"/>
      <c r="AL1470" s="27"/>
      <c r="AM1470" s="44"/>
      <c r="AN1470" s="47"/>
      <c r="AO1470" s="46"/>
      <c r="AP1470" s="47"/>
      <c r="AQ1470" s="43" t="b">
        <f t="shared" si="1161"/>
        <v>0</v>
      </c>
      <c r="AR1470" s="43">
        <f t="shared" si="448"/>
        <v>0</v>
      </c>
      <c r="AS1470" s="43">
        <f t="shared" si="449"/>
        <v>0</v>
      </c>
      <c r="AT1470" s="48">
        <f t="shared" si="753"/>
        <v>0</v>
      </c>
      <c r="AU1470" s="49">
        <f t="shared" si="1154"/>
        <v>-4995.6</v>
      </c>
      <c r="AV1470" s="48"/>
      <c r="AW1470" s="34">
        <f t="shared" si="1000"/>
        <v>96814.4</v>
      </c>
      <c r="AX1470" s="50">
        <f t="shared" si="1034"/>
        <v>0</v>
      </c>
      <c r="AY1470" s="43"/>
      <c r="AZ1470" s="47"/>
      <c r="BA1470" s="48">
        <f t="shared" si="1080"/>
        <v>-4995.6</v>
      </c>
      <c r="BB1470" s="27"/>
      <c r="BC1470" s="27"/>
      <c r="BD1470" s="51"/>
      <c r="BE1470" s="52"/>
      <c r="BF1470" s="27"/>
      <c r="BG1470" s="53" t="s">
        <v>4724</v>
      </c>
      <c r="BH1470" s="53" t="str">
        <f>'[1]2023'!Q1223</f>
        <v>#REF!</v>
      </c>
      <c r="BI1470" s="27"/>
      <c r="BJ1470" s="27"/>
      <c r="BK1470" s="27" t="s">
        <v>1102</v>
      </c>
      <c r="BL1470" s="27"/>
    </row>
  </sheetData>
  <autoFilter ref="$A$1:$BL$1470">
    <sortState ref="A1:BL1470">
      <sortCondition ref="I1:I1470"/>
    </sortState>
  </autoFilter>
  <conditionalFormatting sqref="O2:O1029 O1031:O1184 O1186:O1197 O1199:O1281 O1283:O1352 O1355:O1381 O1384:O1393 O1395:O1410 O1412:O1423 O1426:O1432 O1434:O1440 O1442:O1446 O1448 O1452:O1461 O1465:O1469 Q2:Q1432 Q1434 Q1438:Q1446 Q1448:Q1469 BK2:BK1029 BK1434:BK1470">
    <cfRule type="cellIs" dxfId="0" priority="1" operator="equal">
      <formula>"paid"</formula>
    </cfRule>
  </conditionalFormatting>
  <conditionalFormatting sqref="Q1435:Q1437">
    <cfRule type="cellIs" dxfId="0" priority="2" operator="equal">
      <formula>"paid"</formula>
    </cfRule>
  </conditionalFormatting>
  <conditionalFormatting sqref="O1433 Q1433">
    <cfRule type="cellIs" dxfId="0" priority="3" operator="equal">
      <formula>"paid"</formula>
    </cfRule>
  </conditionalFormatting>
  <conditionalFormatting sqref="O1030">
    <cfRule type="cellIs" dxfId="0" priority="4" operator="equal">
      <formula>"paid"</formula>
    </cfRule>
  </conditionalFormatting>
  <conditionalFormatting sqref="O1185">
    <cfRule type="cellIs" dxfId="0" priority="5" operator="equal">
      <formula>"paid"</formula>
    </cfRule>
  </conditionalFormatting>
  <conditionalFormatting sqref="O1198">
    <cfRule type="cellIs" dxfId="0" priority="6" operator="equal">
      <formula>"paid"</formula>
    </cfRule>
  </conditionalFormatting>
  <conditionalFormatting sqref="O1282">
    <cfRule type="cellIs" dxfId="0" priority="7" operator="equal">
      <formula>"paid"</formula>
    </cfRule>
  </conditionalFormatting>
  <conditionalFormatting sqref="O1382">
    <cfRule type="cellIs" dxfId="0" priority="8" operator="equal">
      <formula>"paid"</formula>
    </cfRule>
  </conditionalFormatting>
  <conditionalFormatting sqref="O1383">
    <cfRule type="cellIs" dxfId="0" priority="9" operator="equal">
      <formula>"paid"</formula>
    </cfRule>
  </conditionalFormatting>
  <conditionalFormatting sqref="O1394">
    <cfRule type="cellIs" dxfId="0" priority="10" operator="equal">
      <formula>"paid"</formula>
    </cfRule>
  </conditionalFormatting>
  <conditionalFormatting sqref="O1411">
    <cfRule type="cellIs" dxfId="0" priority="11" operator="equal">
      <formula>"paid"</formula>
    </cfRule>
  </conditionalFormatting>
  <conditionalFormatting sqref="O1424:O1425">
    <cfRule type="cellIs" dxfId="0" priority="12" operator="equal">
      <formula>"paid"</formula>
    </cfRule>
  </conditionalFormatting>
  <conditionalFormatting sqref="BK1031:BK1184 BK1186:BK1197 BK1199:BK1281 BK1283:BK1381 BK1384:BK1393 BK1395:BK1410 BK1412:BK1423 BK1425:BK1432">
    <cfRule type="cellIs" dxfId="0" priority="13" operator="equal">
      <formula>"paid"</formula>
    </cfRule>
  </conditionalFormatting>
  <conditionalFormatting sqref="BK1433">
    <cfRule type="cellIs" dxfId="0" priority="14" operator="equal">
      <formula>"paid"</formula>
    </cfRule>
  </conditionalFormatting>
  <conditionalFormatting sqref="BK1030">
    <cfRule type="cellIs" dxfId="0" priority="15" operator="equal">
      <formula>"paid"</formula>
    </cfRule>
  </conditionalFormatting>
  <conditionalFormatting sqref="BK1185">
    <cfRule type="cellIs" dxfId="0" priority="16" operator="equal">
      <formula>"paid"</formula>
    </cfRule>
  </conditionalFormatting>
  <conditionalFormatting sqref="BK1198">
    <cfRule type="cellIs" dxfId="0" priority="17" operator="equal">
      <formula>"paid"</formula>
    </cfRule>
  </conditionalFormatting>
  <conditionalFormatting sqref="BK1282">
    <cfRule type="cellIs" dxfId="0" priority="18" operator="equal">
      <formula>"paid"</formula>
    </cfRule>
  </conditionalFormatting>
  <conditionalFormatting sqref="BK1382">
    <cfRule type="cellIs" dxfId="0" priority="19" operator="equal">
      <formula>"paid"</formula>
    </cfRule>
  </conditionalFormatting>
  <conditionalFormatting sqref="BK1383">
    <cfRule type="cellIs" dxfId="0" priority="20" operator="equal">
      <formula>"paid"</formula>
    </cfRule>
  </conditionalFormatting>
  <conditionalFormatting sqref="BK1394">
    <cfRule type="cellIs" dxfId="0" priority="21" operator="equal">
      <formula>"paid"</formula>
    </cfRule>
  </conditionalFormatting>
  <conditionalFormatting sqref="BK1411">
    <cfRule type="cellIs" dxfId="0" priority="22" operator="equal">
      <formula>"paid"</formula>
    </cfRule>
  </conditionalFormatting>
  <conditionalFormatting sqref="BK1424">
    <cfRule type="cellIs" dxfId="0" priority="23" operator="equal">
      <formula>"paid"</formula>
    </cfRule>
  </conditionalFormatting>
  <conditionalFormatting sqref="O1353">
    <cfRule type="cellIs" dxfId="0" priority="24" operator="equal">
      <formula>"paid"</formula>
    </cfRule>
  </conditionalFormatting>
  <conditionalFormatting sqref="O1354">
    <cfRule type="cellIs" dxfId="0" priority="25" operator="equal">
      <formula>"paid"</formula>
    </cfRule>
  </conditionalFormatting>
  <conditionalFormatting sqref="O1447">
    <cfRule type="cellIs" dxfId="0" priority="26" operator="equal">
      <formula>"paid"</formula>
    </cfRule>
  </conditionalFormatting>
  <conditionalFormatting sqref="O1441">
    <cfRule type="cellIs" dxfId="0" priority="27" operator="equal">
      <formula>"paid"</formula>
    </cfRule>
  </conditionalFormatting>
  <conditionalFormatting sqref="Q1447">
    <cfRule type="cellIs" dxfId="0" priority="28" operator="equal">
      <formula>"paid"</formula>
    </cfRule>
  </conditionalFormatting>
  <conditionalFormatting sqref="O1449:O1451">
    <cfRule type="cellIs" dxfId="0" priority="29" operator="equal">
      <formula>"paid"</formula>
    </cfRule>
  </conditionalFormatting>
  <conditionalFormatting sqref="O1462:O1464">
    <cfRule type="cellIs" dxfId="0" priority="30" operator="equal">
      <formula>"paid"</formula>
    </cfRule>
  </conditionalFormatting>
  <conditionalFormatting sqref="O1470 Q1470">
    <cfRule type="cellIs" dxfId="0" priority="31" operator="equal">
      <formula>"paid"</formula>
    </cfRule>
  </conditionalFormatting>
  <dataValidations>
    <dataValidation type="list" allowBlank="1" showErrorMessage="1" sqref="A1449:D1449 A1450 C1450 A1454:D1454 A1455 C1455 A1459:D1459 A1460:C1460 A1461 C1461 C1465:C1466 A1465:A1469">
      <formula1>#REF!</formula1>
    </dataValidation>
  </dataValidations>
  <printOptions/>
  <pageMargins bottom="0.75" footer="0.0" header="0.0" left="0.7" right="0.7" top="0.75"/>
  <pageSetup orientation="landscape"/>
  <drawing r:id="rId1"/>
</worksheet>
</file>